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astx_A_master_w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<sst xmlns="http://schemas.openxmlformats.org/spreadsheetml/2006/main" count="33036" uniqueCount="6726">
  <si>
    <t xml:space="preserve">BIB_ID</t>
  </si>
  <si>
    <t xml:space="preserve">MFHD_ID</t>
  </si>
  <si>
    <t xml:space="preserve">ITEM_ID</t>
  </si>
  <si>
    <t xml:space="preserve">BibSuppress</t>
  </si>
  <si>
    <t xml:space="preserve">MfhdSuppress</t>
  </si>
  <si>
    <t xml:space="preserve">BIB_FORMAT</t>
  </si>
  <si>
    <t xml:space="preserve">LANGUAGE</t>
  </si>
  <si>
    <t xml:space="preserve">TITLE</t>
  </si>
  <si>
    <t xml:space="preserve">AUTHOR</t>
  </si>
  <si>
    <t xml:space="preserve">TITLE_BRIEF</t>
  </si>
  <si>
    <t xml:space="preserve">EDITION</t>
  </si>
  <si>
    <t xml:space="preserve">ISBN</t>
  </si>
  <si>
    <t xml:space="preserve">NETWORK_NUMBER</t>
  </si>
  <si>
    <t xml:space="preserve">PUBLISHER_DATE</t>
  </si>
  <si>
    <t xml:space="preserve">PUBLISHER</t>
  </si>
  <si>
    <t xml:space="preserve">BEGIN_PUB_DATE</t>
  </si>
  <si>
    <t xml:space="preserve">MfhdLocation</t>
  </si>
  <si>
    <t xml:space="preserve">displayCallNo</t>
  </si>
  <si>
    <t xml:space="preserve">normCallNo</t>
  </si>
  <si>
    <t xml:space="preserve">ITEM_ENUM</t>
  </si>
  <si>
    <t xml:space="preserve">CHRON</t>
  </si>
  <si>
    <t xml:space="preserve">COPY_NUMBER</t>
  </si>
  <si>
    <t xml:space="preserve">PIECES</t>
  </si>
  <si>
    <t xml:space="preserve">ITEM_BARCODE</t>
  </si>
  <si>
    <t xml:space="preserve">ItemPermLocCode</t>
  </si>
  <si>
    <t xml:space="preserve">ItemPermLocName</t>
  </si>
  <si>
    <t xml:space="preserve">ItemPermTypeName</t>
  </si>
  <si>
    <t xml:space="preserve">ItemTempLocCode</t>
  </si>
  <si>
    <t xml:space="preserve">ItemTempLocName</t>
  </si>
  <si>
    <t xml:space="preserve">ItemTempTypeName</t>
  </si>
  <si>
    <t xml:space="preserve">CREATE_DATE</t>
  </si>
  <si>
    <t xml:space="preserve">UPDATE_DATE</t>
  </si>
  <si>
    <t xml:space="preserve">PO_ID</t>
  </si>
  <si>
    <t xml:space="preserve">MaxOfCHARGE_DATE</t>
  </si>
  <si>
    <t xml:space="preserve">Y</t>
  </si>
  <si>
    <t xml:space="preserve">N</t>
  </si>
  <si>
    <t xml:space="preserve">am</t>
  </si>
  <si>
    <t xml:space="preserve">eng</t>
  </si>
  <si>
    <t xml:space="preserve">Avalanche Handbook</t>
  </si>
  <si>
    <t xml:space="preserve">aastx</t>
  </si>
  <si>
    <t xml:space="preserve">A1.76:489</t>
  </si>
  <si>
    <t xml:space="preserve">A    176          : 489</t>
  </si>
  <si>
    <t xml:space="preserve">Book Collection</t>
  </si>
  <si>
    <t xml:space="preserve">BOOK 16/8/4 WK</t>
  </si>
  <si>
    <t xml:space="preserve">3/27/2003</t>
  </si>
  <si>
    <t xml:space="preserve">Harvard classics.</t>
  </si>
  <si>
    <t xml:space="preserve">(OCoLC)ocm00365184</t>
  </si>
  <si>
    <t xml:space="preserve">[c1909-10]</t>
  </si>
  <si>
    <t xml:space="preserve">P.F. Collier &amp; son</t>
  </si>
  <si>
    <t xml:space="preserve">AC1 .A4</t>
  </si>
  <si>
    <t xml:space="preserve">AC    1            A 4</t>
  </si>
  <si>
    <t xml:space="preserve">v.1</t>
  </si>
  <si>
    <t xml:space="preserve">4/21/2002</t>
  </si>
  <si>
    <t xml:space="preserve">v.2</t>
  </si>
  <si>
    <t xml:space="preserve">v.4</t>
  </si>
  <si>
    <t xml:space="preserve">v.6</t>
  </si>
  <si>
    <t xml:space="preserve">v.8</t>
  </si>
  <si>
    <t xml:space="preserve">v.9</t>
  </si>
  <si>
    <t xml:space="preserve">v.10</t>
  </si>
  <si>
    <t xml:space="preserve">11/17/2008</t>
  </si>
  <si>
    <t xml:space="preserve">v.11</t>
  </si>
  <si>
    <t xml:space="preserve">v.12</t>
  </si>
  <si>
    <t xml:space="preserve">v.13</t>
  </si>
  <si>
    <t xml:space="preserve">v.15</t>
  </si>
  <si>
    <t xml:space="preserve">v.16</t>
  </si>
  <si>
    <t xml:space="preserve">v.17</t>
  </si>
  <si>
    <t xml:space="preserve">v.18</t>
  </si>
  <si>
    <t xml:space="preserve">v.19</t>
  </si>
  <si>
    <t xml:space="preserve">v.20</t>
  </si>
  <si>
    <t xml:space="preserve">v.21</t>
  </si>
  <si>
    <t xml:space="preserve">v.23</t>
  </si>
  <si>
    <t xml:space="preserve">v.24</t>
  </si>
  <si>
    <t xml:space="preserve">v.25</t>
  </si>
  <si>
    <t xml:space="preserve">v.26</t>
  </si>
  <si>
    <t xml:space="preserve">v.27</t>
  </si>
  <si>
    <t xml:space="preserve">v.28</t>
  </si>
  <si>
    <t xml:space="preserve">v.29</t>
  </si>
  <si>
    <t xml:space="preserve">v.30</t>
  </si>
  <si>
    <t xml:space="preserve">v.31</t>
  </si>
  <si>
    <t xml:space="preserve">v.32</t>
  </si>
  <si>
    <t xml:space="preserve">v.33</t>
  </si>
  <si>
    <t xml:space="preserve">v.35</t>
  </si>
  <si>
    <t xml:space="preserve">v.36</t>
  </si>
  <si>
    <t xml:space="preserve">v.37</t>
  </si>
  <si>
    <t xml:space="preserve">v.38</t>
  </si>
  <si>
    <t xml:space="preserve">v.39</t>
  </si>
  <si>
    <t xml:space="preserve">v.40</t>
  </si>
  <si>
    <t xml:space="preserve">v.41</t>
  </si>
  <si>
    <t xml:space="preserve">v.42</t>
  </si>
  <si>
    <t xml:space="preserve">v.43</t>
  </si>
  <si>
    <t xml:space="preserve">v.44</t>
  </si>
  <si>
    <t xml:space="preserve">v.45</t>
  </si>
  <si>
    <t xml:space="preserve">v.46</t>
  </si>
  <si>
    <t xml:space="preserve">v.47</t>
  </si>
  <si>
    <t xml:space="preserve">v.49</t>
  </si>
  <si>
    <t xml:space="preserve">v.50</t>
  </si>
  <si>
    <t xml:space="preserve">How to think about the great ideas : from the great books of western civilization / Mortimer J. Adler ; edited by Max Weismann.</t>
  </si>
  <si>
    <t xml:space="preserve">Adler, Mortimer Jerome, 1902-2001.</t>
  </si>
  <si>
    <t xml:space="preserve">How to think about the great ideas : from the great books of western civilization /</t>
  </si>
  <si>
    <t xml:space="preserve">0812694120 (pbk. : alk. paper)</t>
  </si>
  <si>
    <t xml:space="preserve">(OCoLC)ocm43334095</t>
  </si>
  <si>
    <t xml:space="preserve">c2000.</t>
  </si>
  <si>
    <t xml:space="preserve">Open Court,</t>
  </si>
  <si>
    <t xml:space="preserve">AC1 .A67 2000</t>
  </si>
  <si>
    <t xml:space="preserve">AC    1            A 67   2000</t>
  </si>
  <si>
    <t xml:space="preserve">4/16/2008</t>
  </si>
  <si>
    <t xml:space="preserve">Denis Diderot's The encyclopedia : selections / edited and translated by Stephen J. Gendzier.</t>
  </si>
  <si>
    <t xml:space="preserve">Denis Diderot's The encyclopedia : selections /</t>
  </si>
  <si>
    <t xml:space="preserve">[1st ed.]</t>
  </si>
  <si>
    <t xml:space="preserve">(OCoLC)ocm00869672</t>
  </si>
  <si>
    <t xml:space="preserve">Harper &amp; Row,</t>
  </si>
  <si>
    <t xml:space="preserve">AC20 .D45</t>
  </si>
  <si>
    <t xml:space="preserve">AC   20            D 45</t>
  </si>
  <si>
    <t xml:space="preserve">10/17/2008</t>
  </si>
  <si>
    <t xml:space="preserve">Dissemination / Jacques Derrida ; translated, with an introduction and additional notes, by Barbara Johnson.</t>
  </si>
  <si>
    <t xml:space="preserve">Derrida, Jacques.</t>
  </si>
  <si>
    <t xml:space="preserve">Dissemination /</t>
  </si>
  <si>
    <t xml:space="preserve">(OCoLC)ocm07552845</t>
  </si>
  <si>
    <t xml:space="preserve">University of Chicago Press,</t>
  </si>
  <si>
    <t xml:space="preserve">AC25 .D45513 1981</t>
  </si>
  <si>
    <t xml:space="preserve">AC   25            D 45513   1981</t>
  </si>
  <si>
    <t xml:space="preserve">10/5/2006</t>
  </si>
  <si>
    <t xml:space="preserve">5/8/2007</t>
  </si>
  <si>
    <t xml:space="preserve">9/29/2010</t>
  </si>
  <si>
    <t xml:space="preserve">Prisms. Translated from the German by Samuel and Shierry Weber.</t>
  </si>
  <si>
    <t xml:space="preserve">Adorno, Theodor W., 1903-1969.</t>
  </si>
  <si>
    <t xml:space="preserve">Prisms.</t>
  </si>
  <si>
    <t xml:space="preserve">(OCoLC)ocm00655288</t>
  </si>
  <si>
    <t xml:space="preserve">[c1967]</t>
  </si>
  <si>
    <t xml:space="preserve">N. Spearman</t>
  </si>
  <si>
    <t xml:space="preserve">AC35 .A313</t>
  </si>
  <si>
    <t xml:space="preserve">AC   35            A 313</t>
  </si>
  <si>
    <t xml:space="preserve">10/23/2009</t>
  </si>
  <si>
    <t xml:space="preserve">World as I see it / Albert Einstein ; translated by Alan Harris.</t>
  </si>
  <si>
    <t xml:space="preserve">Einstein, Albert, 1879-1955.</t>
  </si>
  <si>
    <t xml:space="preserve">World as I see it /</t>
  </si>
  <si>
    <t xml:space="preserve">[Abridged ed.]</t>
  </si>
  <si>
    <t xml:space="preserve">080650711X</t>
  </si>
  <si>
    <t xml:space="preserve">(OCoLC)ocm05722717</t>
  </si>
  <si>
    <t xml:space="preserve">1979?</t>
  </si>
  <si>
    <t xml:space="preserve">Wisdom Library ; distributed to the trade by Citadel Press,</t>
  </si>
  <si>
    <t xml:space="preserve">AC35 .E5291979</t>
  </si>
  <si>
    <t xml:space="preserve">AC   35            E 5291979</t>
  </si>
  <si>
    <t xml:space="preserve">5/20/2011</t>
  </si>
  <si>
    <t xml:space="preserve">Reminiscences and reflections. Edited from the literary remains and with a foreword by Rudolf M. Heilbrunn. [Translated from the German by Ruth S. Magurn]</t>
  </si>
  <si>
    <t xml:space="preserve">FriedlaÂ¿Â¿nder, Max J., 1867-1958.</t>
  </si>
  <si>
    <t xml:space="preserve">Reminiscences and reflections.</t>
  </si>
  <si>
    <t xml:space="preserve">(OCoLC)ocm00001511</t>
  </si>
  <si>
    <t xml:space="preserve">[1969]</t>
  </si>
  <si>
    <t xml:space="preserve">New York Graphic Society</t>
  </si>
  <si>
    <t xml:space="preserve">AC35 .F7213</t>
  </si>
  <si>
    <t xml:space="preserve">AC   35            F 7213</t>
  </si>
  <si>
    <t xml:space="preserve">Done in a day : 100 years of great writing from the Chicago daily news / edited by Dick Griffin, Rob Warden.</t>
  </si>
  <si>
    <t xml:space="preserve">Done in a day : 100 years of great writing from the Chicago daily news /</t>
  </si>
  <si>
    <t xml:space="preserve">1st ed.</t>
  </si>
  <si>
    <t xml:space="preserve">(OCoLC)ocm02985138</t>
  </si>
  <si>
    <t xml:space="preserve">c1977.</t>
  </si>
  <si>
    <t xml:space="preserve">Swallow Press,</t>
  </si>
  <si>
    <t xml:space="preserve">AC5 .D631977</t>
  </si>
  <si>
    <t xml:space="preserve">AC    5            D 631977</t>
  </si>
  <si>
    <t xml:space="preserve">Cambridge mind: ninety years of the Cambridge Review, 1879-1969; edited by Eric Homberger, William Janeway and Simon Schama.</t>
  </si>
  <si>
    <t xml:space="preserve">Homberger, Eric.</t>
  </si>
  <si>
    <t xml:space="preserve">Cambridge mind: ninety years of the Cambridge Review, 1879-1969;</t>
  </si>
  <si>
    <t xml:space="preserve">(OCoLC)ocm00121474</t>
  </si>
  <si>
    <t xml:space="preserve">Cape,</t>
  </si>
  <si>
    <t xml:space="preserve">AC5 .H64</t>
  </si>
  <si>
    <t xml:space="preserve">AC    5            H 64</t>
  </si>
  <si>
    <t xml:space="preserve">Cultural discord in the modern world : geographical themes / edited by L. J. Evenden and F. F. Cunningham.</t>
  </si>
  <si>
    <t xml:space="preserve">International Geographical Congress (22nd : 1972 : MontreÂ¿Â¿al, QueÂ¿Â¿bec)</t>
  </si>
  <si>
    <t xml:space="preserve">Cultural discord in the modern world : geographical themes /</t>
  </si>
  <si>
    <t xml:space="preserve">091947831X</t>
  </si>
  <si>
    <t xml:space="preserve">(OCoLC)ocm01275461</t>
  </si>
  <si>
    <t xml:space="preserve">[1974]</t>
  </si>
  <si>
    <t xml:space="preserve">Tantalus Research,</t>
  </si>
  <si>
    <t xml:space="preserve">AC5 .I71972</t>
  </si>
  <si>
    <t xml:space="preserve">AC    5            I 71972</t>
  </si>
  <si>
    <t xml:space="preserve">1/16/2007</t>
  </si>
  <si>
    <t xml:space="preserve">Impolite interviews.</t>
  </si>
  <si>
    <t xml:space="preserve">Krassner, Paul.</t>
  </si>
  <si>
    <t xml:space="preserve">(OCoLC)ocm04480743</t>
  </si>
  <si>
    <t xml:space="preserve">[1961]</t>
  </si>
  <si>
    <t xml:space="preserve">L. Stuart</t>
  </si>
  <si>
    <t xml:space="preserve">AC5 .K7</t>
  </si>
  <si>
    <t xml:space="preserve">AC    5            K 7</t>
  </si>
  <si>
    <t xml:space="preserve">3/6/2003</t>
  </si>
  <si>
    <t xml:space="preserve">Good talk 2 : an anthology from BBC radio / edited by Derwent May.</t>
  </si>
  <si>
    <t xml:space="preserve">Good talk 2 : an anthology from BBC radio /</t>
  </si>
  <si>
    <t xml:space="preserve">(OCoLC)ocm00079781</t>
  </si>
  <si>
    <t xml:space="preserve">1970, c1969.</t>
  </si>
  <si>
    <t xml:space="preserve">Taplinger,</t>
  </si>
  <si>
    <t xml:space="preserve">AC5 .M4621970</t>
  </si>
  <si>
    <t xml:space="preserve">AC    5            M 4621970</t>
  </si>
  <si>
    <t xml:space="preserve">Background and foreground; an anthology of articles from the New York times magazine. Edited with an introd. and notes by Lester Markel.</t>
  </si>
  <si>
    <t xml:space="preserve">Background and foreground; an anthology of articles from the New York times magazine.</t>
  </si>
  <si>
    <t xml:space="preserve">(OCoLC)ocm00301123</t>
  </si>
  <si>
    <t xml:space="preserve">[1960]</t>
  </si>
  <si>
    <t xml:space="preserve">Channel Press</t>
  </si>
  <si>
    <t xml:space="preserve">AC5 .N48</t>
  </si>
  <si>
    <t xml:space="preserve">AC    5            N 48</t>
  </si>
  <si>
    <t xml:space="preserve">Old farmer's almanac sampler, edited by Robb Sagendorph.</t>
  </si>
  <si>
    <t xml:space="preserve">(Old) farmer's almanack (Dublin, N. H.)</t>
  </si>
  <si>
    <t xml:space="preserve">Old farmer's almanac sampler,</t>
  </si>
  <si>
    <t xml:space="preserve">(OCoLC)ocm00386063</t>
  </si>
  <si>
    <t xml:space="preserve">[1957]</t>
  </si>
  <si>
    <t xml:space="preserve">Washburn</t>
  </si>
  <si>
    <t xml:space="preserve">AC5 .O5</t>
  </si>
  <si>
    <t xml:space="preserve">AC    5            O 5</t>
  </si>
  <si>
    <t xml:space="preserve">Reporter reader, edited by Max Ascoli.</t>
  </si>
  <si>
    <t xml:space="preserve">Reporter reader,</t>
  </si>
  <si>
    <t xml:space="preserve">(OCoLC)ocm00057771</t>
  </si>
  <si>
    <t xml:space="preserve">[1969, c1956]</t>
  </si>
  <si>
    <t xml:space="preserve">Books for Libraries Press</t>
  </si>
  <si>
    <t xml:space="preserve">AC5 .R461969</t>
  </si>
  <si>
    <t xml:space="preserve">AC    5            R 461969</t>
  </si>
  <si>
    <t xml:space="preserve">Contemporary reader; essays for today and tomorrow. Edited by Harry W. Rudman and Irving Rosenthal.</t>
  </si>
  <si>
    <t xml:space="preserve">Rudman, Harry William, 1908-</t>
  </si>
  <si>
    <t xml:space="preserve">Contemporary reader; essays for today and tomorrow.</t>
  </si>
  <si>
    <t xml:space="preserve">(OCoLC)ocm01311968</t>
  </si>
  <si>
    <t xml:space="preserve">Ronald Press</t>
  </si>
  <si>
    <t xml:space="preserve">AC5 .R85</t>
  </si>
  <si>
    <t xml:space="preserve">AC    5            R 85</t>
  </si>
  <si>
    <t xml:space="preserve">Yale review anthology, edited with an introduction by Wilbur Cross and Helen MacAfee.</t>
  </si>
  <si>
    <t xml:space="preserve">Yale review anthology,</t>
  </si>
  <si>
    <t xml:space="preserve">(OCoLC)ocm00365259</t>
  </si>
  <si>
    <t xml:space="preserve">Yale University Press; H. Milford, Oxford University Press,</t>
  </si>
  <si>
    <t xml:space="preserve">AC5 .Y3</t>
  </si>
  <si>
    <t xml:space="preserve">AC    5            Y 3</t>
  </si>
  <si>
    <t xml:space="preserve">spa</t>
  </si>
  <si>
    <t xml:space="preserve">RazoÂ¿Â¿n del mundo / Francisco Ayala.</t>
  </si>
  <si>
    <t xml:space="preserve">Ayala, Francisco, 1906-</t>
  </si>
  <si>
    <t xml:space="preserve">RazoÂ¿Â¿n del mundo /</t>
  </si>
  <si>
    <t xml:space="preserve">1a ed.</t>
  </si>
  <si>
    <t xml:space="preserve">(OCoLC)ocm01482800</t>
  </si>
  <si>
    <t xml:space="preserve">Universidad Veracruzana,</t>
  </si>
  <si>
    <t xml:space="preserve">AC75 .A812</t>
  </si>
  <si>
    <t xml:space="preserve">AC   75            A 812</t>
  </si>
  <si>
    <t xml:space="preserve">Obras completas.</t>
  </si>
  <si>
    <t xml:space="preserve">Ocampo, Melchor, 1814-1861.</t>
  </si>
  <si>
    <t xml:space="preserve">(OCoLC)ocm01077840</t>
  </si>
  <si>
    <t xml:space="preserve">1900-01.</t>
  </si>
  <si>
    <t xml:space="preserve">F. VaÂ¿Â¿zquez,</t>
  </si>
  <si>
    <t xml:space="preserve">AC75 .O2</t>
  </si>
  <si>
    <t xml:space="preserve">AC   75            O 2</t>
  </si>
  <si>
    <t xml:space="preserve">v.3</t>
  </si>
  <si>
    <t xml:space="preserve">Artist and the city / Eugenio TriÂ¿Â¿as ; translated by Kenneth Krabbenhoft.</t>
  </si>
  <si>
    <t xml:space="preserve">TriÂ¿Â¿as, Eugenio, 1942-</t>
  </si>
  <si>
    <t xml:space="preserve">Artist and the city /</t>
  </si>
  <si>
    <t xml:space="preserve">(OCoLC)ocm08112931</t>
  </si>
  <si>
    <t xml:space="preserve">Columbia University Press,</t>
  </si>
  <si>
    <t xml:space="preserve">AC75 .T65131982</t>
  </si>
  <si>
    <t xml:space="preserve">AC   75            T 65131982</t>
  </si>
  <si>
    <t xml:space="preserve">Pizza plot : and a few other slices from life / John I. Ades.</t>
  </si>
  <si>
    <t xml:space="preserve">Ades, John I., 1925-</t>
  </si>
  <si>
    <t xml:space="preserve">Pizza plot : and a few other slices from life /</t>
  </si>
  <si>
    <t xml:space="preserve">0931832225 (pbk.)</t>
  </si>
  <si>
    <t xml:space="preserve">(OCoLC)ocm18780340</t>
  </si>
  <si>
    <t xml:space="preserve">Fithian Press,</t>
  </si>
  <si>
    <t xml:space="preserve">AC8 .A251989</t>
  </si>
  <si>
    <t xml:space="preserve">AC    8            A 251989</t>
  </si>
  <si>
    <t xml:space="preserve">3/27/2006</t>
  </si>
  <si>
    <t xml:space="preserve">Past, present, and future / Isaac Asimov.</t>
  </si>
  <si>
    <t xml:space="preserve">Asimov, Isaac, 1920-1992.</t>
  </si>
  <si>
    <t xml:space="preserve">Past, present, and future /</t>
  </si>
  <si>
    <t xml:space="preserve">(OCoLC)ocm15108192</t>
  </si>
  <si>
    <t xml:space="preserve">c1987.</t>
  </si>
  <si>
    <t xml:space="preserve">Prometheus Books,</t>
  </si>
  <si>
    <t xml:space="preserve">AC8 .A721987</t>
  </si>
  <si>
    <t xml:space="preserve">AC    8            A 721987</t>
  </si>
  <si>
    <t xml:space="preserve">4/21/2009</t>
  </si>
  <si>
    <t xml:space="preserve">History, guilt, and habit / Owen Barfield.</t>
  </si>
  <si>
    <t xml:space="preserve">Barfield, Owen, 1898-1997.</t>
  </si>
  <si>
    <t xml:space="preserve">History, guilt, and habit /</t>
  </si>
  <si>
    <t xml:space="preserve">1st pbk. ed.</t>
  </si>
  <si>
    <t xml:space="preserve">0819560642 (pbk.)</t>
  </si>
  <si>
    <t xml:space="preserve">(OCoLC)ocm07819796</t>
  </si>
  <si>
    <t xml:space="preserve">1981, c1979.</t>
  </si>
  <si>
    <t xml:space="preserve">Wesleyan University Press,</t>
  </si>
  <si>
    <t xml:space="preserve">AC8 .B42471981</t>
  </si>
  <si>
    <t xml:space="preserve">AC    8            B 42471981</t>
  </si>
  <si>
    <t xml:space="preserve">Hi, there!</t>
  </si>
  <si>
    <t xml:space="preserve">Clark, Gregory.</t>
  </si>
  <si>
    <t xml:space="preserve">(OCoLC)ocm00465534</t>
  </si>
  <si>
    <t xml:space="preserve">[1963]</t>
  </si>
  <si>
    <t xml:space="preserve">Ryerson Press</t>
  </si>
  <si>
    <t xml:space="preserve">AC8 .C55533</t>
  </si>
  <si>
    <t xml:space="preserve">AC    8            C 55533</t>
  </si>
  <si>
    <t xml:space="preserve">Creation and evolution in primitive cosmogonies, and other pieces, by Sir James George Frazer.</t>
  </si>
  <si>
    <t xml:space="preserve">Frazer, James George, Sir, 1854-1941.</t>
  </si>
  <si>
    <t xml:space="preserve">Creation and evolution in primitive cosmogonies, and other pieces,</t>
  </si>
  <si>
    <t xml:space="preserve">(OCoLC)ocm00421377</t>
  </si>
  <si>
    <t xml:space="preserve">Macmillan and co., limited,</t>
  </si>
  <si>
    <t xml:space="preserve">AC8 .F6955</t>
  </si>
  <si>
    <t xml:space="preserve">AC    8            F 6955</t>
  </si>
  <si>
    <t xml:space="preserve">You can't judge a book by its cover.</t>
  </si>
  <si>
    <t xml:space="preserve">Kitman, Marvin, 1929-</t>
  </si>
  <si>
    <t xml:space="preserve">(OCoLC)ocm00067666</t>
  </si>
  <si>
    <t xml:space="preserve">[1970]</t>
  </si>
  <si>
    <t xml:space="preserve">Weybright and Talley</t>
  </si>
  <si>
    <t xml:space="preserve">AC8 .K778</t>
  </si>
  <si>
    <t xml:space="preserve">AC    8            K 778</t>
  </si>
  <si>
    <t xml:space="preserve">10/31/2012</t>
  </si>
  <si>
    <t xml:space="preserve">Orphan of the desert.</t>
  </si>
  <si>
    <t xml:space="preserve">Krige, Uys, 1910-</t>
  </si>
  <si>
    <t xml:space="preserve">(OCoLC)ocm00459361</t>
  </si>
  <si>
    <t xml:space="preserve">Malherbe,</t>
  </si>
  <si>
    <t xml:space="preserve">AC8 .K826</t>
  </si>
  <si>
    <t xml:space="preserve">AC    8            K 826</t>
  </si>
  <si>
    <t xml:space="preserve">And even if you do; essays on man, manners &amp; machines.</t>
  </si>
  <si>
    <t xml:space="preserve">Krutch, Joseph Wood, 1893-1970.</t>
  </si>
  <si>
    <t xml:space="preserve">(OCoLC)ocm00264927</t>
  </si>
  <si>
    <t xml:space="preserve">Morrow,</t>
  </si>
  <si>
    <t xml:space="preserve">AC8 .K837</t>
  </si>
  <si>
    <t xml:space="preserve">AC    8            K 837</t>
  </si>
  <si>
    <t xml:space="preserve">If you don't mind my saying so ... Essays on man and nature. Foreword by John M. Hutchens.</t>
  </si>
  <si>
    <t xml:space="preserve">If you don't mind my saying so ... Essays on man and nature.</t>
  </si>
  <si>
    <t xml:space="preserve">(OCoLC)ocm00369146</t>
  </si>
  <si>
    <t xml:space="preserve">W. Sloane Associates,</t>
  </si>
  <si>
    <t xml:space="preserve">AC8 .K84</t>
  </si>
  <si>
    <t xml:space="preserve">AC    8            K 84</t>
  </si>
  <si>
    <t xml:space="preserve">Krutch omnibus; forty years of social and literary criticism.</t>
  </si>
  <si>
    <t xml:space="preserve">(OCoLC)ocm00097061</t>
  </si>
  <si>
    <t xml:space="preserve">AC8 .K8441970</t>
  </si>
  <si>
    <t xml:space="preserve">AC    8            K 8441970</t>
  </si>
  <si>
    <t xml:space="preserve">Collected essays.</t>
  </si>
  <si>
    <t xml:space="preserve">Lichtheim, George, 1912-</t>
  </si>
  <si>
    <t xml:space="preserve">(OCoLC)ocm00589013</t>
  </si>
  <si>
    <t xml:space="preserve">[1973]</t>
  </si>
  <si>
    <t xml:space="preserve">Viking Press</t>
  </si>
  <si>
    <t xml:space="preserve">AC8 .L51973</t>
  </si>
  <si>
    <t xml:space="preserve">AC    8            L 51973</t>
  </si>
  <si>
    <t xml:space="preserve">Studies in literature and history.</t>
  </si>
  <si>
    <t xml:space="preserve">Lyall, Alfred Comyn, Sir, 1835-1911</t>
  </si>
  <si>
    <t xml:space="preserve">(OCoLC)ocm00369151</t>
  </si>
  <si>
    <t xml:space="preserve">[1968]</t>
  </si>
  <si>
    <t xml:space="preserve">AC8 .L931968</t>
  </si>
  <si>
    <t xml:space="preserve">AC    8            L 931968</t>
  </si>
  <si>
    <t xml:space="preserve">On the contrary / Mary McCarthy.</t>
  </si>
  <si>
    <t xml:space="preserve">McCarthy, Mary, 1912-</t>
  </si>
  <si>
    <t xml:space="preserve">On the contrary /</t>
  </si>
  <si>
    <t xml:space="preserve">(OCoLC)ocm00271167</t>
  </si>
  <si>
    <t xml:space="preserve">c1961</t>
  </si>
  <si>
    <t xml:space="preserve">Farrar, Straus and Cudahy,</t>
  </si>
  <si>
    <t xml:space="preserve">AC8 .M17151961</t>
  </si>
  <si>
    <t xml:space="preserve">AC    8            M 17151961</t>
  </si>
  <si>
    <t xml:space="preserve">Giving good weight / John McPhee.</t>
  </si>
  <si>
    <t xml:space="preserve">McPhee, John A., 1931-</t>
  </si>
  <si>
    <t xml:space="preserve">Giving good weight /</t>
  </si>
  <si>
    <t xml:space="preserve">0374163065 :</t>
  </si>
  <si>
    <t xml:space="preserve">(OCoLC)ocm05219401</t>
  </si>
  <si>
    <t xml:space="preserve">c1979.</t>
  </si>
  <si>
    <t xml:space="preserve">Farrar-Straus-Giroux,</t>
  </si>
  <si>
    <t xml:space="preserve">AC8 .M26581979</t>
  </si>
  <si>
    <t xml:space="preserve">AC    8            M 26581979</t>
  </si>
  <si>
    <t xml:space="preserve">12/1/2001</t>
  </si>
  <si>
    <t xml:space="preserve">Pieces of the frame / John McPhee.</t>
  </si>
  <si>
    <t xml:space="preserve">McPhee, John A.</t>
  </si>
  <si>
    <t xml:space="preserve">Pieces of the frame /</t>
  </si>
  <si>
    <t xml:space="preserve">0374232814 :</t>
  </si>
  <si>
    <t xml:space="preserve">(OCoLC)ocm01218544</t>
  </si>
  <si>
    <t xml:space="preserve">Farrar, Straus and Giroux,</t>
  </si>
  <si>
    <t xml:space="preserve">AC8 .M2671975</t>
  </si>
  <si>
    <t xml:space="preserve">AC    8            M 2671975</t>
  </si>
  <si>
    <t xml:space="preserve">Most of Malcolm Muggeridge.</t>
  </si>
  <si>
    <t xml:space="preserve">Muggeridge, Malcolm, 1903-</t>
  </si>
  <si>
    <t xml:space="preserve">(OCoLC)ocm01076044</t>
  </si>
  <si>
    <t xml:space="preserve">[1966]</t>
  </si>
  <si>
    <t xml:space="preserve">Simon and Schuster</t>
  </si>
  <si>
    <t xml:space="preserve">AC8 .M75</t>
  </si>
  <si>
    <t xml:space="preserve">AC    8            M 75</t>
  </si>
  <si>
    <t xml:space="preserve">Theodore Roosevelt on race, riots, Reds, crime. Compiled by Archibald B. Roosevelt.</t>
  </si>
  <si>
    <t xml:space="preserve">Roosevelt, Theodore, 1858-1919.</t>
  </si>
  <si>
    <t xml:space="preserve">Theodore Roosevelt on race, riots, Reds, crime.</t>
  </si>
  <si>
    <t xml:space="preserve">(OCoLC)ocm00434130</t>
  </si>
  <si>
    <t xml:space="preserve">Probe</t>
  </si>
  <si>
    <t xml:space="preserve">AC8 .R565</t>
  </si>
  <si>
    <t xml:space="preserve">AC    8            R 565</t>
  </si>
  <si>
    <t xml:space="preserve">Miscellaneous addresses / by Elihu Root ; collected and edited by Robert Bacon and James Brown Scott.</t>
  </si>
  <si>
    <t xml:space="preserve">Root, Elihu, 1845-1937.</t>
  </si>
  <si>
    <t xml:space="preserve">Miscellaneous addresses /</t>
  </si>
  <si>
    <t xml:space="preserve">(OCoLC)ocm00369159</t>
  </si>
  <si>
    <t xml:space="preserve">1966, c1917.</t>
  </si>
  <si>
    <t xml:space="preserve">Kennikat Press,</t>
  </si>
  <si>
    <t xml:space="preserve">AC8 .R571966</t>
  </si>
  <si>
    <t xml:space="preserve">AC    8            R 571966</t>
  </si>
  <si>
    <t xml:space="preserve">Pride of prejudices.</t>
  </si>
  <si>
    <t xml:space="preserve">Royster, Vermont.</t>
  </si>
  <si>
    <t xml:space="preserve">(OCoLC)ocm00369163</t>
  </si>
  <si>
    <t xml:space="preserve">Knopf,</t>
  </si>
  <si>
    <t xml:space="preserve">AC8 .R68</t>
  </si>
  <si>
    <t xml:space="preserve">AC    8            R 68</t>
  </si>
  <si>
    <t xml:space="preserve">Sermons and speeches of Gerrit Smith.</t>
  </si>
  <si>
    <t xml:space="preserve">Smith, Gerrit, 1797-1874</t>
  </si>
  <si>
    <t xml:space="preserve">(OCoLC)ocm00090386</t>
  </si>
  <si>
    <t xml:space="preserve">Arno Press,</t>
  </si>
  <si>
    <t xml:space="preserve">AC8 .S6151969</t>
  </si>
  <si>
    <t xml:space="preserve">AC    8            S 6151969</t>
  </si>
  <si>
    <t xml:space="preserve">Styles of radical will.</t>
  </si>
  <si>
    <t xml:space="preserve">Sontag, Susan, 1933-2004.</t>
  </si>
  <si>
    <t xml:space="preserve">(OCoLC)ocm00005329</t>
  </si>
  <si>
    <t xml:space="preserve">Farrar, Straus and Giroux</t>
  </si>
  <si>
    <t xml:space="preserve">AC8 .S64841969</t>
  </si>
  <si>
    <t xml:space="preserve">AC    8            S 64841969</t>
  </si>
  <si>
    <t xml:space="preserve">11/1/2011</t>
  </si>
  <si>
    <t xml:space="preserve">Pink and brown people and other controversial essays / Thomas Sowell.</t>
  </si>
  <si>
    <t xml:space="preserve">Sowell, Thomas, 1930-</t>
  </si>
  <si>
    <t xml:space="preserve">Pink and brown people and other controversial essays /</t>
  </si>
  <si>
    <t xml:space="preserve">0817975322 (pbk.)</t>
  </si>
  <si>
    <t xml:space="preserve">(OCoLC)ocm07760717</t>
  </si>
  <si>
    <t xml:space="preserve">c1981.</t>
  </si>
  <si>
    <t xml:space="preserve">Hoover Institution Press,</t>
  </si>
  <si>
    <t xml:space="preserve">AC8 .S64846</t>
  </si>
  <si>
    <t xml:space="preserve">AC    8            S 64846</t>
  </si>
  <si>
    <t xml:space="preserve">und</t>
  </si>
  <si>
    <t xml:space="preserve">DANIEL WEBSTER: A VINDICATION, WITH OTHER HISTORICAL ESSAYS</t>
  </si>
  <si>
    <t xml:space="preserve">Wilkinson, William Cleaver, 1833-1920</t>
  </si>
  <si>
    <t xml:space="preserve">se 00040958</t>
  </si>
  <si>
    <t xml:space="preserve">AC8 .W6</t>
  </si>
  <si>
    <t xml:space="preserve">AC    8            W 6</t>
  </si>
  <si>
    <t xml:space="preserve">iri</t>
  </si>
  <si>
    <t xml:space="preserve">Saltair na rann, a collection of early Middle Irish poems; ed. from ms. Rawl. B. 502, in the Bodleian library by Whitley Stokes.</t>
  </si>
  <si>
    <t xml:space="preserve">Saltair na rann, a collection of early Middle Irish poems;</t>
  </si>
  <si>
    <t xml:space="preserve">(OCoLC)ocm03785044</t>
  </si>
  <si>
    <t xml:space="preserve">Clarendon press,</t>
  </si>
  <si>
    <t xml:space="preserve">AC9.A64 THSER.PT.3</t>
  </si>
  <si>
    <t xml:space="preserve">AC    9            A 64   THSER PT .3</t>
  </si>
  <si>
    <t xml:space="preserve">Kister's best encyclopedias : a comparative guide to general and specialized encyclopedias / Kenneth F. Kister.</t>
  </si>
  <si>
    <t xml:space="preserve">Kister, Kenneth F., 1935-</t>
  </si>
  <si>
    <t xml:space="preserve">Kister's best encyclopedias : a comparative guide to general and specialized encyclopedias /</t>
  </si>
  <si>
    <t xml:space="preserve">2nd ed.</t>
  </si>
  <si>
    <t xml:space="preserve">(OCoLC)ocm30353313</t>
  </si>
  <si>
    <t xml:space="preserve">Oryx Press,</t>
  </si>
  <si>
    <t xml:space="preserve">AE1 .K571994</t>
  </si>
  <si>
    <t xml:space="preserve">AE    1            K 571994</t>
  </si>
  <si>
    <t xml:space="preserve">8/16/2010</t>
  </si>
  <si>
    <t xml:space="preserve">Circle of knowledge; encyclopaedias past and present, compiled and with an introductory essay by James M. Wells.</t>
  </si>
  <si>
    <t xml:space="preserve">Wells, James M.</t>
  </si>
  <si>
    <t xml:space="preserve">Circle of knowledge; encyclopaedias past and present,</t>
  </si>
  <si>
    <t xml:space="preserve">(OCoLC)ocm00374031</t>
  </si>
  <si>
    <t xml:space="preserve">Newberry Library,</t>
  </si>
  <si>
    <t xml:space="preserve">AE1 .W43</t>
  </si>
  <si>
    <t xml:space="preserve">AE    1            W 43</t>
  </si>
  <si>
    <t xml:space="preserve">Mediaeval lore, from Bartholomew Anglicus, by Robert Steele, with a preface by William Morris.</t>
  </si>
  <si>
    <t xml:space="preserve">Bartholomaeus, Anglicus, 13th cent.</t>
  </si>
  <si>
    <t xml:space="preserve">Mediaeval lore,</t>
  </si>
  <si>
    <t xml:space="preserve">(OCoLC)ocm03616605</t>
  </si>
  <si>
    <t xml:space="preserve">Chatto &amp; Windus,</t>
  </si>
  <si>
    <t xml:space="preserve">AE2 .B31924</t>
  </si>
  <si>
    <t xml:space="preserve">AE    2            B 31924</t>
  </si>
  <si>
    <t xml:space="preserve">Didascalicon; a medieval guide to the arts. Translated from the Latin with an introd. and notes by Jerome Taylor.</t>
  </si>
  <si>
    <t xml:space="preserve">Hugh, of Saint-Victor, 1096?-1141.</t>
  </si>
  <si>
    <t xml:space="preserve">Didascalicon; a medieval guide to the arts.</t>
  </si>
  <si>
    <t xml:space="preserve">(OCoLC)ocm00367564</t>
  </si>
  <si>
    <t xml:space="preserve">AE2 .H831961</t>
  </si>
  <si>
    <t xml:space="preserve">AE    2            H 831961</t>
  </si>
  <si>
    <t xml:space="preserve">1/23/2007</t>
  </si>
  <si>
    <t xml:space="preserve">ENCYCLOPEDIE, OU, DICTIONNAIRE RAISONNE DES SCIENCES, DES ARTS ET DES METIERS, 1751-1772.</t>
  </si>
  <si>
    <t xml:space="preserve">ENCYCLOPEDIE; OU, DICTIONNAIRE RAISONNE DES SCIENCES.</t>
  </si>
  <si>
    <t xml:space="preserve">se 00041056</t>
  </si>
  <si>
    <t xml:space="preserve">AE25 .E531963</t>
  </si>
  <si>
    <t xml:space="preserve">AE   25            E 531963</t>
  </si>
  <si>
    <t xml:space="preserve">12/12/2008</t>
  </si>
  <si>
    <t xml:space="preserve">ENCYCLOPEDIC</t>
  </si>
  <si>
    <t xml:space="preserve">se 00041059</t>
  </si>
  <si>
    <t xml:space="preserve">AE25 .E55</t>
  </si>
  <si>
    <t xml:space="preserve">AE   25            E 55</t>
  </si>
  <si>
    <t xml:space="preserve">Essays on the EncyclopeÂ¿Â¿die of Diderot and D'Alembert.</t>
  </si>
  <si>
    <t xml:space="preserve">Lough, John.</t>
  </si>
  <si>
    <t xml:space="preserve">(OCoLC)ocm00384421</t>
  </si>
  <si>
    <t xml:space="preserve">Oxford U.P.,</t>
  </si>
  <si>
    <t xml:space="preserve">AE25 .E5651968</t>
  </si>
  <si>
    <t xml:space="preserve">AE   25            E 5651968</t>
  </si>
  <si>
    <t xml:space="preserve">Preliminary discourse to the Encyclopedia of Diderot. Translated by Richard N. Schwab, with the collaboration of Walter E. Rex. With an introd. and notes by Richard N. Schwab.</t>
  </si>
  <si>
    <t xml:space="preserve">Alembert, Jean Le Rond d', 1717-1783.</t>
  </si>
  <si>
    <t xml:space="preserve">Preliminary discourse to the Encyclopedia of Diderot.</t>
  </si>
  <si>
    <t xml:space="preserve">(OCoLC)ocm00846460</t>
  </si>
  <si>
    <t xml:space="preserve">[c1963]</t>
  </si>
  <si>
    <t xml:space="preserve">Bobbs-Merrill</t>
  </si>
  <si>
    <t xml:space="preserve">AE25 .E5721963</t>
  </si>
  <si>
    <t xml:space="preserve">AE   25            E 5721963</t>
  </si>
  <si>
    <t xml:space="preserve">10/17/2006</t>
  </si>
  <si>
    <t xml:space="preserve">as</t>
  </si>
  <si>
    <t xml:space="preserve">fre</t>
  </si>
  <si>
    <t xml:space="preserve">Quid? / Dominique FremÂ¿Â¿y. --</t>
  </si>
  <si>
    <t xml:space="preserve">Quid? /</t>
  </si>
  <si>
    <t xml:space="preserve">(OCoLC)ocm02822208</t>
  </si>
  <si>
    <t xml:space="preserve">1963-</t>
  </si>
  <si>
    <t xml:space="preserve">R. Laffont,</t>
  </si>
  <si>
    <t xml:space="preserve">AE25 .F75</t>
  </si>
  <si>
    <t xml:space="preserve">AE   25            F 75</t>
  </si>
  <si>
    <t xml:space="preserve">'EncyclopeÂ¿Â¿die' in eighteenth century England, and other studies.</t>
  </si>
  <si>
    <t xml:space="preserve">(OCoLC)ocm00129124</t>
  </si>
  <si>
    <t xml:space="preserve">Oriel P.,</t>
  </si>
  <si>
    <t xml:space="preserve">AE25.E6 L66</t>
  </si>
  <si>
    <t xml:space="preserve">AE   25            E 6   L 66</t>
  </si>
  <si>
    <t xml:space="preserve">'EncyclopeÂ¿Â¿die' and the clerks: the Zaharoff lecture for 1970.</t>
  </si>
  <si>
    <t xml:space="preserve">Shackleton, Robert.</t>
  </si>
  <si>
    <t xml:space="preserve">(OCoLC)ocm00133327</t>
  </si>
  <si>
    <t xml:space="preserve">Clarendon P.,</t>
  </si>
  <si>
    <t xml:space="preserve">AE25.E6 S5</t>
  </si>
  <si>
    <t xml:space="preserve">AE   25            E 6   S 5</t>
  </si>
  <si>
    <t xml:space="preserve">ger</t>
  </si>
  <si>
    <t xml:space="preserve">Herders Konversations-Lexikon / Reich illustriert durch Textabbildungen, Tafeln und Karten.</t>
  </si>
  <si>
    <t xml:space="preserve">Herders Konversations-Lexikon /</t>
  </si>
  <si>
    <t xml:space="preserve">3. Aufl.</t>
  </si>
  <si>
    <t xml:space="preserve">(OCoLC)ocm03791624</t>
  </si>
  <si>
    <t xml:space="preserve">1902-1907.</t>
  </si>
  <si>
    <t xml:space="preserve">B. Herder,</t>
  </si>
  <si>
    <t xml:space="preserve">AE27 .H5</t>
  </si>
  <si>
    <t xml:space="preserve">AE   27            H 5</t>
  </si>
  <si>
    <t xml:space="preserve">8/13/2010</t>
  </si>
  <si>
    <t xml:space="preserve">v.5</t>
  </si>
  <si>
    <t xml:space="preserve">v.7</t>
  </si>
  <si>
    <t xml:space="preserve">4/10/2008</t>
  </si>
  <si>
    <t xml:space="preserve">Herders konversations-lexikon. --ErgaÂ¿Â¿nzungs-band.</t>
  </si>
  <si>
    <t xml:space="preserve">(OCoLC)ocm29104568</t>
  </si>
  <si>
    <t xml:space="preserve">Herder,</t>
  </si>
  <si>
    <t xml:space="preserve">AE27.H5 SUPPL.NO.1</t>
  </si>
  <si>
    <t xml:space="preserve">AE   27            H 5   SUPPL NO .1</t>
  </si>
  <si>
    <t xml:space="preserve">por</t>
  </si>
  <si>
    <t xml:space="preserve">Maravilhas do conhecimento universal.</t>
  </si>
  <si>
    <t xml:space="preserve">Pereira, J.</t>
  </si>
  <si>
    <t xml:space="preserve">(OCoLC)ocm23647229</t>
  </si>
  <si>
    <t xml:space="preserve">[1966]-</t>
  </si>
  <si>
    <t xml:space="preserve">Comercio e ImportacÂ¿Â¿aÂ¿Â¿o de Livros</t>
  </si>
  <si>
    <t xml:space="preserve">AE37 .P47</t>
  </si>
  <si>
    <t xml:space="preserve">AE   37            P 47</t>
  </si>
  <si>
    <t xml:space="preserve">Lady's encyclopedia; or, A concise analysis of the belles lettres, the fine arts and the sciences.</t>
  </si>
  <si>
    <t xml:space="preserve">Seally, John, 1747?-1795.</t>
  </si>
  <si>
    <t xml:space="preserve">(OCoLC)ocm00340583</t>
  </si>
  <si>
    <t xml:space="preserve">Garland Pub.,</t>
  </si>
  <si>
    <t xml:space="preserve">AE4 .S41788A</t>
  </si>
  <si>
    <t xml:space="preserve">AE    4            S 41788 A</t>
  </si>
  <si>
    <t xml:space="preserve">7/12/2012</t>
  </si>
  <si>
    <t xml:space="preserve">New American cyclopaedia: a popular dictionary of general knowledge. Edited by George Ripley and Charles A. Dana.</t>
  </si>
  <si>
    <t xml:space="preserve">New American cyclopaedia: a popular dictionary of general knowledge.</t>
  </si>
  <si>
    <t xml:space="preserve">(OCoLC)ocm04446694</t>
  </si>
  <si>
    <t xml:space="preserve">D. Appleton and Company,</t>
  </si>
  <si>
    <t xml:space="preserve">AE5 .A6695</t>
  </si>
  <si>
    <t xml:space="preserve">AE    5            A 6695</t>
  </si>
  <si>
    <t xml:space="preserve">v.14</t>
  </si>
  <si>
    <t xml:space="preserve">American cyclopaedia: a popular dictionary of general knowledge. Ed. by George Ripley and Charles A. Dana. With supplement.</t>
  </si>
  <si>
    <t xml:space="preserve">American cyclopaedia: a popular dictionary of general knowledge.</t>
  </si>
  <si>
    <t xml:space="preserve">Rev. ed.</t>
  </si>
  <si>
    <t xml:space="preserve">(OCoLC)ocm01807701</t>
  </si>
  <si>
    <t xml:space="preserve">1883 [c1880]</t>
  </si>
  <si>
    <t xml:space="preserve">D. Appleton,</t>
  </si>
  <si>
    <t xml:space="preserve">AE5 .A68</t>
  </si>
  <si>
    <t xml:space="preserve">AE    5            A 68</t>
  </si>
  <si>
    <t xml:space="preserve">Appletons' annual cyclopedia and register of important events. Embracing political, military, and ecclesiastical affairs; public documents; biography, statistics, commerce, finance, literature, science, agriculture, and mechanical industry.</t>
  </si>
  <si>
    <t xml:space="preserve">Appletons' annual cyclopedia and register of important events. Embracing political, military, and ecclesiastical affairs; public documents; biography,</t>
  </si>
  <si>
    <t xml:space="preserve">(OCoLC)ocm13898009</t>
  </si>
  <si>
    <t xml:space="preserve">1862-1903.</t>
  </si>
  <si>
    <t xml:space="preserve">Appleton,</t>
  </si>
  <si>
    <t xml:space="preserve">AE5 .A7</t>
  </si>
  <si>
    <t xml:space="preserve">AE    5            A 7</t>
  </si>
  <si>
    <t xml:space="preserve">1861 (v.1)</t>
  </si>
  <si>
    <t xml:space="preserve">1862 (v.2)</t>
  </si>
  <si>
    <t xml:space="preserve">1863 (v.3)</t>
  </si>
  <si>
    <t xml:space="preserve">1864 (v.4)</t>
  </si>
  <si>
    <t xml:space="preserve">1865 (v.5)</t>
  </si>
  <si>
    <t xml:space="preserve">1866 (v.6)</t>
  </si>
  <si>
    <t xml:space="preserve">1867 (v.7)</t>
  </si>
  <si>
    <t xml:space="preserve">1868 (v.8)</t>
  </si>
  <si>
    <t xml:space="preserve">1869 (v.9)</t>
  </si>
  <si>
    <t xml:space="preserve">1870 (v.10)</t>
  </si>
  <si>
    <t xml:space="preserve">1871 (v.11)</t>
  </si>
  <si>
    <t xml:space="preserve">1872 (v.12)</t>
  </si>
  <si>
    <t xml:space="preserve">1873 (v.13)</t>
  </si>
  <si>
    <t xml:space="preserve">1874 (v.14)</t>
  </si>
  <si>
    <t xml:space="preserve">1875 (v.15)</t>
  </si>
  <si>
    <t xml:space="preserve">1876 (v.16)</t>
  </si>
  <si>
    <t xml:space="preserve">1877 (v.17)</t>
  </si>
  <si>
    <t xml:space="preserve">1878 (v.18)</t>
  </si>
  <si>
    <t xml:space="preserve">1879 (v.19)</t>
  </si>
  <si>
    <t xml:space="preserve">1880 (v.20)</t>
  </si>
  <si>
    <t xml:space="preserve">1881 (v.21)</t>
  </si>
  <si>
    <t xml:space="preserve">1882 (v.22)</t>
  </si>
  <si>
    <t xml:space="preserve">1883 (v.23)</t>
  </si>
  <si>
    <t xml:space="preserve">1884 (v.24)</t>
  </si>
  <si>
    <t xml:space="preserve">1885 (v.25)</t>
  </si>
  <si>
    <t xml:space="preserve">1886 (v.26)</t>
  </si>
  <si>
    <t xml:space="preserve">1887 (v.27)</t>
  </si>
  <si>
    <t xml:space="preserve">1888 (v.28)</t>
  </si>
  <si>
    <t xml:space="preserve">1890 (v.30)</t>
  </si>
  <si>
    <t xml:space="preserve">1891 (v.31)</t>
  </si>
  <si>
    <t xml:space="preserve">1892 (v.32)</t>
  </si>
  <si>
    <t xml:space="preserve">1893 (v.33)</t>
  </si>
  <si>
    <t xml:space="preserve">1894 (v.34)</t>
  </si>
  <si>
    <t xml:space="preserve">1895 (v.35)</t>
  </si>
  <si>
    <t xml:space="preserve">1896 (v.36)</t>
  </si>
  <si>
    <t xml:space="preserve">1897 (v.37)</t>
  </si>
  <si>
    <t xml:space="preserve">1898 (v.38)</t>
  </si>
  <si>
    <t xml:space="preserve">1899 (v.39)</t>
  </si>
  <si>
    <t xml:space="preserve">1900 (v.40)</t>
  </si>
  <si>
    <t xml:space="preserve">1901 (v.41)</t>
  </si>
  <si>
    <t xml:space="preserve">1902 (v.42)</t>
  </si>
  <si>
    <t xml:space="preserve">EncyclopÂ¿Â¿dia britannica; the new volumes, constituting, in combination with the twenty-nine volumes of the eleventh edition, the twelfth edition of that work, and also supplying a new, distinctive, and independent library of reference dealing with events</t>
  </si>
  <si>
    <t xml:space="preserve">EncyclopÂ¿Â¿dia britannica; the new volumes, constituting, in combination with the twenty-nine volumes of the eleventh edition, the twelfth edition of t</t>
  </si>
  <si>
    <t xml:space="preserve">(OCoLC)ocm00266609</t>
  </si>
  <si>
    <t xml:space="preserve">The EncyclopÂ¿Â¿dia Britannica, Company ltd.; The EncyclopÂ¿Â¿dia Britannica, inc.,</t>
  </si>
  <si>
    <t xml:space="preserve">AE5 .E36 1910a Suppl.</t>
  </si>
  <si>
    <t xml:space="preserve">AE    5            E 36   1910 A   SUPPL</t>
  </si>
  <si>
    <t xml:space="preserve">Encyclopaedia britannica; a dictionary of arts, science, literature &amp; general information; the three new supplementary volumes constituting with the volumes of the latest standard edition, the thirteenth edition ...</t>
  </si>
  <si>
    <t xml:space="preserve">Encyclopaedia britannica;</t>
  </si>
  <si>
    <t xml:space="preserve">(OCoLC)ocm03046645</t>
  </si>
  <si>
    <t xml:space="preserve">[c1926]</t>
  </si>
  <si>
    <t xml:space="preserve">The Encyclopaedia britannica company, ltd.; The Encyclopaedia britannica, inc.</t>
  </si>
  <si>
    <t xml:space="preserve">AE5 .E36 1926 Suppl.</t>
  </si>
  <si>
    <t xml:space="preserve">AE    5            E 36   1926   SUPPL</t>
  </si>
  <si>
    <t xml:space="preserve">New Encyclopaedia Britannica.</t>
  </si>
  <si>
    <t xml:space="preserve">15th ed.</t>
  </si>
  <si>
    <t xml:space="preserve">(OCoLC)ocm37558138</t>
  </si>
  <si>
    <t xml:space="preserve">c1998.</t>
  </si>
  <si>
    <t xml:space="preserve">Encyclopaedia Britannica,</t>
  </si>
  <si>
    <t xml:space="preserve">AE5 .E363 1998</t>
  </si>
  <si>
    <t xml:space="preserve">AE    5            E 363   1998</t>
  </si>
  <si>
    <t xml:space="preserve">v.22</t>
  </si>
  <si>
    <t xml:space="preserve">Britannica book of the year.</t>
  </si>
  <si>
    <t xml:space="preserve">(OCoLC)ocm00911926</t>
  </si>
  <si>
    <t xml:space="preserve">Encyclopaedia Britannica, inc.</t>
  </si>
  <si>
    <t xml:space="preserve">AE5 .E364</t>
  </si>
  <si>
    <t xml:space="preserve">AE    5            E 364</t>
  </si>
  <si>
    <t xml:space="preserve">SERIAL 16/8/4 WK</t>
  </si>
  <si>
    <t xml:space="preserve">11/26/2013</t>
  </si>
  <si>
    <t xml:space="preserve">4/3/2003</t>
  </si>
  <si>
    <t xml:space="preserve">4/2/2003</t>
  </si>
  <si>
    <t xml:space="preserve">4/1/2003</t>
  </si>
  <si>
    <t xml:space="preserve">3/31/2003</t>
  </si>
  <si>
    <t xml:space="preserve">New Americanized Encyclopaedia Britannica. A dictionary of arts, sciences, and literature, with many articles by special writers.</t>
  </si>
  <si>
    <t xml:space="preserve">New Americanized Encyclopaedia Britannica. A dictionary of arts, sciences, and literature, with many articles</t>
  </si>
  <si>
    <t xml:space="preserve">(Twentieth century ed.)</t>
  </si>
  <si>
    <t xml:space="preserve">(OCoLC)ocm08633034</t>
  </si>
  <si>
    <t xml:space="preserve">The Saalfield Publishing Company,</t>
  </si>
  <si>
    <t xml:space="preserve">AE5 .E425</t>
  </si>
  <si>
    <t xml:space="preserve">AE    5            E 425</t>
  </si>
  <si>
    <t xml:space="preserve">LONDON ENCYCLOPEDIA</t>
  </si>
  <si>
    <t xml:space="preserve">se 00041049</t>
  </si>
  <si>
    <t xml:space="preserve">AE5 .L65</t>
  </si>
  <si>
    <t xml:space="preserve">AE    5            L 65</t>
  </si>
  <si>
    <t xml:space="preserve">GENERAL AND ANLYTICAL INDEX TO THE AMERICAN CYCLOPAEDIA</t>
  </si>
  <si>
    <t xml:space="preserve">CONANT, D. D.</t>
  </si>
  <si>
    <t xml:space="preserve">se 04020526</t>
  </si>
  <si>
    <t xml:space="preserve">AE5.A68 INDEX</t>
  </si>
  <si>
    <t xml:space="preserve">AE    5            A 68   INDEX</t>
  </si>
  <si>
    <t xml:space="preserve">General index to Appleton's annual cyclopaedia, embracing vols. I to XV inclusive and the years 1861 to 1875.</t>
  </si>
  <si>
    <t xml:space="preserve">(OCoLC)ocm25192052</t>
  </si>
  <si>
    <t xml:space="preserve">D. Appleton and Co.,</t>
  </si>
  <si>
    <t xml:space="preserve">AE5.A7 INDEX1861-75</t>
  </si>
  <si>
    <t xml:space="preserve">AE    5            A 7   INDEX 1861 75</t>
  </si>
  <si>
    <t xml:space="preserve">Great EB; the story of the Encyclopaedia Britannica.</t>
  </si>
  <si>
    <t xml:space="preserve">Kogan, Herman.</t>
  </si>
  <si>
    <t xml:space="preserve">(OCoLC)ocm01252257</t>
  </si>
  <si>
    <t xml:space="preserve">[1958]</t>
  </si>
  <si>
    <t xml:space="preserve">University of Chicago Press</t>
  </si>
  <si>
    <t xml:space="preserve">AE5.E44 K6</t>
  </si>
  <si>
    <t xml:space="preserve">AE    5            E 44   K 6</t>
  </si>
  <si>
    <t xml:space="preserve">Misinforming a nation, by Willard Huntington Wright.</t>
  </si>
  <si>
    <t xml:space="preserve">Van Dine, S. S.</t>
  </si>
  <si>
    <t xml:space="preserve">Misinforming a nation,</t>
  </si>
  <si>
    <t xml:space="preserve">(OCoLC)ocm02292168</t>
  </si>
  <si>
    <t xml:space="preserve">B. W. Huebsch,</t>
  </si>
  <si>
    <t xml:space="preserve">AE5.E44 W8</t>
  </si>
  <si>
    <t xml:space="preserve">AE    5            E 44   W 8</t>
  </si>
  <si>
    <t xml:space="preserve">pol</t>
  </si>
  <si>
    <t xml:space="preserve">PodreÂ¿Â¿czna encyklopedia powszechna. Redaktor, StanisÂ¿Â¿aw Lam.</t>
  </si>
  <si>
    <t xml:space="preserve">PodreÂ¿Â¿czna encyklopedia powszechna.</t>
  </si>
  <si>
    <t xml:space="preserve">(OCoLC)ocm00192413</t>
  </si>
  <si>
    <t xml:space="preserve">[1954]</t>
  </si>
  <si>
    <t xml:space="preserve">KsieÂ¿Â¿garnia Polska</t>
  </si>
  <si>
    <t xml:space="preserve">AE53 .P6</t>
  </si>
  <si>
    <t xml:space="preserve">AE   53            P 6</t>
  </si>
  <si>
    <t xml:space="preserve">Deutsch-amerikanisches Conversations-Lexicon. Mit specieller RuÂ¿Â¿cksicht auf das BeduÂ¿Â¿rfnisz der in Amerika lebenden Deutschen, mit Benutzung aller deutschen, amerikanischen, englischen und franzoÂ¿Â¿sischen Quellen, und unter Mitwirkung vieler hervorragen</t>
  </si>
  <si>
    <t xml:space="preserve">Deutsch-amerikanisches Conversations-Lexicon.</t>
  </si>
  <si>
    <t xml:space="preserve">(OCoLC)ocm02943614</t>
  </si>
  <si>
    <t xml:space="preserve">1869-74.</t>
  </si>
  <si>
    <t xml:space="preserve">E. Stieger,</t>
  </si>
  <si>
    <t xml:space="preserve">AE8 .D5</t>
  </si>
  <si>
    <t xml:space="preserve">AE    8            D 5</t>
  </si>
  <si>
    <t xml:space="preserve">6/21/2005</t>
  </si>
  <si>
    <t xml:space="preserve">Notable last facts : a compendium of endings, conclusions, terminations, and final events throughout history / compiled by William B. Brahms.</t>
  </si>
  <si>
    <t xml:space="preserve">Brahms, William B.</t>
  </si>
  <si>
    <t xml:space="preserve">Notable last facts : a compendium of endings, conclusions, terminations, and final events throughout history /</t>
  </si>
  <si>
    <t xml:space="preserve">0976532506 (acid-free paper)</t>
  </si>
  <si>
    <t xml:space="preserve">(OCoLC)ocm60769184</t>
  </si>
  <si>
    <t xml:space="preserve">c2005.</t>
  </si>
  <si>
    <t xml:space="preserve">Reference Desk Press,</t>
  </si>
  <si>
    <t xml:space="preserve">AG105 .B773 2005</t>
  </si>
  <si>
    <t xml:space="preserve">AG  105            B 773   2005</t>
  </si>
  <si>
    <t xml:space="preserve">4/18/2006</t>
  </si>
  <si>
    <t xml:space="preserve">Outline of man's knowledge of the modern world.</t>
  </si>
  <si>
    <t xml:space="preserve">Bryson, Lyman, 1888-1959.</t>
  </si>
  <si>
    <t xml:space="preserve">(OCoLC)ocm00553010</t>
  </si>
  <si>
    <t xml:space="preserve">McGraw-Hill</t>
  </si>
  <si>
    <t xml:space="preserve">AG105 .B82</t>
  </si>
  <si>
    <t xml:space="preserve">AG  105            B 82</t>
  </si>
  <si>
    <t xml:space="preserve">Some things worth knowing; a generalist's guide to useful knowledge.</t>
  </si>
  <si>
    <t xml:space="preserve">Chase, Stuart, 1888-1985.</t>
  </si>
  <si>
    <t xml:space="preserve">(OCoLC)ocm00369248</t>
  </si>
  <si>
    <t xml:space="preserve">Harper</t>
  </si>
  <si>
    <t xml:space="preserve">AG105 .C461958</t>
  </si>
  <si>
    <t xml:space="preserve">AG  105            C 461958</t>
  </si>
  <si>
    <t xml:space="preserve">Gaskell's compendium of forms : educational, social, legal and commercial, embracing a complete self-teaching course in penmanship and bookkeeping, and aid to English composition; together with the laws and by-laws of social etiquette, and business law an</t>
  </si>
  <si>
    <t xml:space="preserve">Gaskell, George A., 1844-</t>
  </si>
  <si>
    <t xml:space="preserve">Gaskell's compendium of forms : educational, social, legal and commercial, embracing a complete self-teaching course in penmanship and bookkeeping, an</t>
  </si>
  <si>
    <t xml:space="preserve">(OCoLC)ocm05278697</t>
  </si>
  <si>
    <t xml:space="preserve">R. S. Peale &amp; Co.,</t>
  </si>
  <si>
    <t xml:space="preserve">AG105 .G251882</t>
  </si>
  <si>
    <t xml:space="preserve">AG  105            G 251882</t>
  </si>
  <si>
    <t xml:space="preserve">10/9/2009</t>
  </si>
  <si>
    <t xml:space="preserve">Lincoln library of essential information : named in honor of Abraham Lincoln, whose inspiring example demonstrated the possibilities of self- education : revised with each new printing.</t>
  </si>
  <si>
    <t xml:space="preserve">Lincoln library of essential information : named in honor of Abraham Lincoln, whose inspiring example demonstrated the possibilities of self- educatio</t>
  </si>
  <si>
    <t xml:space="preserve">(OCoLC)ocm01605176</t>
  </si>
  <si>
    <t xml:space="preserve">The Frontier Press.</t>
  </si>
  <si>
    <t xml:space="preserve">AG105 .L55</t>
  </si>
  <si>
    <t xml:space="preserve">AG  105            L 55</t>
  </si>
  <si>
    <t xml:space="preserve">v.2 1971 (34th ed.)</t>
  </si>
  <si>
    <t xml:space="preserve">8/2/2010</t>
  </si>
  <si>
    <t xml:space="preserve">v.1 1971 (34th ed.)</t>
  </si>
  <si>
    <t xml:space="preserve">v.2 1985 (43rd ed.)</t>
  </si>
  <si>
    <t xml:space="preserve">v.1 1985 (43rd ed.)</t>
  </si>
  <si>
    <t xml:space="preserve">Lincoln library of language arts.</t>
  </si>
  <si>
    <t xml:space="preserve">(OCoLC)ocm00219393</t>
  </si>
  <si>
    <t xml:space="preserve">Frontier Press Co.</t>
  </si>
  <si>
    <t xml:space="preserve">AG105 .L57</t>
  </si>
  <si>
    <t xml:space="preserve">AG  105            L 57</t>
  </si>
  <si>
    <t xml:space="preserve">Roads to knowledge, New and enl. ed. Edited by William Allan Neilson.</t>
  </si>
  <si>
    <t xml:space="preserve">Neilson, William Allan, 1869-1946.</t>
  </si>
  <si>
    <t xml:space="preserve">Roads to knowledge,</t>
  </si>
  <si>
    <t xml:space="preserve">(OCoLC)ocm01347086</t>
  </si>
  <si>
    <t xml:space="preserve">[c1937]</t>
  </si>
  <si>
    <t xml:space="preserve">W.W. Norton &amp; company, inc.</t>
  </si>
  <si>
    <t xml:space="preserve">AG105 .N351937A</t>
  </si>
  <si>
    <t xml:space="preserve">AG  105            N 351937 A</t>
  </si>
  <si>
    <t xml:space="preserve">College of life; or, Practical self-educator, a manual of self-improvement for the colored race, forming an educational emancipator and a guide to success, giving examples and achievements of successful men and women of the race as an incentive and inspir</t>
  </si>
  <si>
    <t xml:space="preserve">Northrop, Henry Davenport, 1836-1909.</t>
  </si>
  <si>
    <t xml:space="preserve">College of life; or, Practical self-educator, a manual of self-improvement for the colored race, forming an educational emancipator and a guide to suc</t>
  </si>
  <si>
    <t xml:space="preserve">(OCoLC)ocm00014858</t>
  </si>
  <si>
    <t xml:space="preserve">Mnemosyne Pub. Inc.,</t>
  </si>
  <si>
    <t xml:space="preserve">AG105 .N8481969</t>
  </si>
  <si>
    <t xml:space="preserve">AG  105            N 8481969</t>
  </si>
  <si>
    <t xml:space="preserve">Panati's extraordinary endings of practically everything and everybody / Charles Panati.</t>
  </si>
  <si>
    <t xml:space="preserve">Panati, Charles, 1943-</t>
  </si>
  <si>
    <t xml:space="preserve">Panati's extraordinary endings of practically everything and everybody /</t>
  </si>
  <si>
    <t xml:space="preserve">(OCoLC)ocm19388877</t>
  </si>
  <si>
    <t xml:space="preserve">c1989.</t>
  </si>
  <si>
    <t xml:space="preserve">AG105 .P118 1989</t>
  </si>
  <si>
    <t xml:space="preserve">AG  105            P 118   1989</t>
  </si>
  <si>
    <t xml:space="preserve">World facts and figures.</t>
  </si>
  <si>
    <t xml:space="preserve">Pringle, Patrick.</t>
  </si>
  <si>
    <t xml:space="preserve">5th ed. revised.</t>
  </si>
  <si>
    <t xml:space="preserve">(OCoLC)ocm00954986</t>
  </si>
  <si>
    <t xml:space="preserve">Harrap,</t>
  </si>
  <si>
    <t xml:space="preserve">AG105 .P861967</t>
  </si>
  <si>
    <t xml:space="preserve">AG  105            P 861967</t>
  </si>
  <si>
    <t xml:space="preserve">Remedies, potions &amp; razzmatazz / edited by Don Roberts.</t>
  </si>
  <si>
    <t xml:space="preserve">Remedies, potions &amp; razzmatazz /</t>
  </si>
  <si>
    <t xml:space="preserve">0962867608 (pbk.)</t>
  </si>
  <si>
    <t xml:space="preserve">(OCoLC)ocm24561323</t>
  </si>
  <si>
    <t xml:space="preserve">Nostalgia Press,</t>
  </si>
  <si>
    <t xml:space="preserve">AG105 .R46 1991</t>
  </si>
  <si>
    <t xml:space="preserve">AG  105            R 46   1991</t>
  </si>
  <si>
    <t xml:space="preserve">10/6/2006</t>
  </si>
  <si>
    <t xml:space="preserve">Student manuals : their rationale and design / Cathy A. Rodgers, Robert E. Burnett.</t>
  </si>
  <si>
    <t xml:space="preserve">Rodgers, Cathy A.</t>
  </si>
  <si>
    <t xml:space="preserve">Student manuals : their rationale and design /</t>
  </si>
  <si>
    <t xml:space="preserve">Rev.</t>
  </si>
  <si>
    <t xml:space="preserve">(OCoLC)ocm11835588</t>
  </si>
  <si>
    <t xml:space="preserve">Center for Instructional Development, Syracuse University,</t>
  </si>
  <si>
    <t xml:space="preserve">AG105 .R631981</t>
  </si>
  <si>
    <t xml:space="preserve">AG  105            R 631981</t>
  </si>
  <si>
    <t xml:space="preserve">Outline of modern knowledge [by] F. Aveling ... Lascelles Abercrombie ... C. Delisle Burns [and others] ...</t>
  </si>
  <si>
    <t xml:space="preserve">Rose, William, 1894-</t>
  </si>
  <si>
    <t xml:space="preserve">Outline of modern knowledge</t>
  </si>
  <si>
    <t xml:space="preserve">(OCoLC)ocm01443882</t>
  </si>
  <si>
    <t xml:space="preserve">G. P. Putnam's sons,</t>
  </si>
  <si>
    <t xml:space="preserve">AG105 .R755</t>
  </si>
  <si>
    <t xml:space="preserve">AG  105            R 755</t>
  </si>
  <si>
    <t xml:space="preserve">THINGS NOT GENERALLY KNOWN</t>
  </si>
  <si>
    <t xml:space="preserve">Timbs, John, 1801-1875.</t>
  </si>
  <si>
    <t xml:space="preserve">se 00041146</t>
  </si>
  <si>
    <t xml:space="preserve">AG105 .T621968</t>
  </si>
  <si>
    <t xml:space="preserve">AG  105            T 621968</t>
  </si>
  <si>
    <t xml:space="preserve">Names: and their meaning; a book for the curious, by Leopold Wagner.</t>
  </si>
  <si>
    <t xml:space="preserve">Wagner, Leopold.</t>
  </si>
  <si>
    <t xml:space="preserve">Names: and their meaning; a book for the curious,</t>
  </si>
  <si>
    <t xml:space="preserve">New and rev. ed.</t>
  </si>
  <si>
    <t xml:space="preserve">(OCoLC)ocm02398196</t>
  </si>
  <si>
    <t xml:space="preserve">T. Fisher Unwin,</t>
  </si>
  <si>
    <t xml:space="preserve">AG105 .W181893R</t>
  </si>
  <si>
    <t xml:space="preserve">AG  105            W 181893 R</t>
  </si>
  <si>
    <t xml:space="preserve">9/21/2004</t>
  </si>
  <si>
    <t xml:space="preserve">More about names.</t>
  </si>
  <si>
    <t xml:space="preserve">Wagner, Leopold, 1858-</t>
  </si>
  <si>
    <t xml:space="preserve">(OCoLC)ocm03551371</t>
  </si>
  <si>
    <t xml:space="preserve">AG105 .W21968</t>
  </si>
  <si>
    <t xml:space="preserve">AG  105            W 21968</t>
  </si>
  <si>
    <t xml:space="preserve">Book of numbers / compiled by the editors of Heron House.</t>
  </si>
  <si>
    <t xml:space="preserve">Book of numbers /</t>
  </si>
  <si>
    <t xml:space="preserve">0894790285 :</t>
  </si>
  <si>
    <t xml:space="preserve">(OCoLC)ocm04512962</t>
  </si>
  <si>
    <t xml:space="preserve">A &amp; W Publishers,</t>
  </si>
  <si>
    <t xml:space="preserve">AG106 .B66</t>
  </si>
  <si>
    <t xml:space="preserve">AG  106            B 66</t>
  </si>
  <si>
    <t xml:space="preserve">MEMENTO DE POCHE.</t>
  </si>
  <si>
    <t xml:space="preserve">42 ED.</t>
  </si>
  <si>
    <t xml:space="preserve">se 01011033</t>
  </si>
  <si>
    <t xml:space="preserve">AG125 .M41941</t>
  </si>
  <si>
    <t xml:space="preserve">AG  125            M 41941</t>
  </si>
  <si>
    <t xml:space="preserve">Great ideas from the great books. With an introd. by William Benton.</t>
  </si>
  <si>
    <t xml:space="preserve">Great ideas from the great books.</t>
  </si>
  <si>
    <t xml:space="preserve">New, rev. and enl. ed.</t>
  </si>
  <si>
    <t xml:space="preserve">(OCoLC)ocm00313779</t>
  </si>
  <si>
    <t xml:space="preserve">Washington Square Press</t>
  </si>
  <si>
    <t xml:space="preserve">AG195 .A441963</t>
  </si>
  <si>
    <t xml:space="preserve">AG  195            A 441963</t>
  </si>
  <si>
    <t xml:space="preserve">Little quiz book; illustrated by Henry R. Martin.</t>
  </si>
  <si>
    <t xml:space="preserve">Beilenson, Edna, 1909-</t>
  </si>
  <si>
    <t xml:space="preserve">Little quiz book;</t>
  </si>
  <si>
    <t xml:space="preserve">(OCoLC)ocm10016766</t>
  </si>
  <si>
    <t xml:space="preserve">[1956]</t>
  </si>
  <si>
    <t xml:space="preserve">Peter Pauper Press</t>
  </si>
  <si>
    <t xml:space="preserve">AG195 .B37</t>
  </si>
  <si>
    <t xml:space="preserve">AG  195            B 37</t>
  </si>
  <si>
    <t xml:space="preserve">2/12/2004</t>
  </si>
  <si>
    <t xml:space="preserve">Trivia and more trivia / by Dan Carlinsky and Edwin Goodgold.</t>
  </si>
  <si>
    <t xml:space="preserve">Carlinsky, Dan.</t>
  </si>
  <si>
    <t xml:space="preserve">Trivia and more trivia /</t>
  </si>
  <si>
    <t xml:space="preserve">(OCoLC)ocm01749348</t>
  </si>
  <si>
    <t xml:space="preserve">c1966.</t>
  </si>
  <si>
    <t xml:space="preserve">Castle Books,</t>
  </si>
  <si>
    <t xml:space="preserve">AG195 .C371966</t>
  </si>
  <si>
    <t xml:space="preserve">AG  195            C 371966</t>
  </si>
  <si>
    <t xml:space="preserve">Questions from the rockpile, by Arthur L. Devlin and Thomas McInerney. With an introd. by Carlo B. Geromini.</t>
  </si>
  <si>
    <t xml:space="preserve">Devlin, Arthur L.</t>
  </si>
  <si>
    <t xml:space="preserve">Questions from the rockpile,</t>
  </si>
  <si>
    <t xml:space="preserve">(OCoLC)ocm00112690</t>
  </si>
  <si>
    <t xml:space="preserve">c1969]</t>
  </si>
  <si>
    <t xml:space="preserve">Pub. Services Div., NBS Co.,</t>
  </si>
  <si>
    <t xml:space="preserve">AG195 .D48</t>
  </si>
  <si>
    <t xml:space="preserve">AG  195            D 48</t>
  </si>
  <si>
    <t xml:space="preserve">Why do clocks run clockwise? and other imponderables : mysteries of everyday life explained / by David Feldman ; illustrations by Kas Schwan.</t>
  </si>
  <si>
    <t xml:space="preserve">Feldman, David, 1950-</t>
  </si>
  <si>
    <t xml:space="preserve">Why do clocks run clockwise? and other imponderables : mysteries of everyday life explained /</t>
  </si>
  <si>
    <t xml:space="preserve">006015781X :</t>
  </si>
  <si>
    <t xml:space="preserve">(OCoLC)ocm16683479</t>
  </si>
  <si>
    <t xml:space="preserve">AG195 .F461987</t>
  </si>
  <si>
    <t xml:space="preserve">AG  195            F 461987</t>
  </si>
  <si>
    <t xml:space="preserve">Why do dogs have wet noses? and other imponderables of everyday life / David Feldman ; illustrated by Kassie Schwan.</t>
  </si>
  <si>
    <t xml:space="preserve">Feldman, David</t>
  </si>
  <si>
    <t xml:space="preserve">Why do dogs have wet noses? and other imponderables of everyday life /</t>
  </si>
  <si>
    <t xml:space="preserve">0060162937 :</t>
  </si>
  <si>
    <t xml:space="preserve">(OCoLC)ocm22111603</t>
  </si>
  <si>
    <t xml:space="preserve">HarperPerennial,</t>
  </si>
  <si>
    <t xml:space="preserve">AG195 .F471990</t>
  </si>
  <si>
    <t xml:space="preserve">AG  195            F 471990</t>
  </si>
  <si>
    <t xml:space="preserve">Miller analogy test; 1400 analogy questions, programmed by Edward C. Gruber.</t>
  </si>
  <si>
    <t xml:space="preserve">Gruber, Edward C.</t>
  </si>
  <si>
    <t xml:space="preserve">Miller analogy test; 1400 analogy questions,</t>
  </si>
  <si>
    <t xml:space="preserve">[2d ed.]</t>
  </si>
  <si>
    <t xml:space="preserve">(OCoLC)ocm00510068</t>
  </si>
  <si>
    <t xml:space="preserve">[1967]</t>
  </si>
  <si>
    <t xml:space="preserve">Arco</t>
  </si>
  <si>
    <t xml:space="preserve">AG195 .G7 1967</t>
  </si>
  <si>
    <t xml:space="preserve">AG  195            G 7   1967</t>
  </si>
  <si>
    <t xml:space="preserve">6/14/2005</t>
  </si>
  <si>
    <t xml:space="preserve">10/27/2006</t>
  </si>
  <si>
    <t xml:space="preserve">What makes flamingos pink? : a colorful collection of Q &amp; A's for the unquenchably curious / Bill McLain.</t>
  </si>
  <si>
    <t xml:space="preserve">McLain, Bill.</t>
  </si>
  <si>
    <t xml:space="preserve">What makes flamingos pink? : a colorful collection of Q &amp; A's for the unquenchably curious /</t>
  </si>
  <si>
    <t xml:space="preserve">(OCoLC)ocm45896188</t>
  </si>
  <si>
    <t xml:space="preserve">c2001.</t>
  </si>
  <si>
    <t xml:space="preserve">HarperResource,</t>
  </si>
  <si>
    <t xml:space="preserve">AG195 .M45 2001</t>
  </si>
  <si>
    <t xml:space="preserve">AG  195            M 45   2001</t>
  </si>
  <si>
    <t xml:space="preserve">9/16/2004</t>
  </si>
  <si>
    <t xml:space="preserve">True cognoscente's culture test : you know your I.Q., now learn your C.Q., culture quotient / Abbie Salny and Marvin Grosswirth.</t>
  </si>
  <si>
    <t xml:space="preserve">Salny, Abbie F.</t>
  </si>
  <si>
    <t xml:space="preserve">True cognoscente's culture test : you know your I.Q., now learn your C.Q., culture quotient /</t>
  </si>
  <si>
    <t xml:space="preserve">0060911840 (pbk.) :</t>
  </si>
  <si>
    <t xml:space="preserve">(OCoLC)ocm10779341</t>
  </si>
  <si>
    <t xml:space="preserve">c1984.</t>
  </si>
  <si>
    <t xml:space="preserve">AG195 .S26 1984</t>
  </si>
  <si>
    <t xml:space="preserve">AG  195            S 26   1984</t>
  </si>
  <si>
    <t xml:space="preserve">Wisps of wit and wisdom, or, Knowledge in a nutshell ... By Albert P. Southwick.</t>
  </si>
  <si>
    <t xml:space="preserve">Southwick, Albert Plympton, 1855-1929.</t>
  </si>
  <si>
    <t xml:space="preserve">Wisps of wit and wisdom, or, Knowledge in a nutshell ...</t>
  </si>
  <si>
    <t xml:space="preserve">(OCoLC)ocm17198390</t>
  </si>
  <si>
    <t xml:space="preserve">1892]</t>
  </si>
  <si>
    <t xml:space="preserve">A. Lovell &amp; Co.; [etc., etc.,</t>
  </si>
  <si>
    <t xml:space="preserve">AG195 .S581968</t>
  </si>
  <si>
    <t xml:space="preserve">AG  195            S 581968</t>
  </si>
  <si>
    <t xml:space="preserve">Questions : the perfect companion to your trivia games / Fred Worth.</t>
  </si>
  <si>
    <t xml:space="preserve">Worth, Fred L.</t>
  </si>
  <si>
    <t xml:space="preserve">Questions : the perfect companion to your trivia games /</t>
  </si>
  <si>
    <t xml:space="preserve">0446325007 (pbk.)</t>
  </si>
  <si>
    <t xml:space="preserve">(OCoLC)ocm11549173</t>
  </si>
  <si>
    <t xml:space="preserve">Warner Books,</t>
  </si>
  <si>
    <t xml:space="preserve">AG195 .W784 1984</t>
  </si>
  <si>
    <t xml:space="preserve">AG  195            W 784   1984</t>
  </si>
  <si>
    <t xml:space="preserve">Test your cultural literacy / Diane Zahler, Kathy A. Zahler.</t>
  </si>
  <si>
    <t xml:space="preserve">Zahler, Diane.</t>
  </si>
  <si>
    <t xml:space="preserve">Test your cultural literacy /</t>
  </si>
  <si>
    <t xml:space="preserve">0139037586 :</t>
  </si>
  <si>
    <t xml:space="preserve">(OCoLC)ocm18163843</t>
  </si>
  <si>
    <t xml:space="preserve">c1988.</t>
  </si>
  <si>
    <t xml:space="preserve">ARCO : Distributed by Prentice Hall Trade,</t>
  </si>
  <si>
    <t xml:space="preserve">AG195 .Z34 1988</t>
  </si>
  <si>
    <t xml:space="preserve">AG  195            Z 34   1988</t>
  </si>
  <si>
    <t xml:space="preserve">Top 10 of everything.</t>
  </si>
  <si>
    <t xml:space="preserve">American ed.</t>
  </si>
  <si>
    <t xml:space="preserve">(OCoLC)ocm35980539</t>
  </si>
  <si>
    <t xml:space="preserve">[199-]-</t>
  </si>
  <si>
    <t xml:space="preserve">DK Publishing,</t>
  </si>
  <si>
    <t xml:space="preserve">199u</t>
  </si>
  <si>
    <t xml:space="preserve">AG240 .T67</t>
  </si>
  <si>
    <t xml:space="preserve">AG  240            T 67</t>
  </si>
  <si>
    <t xml:space="preserve">Nature et les prodiges : l'insolite au 16e sieÂ¿Â¿cle, en France / Jean CeÂ¿Â¿ard.</t>
  </si>
  <si>
    <t xml:space="preserve">CeÂ¿Â¿ard, Jean.</t>
  </si>
  <si>
    <t xml:space="preserve">Nature et les prodiges : l'insolite au 16e sieÂ¿Â¿cle, en France /</t>
  </si>
  <si>
    <t xml:space="preserve">(OCoLC)ocm04210433</t>
  </si>
  <si>
    <t xml:space="preserve">Droz,</t>
  </si>
  <si>
    <t xml:space="preserve">AG243 .C4</t>
  </si>
  <si>
    <t xml:space="preserve">AG  243            C 4</t>
  </si>
  <si>
    <t xml:space="preserve">Encyclopedia of the strange / Daniel Cohen.</t>
  </si>
  <si>
    <t xml:space="preserve">Cohen, Daniel, 1936-</t>
  </si>
  <si>
    <t xml:space="preserve">Encyclopedia of the strange /</t>
  </si>
  <si>
    <t xml:space="preserve">0380702681 (pbk.) :</t>
  </si>
  <si>
    <t xml:space="preserve">(OCoLC)ocm15687062</t>
  </si>
  <si>
    <t xml:space="preserve">1987, c1985.</t>
  </si>
  <si>
    <t xml:space="preserve">Avon Books,</t>
  </si>
  <si>
    <t xml:space="preserve">AG243 .C573 1987</t>
  </si>
  <si>
    <t xml:space="preserve">AG  243            C 573   1987</t>
  </si>
  <si>
    <t xml:space="preserve">Book of mosts / H. Aaron Cohl.</t>
  </si>
  <si>
    <t xml:space="preserve">Cohl, H. Aaron.</t>
  </si>
  <si>
    <t xml:space="preserve">Book of mosts /</t>
  </si>
  <si>
    <t xml:space="preserve">(OCoLC)ocm36387268</t>
  </si>
  <si>
    <t xml:space="preserve">St. Martin's Press,</t>
  </si>
  <si>
    <t xml:space="preserve">AG243 .C586 1997</t>
  </si>
  <si>
    <t xml:space="preserve">AG  243            C 586   1997</t>
  </si>
  <si>
    <t xml:space="preserve">How does aspirin find a headache? : an imponderables book / David Feldman ; illustrated by Kassie Schwan.</t>
  </si>
  <si>
    <t xml:space="preserve">How does aspirin find a headache? : an imponderables book /</t>
  </si>
  <si>
    <t xml:space="preserve">0060169230 :</t>
  </si>
  <si>
    <t xml:space="preserve">(OCoLC)ocm28722469</t>
  </si>
  <si>
    <t xml:space="preserve">c1993.</t>
  </si>
  <si>
    <t xml:space="preserve">HarperCollins,</t>
  </si>
  <si>
    <t xml:space="preserve">AG243 .F42 1993</t>
  </si>
  <si>
    <t xml:space="preserve">AG  243            F 42   1993</t>
  </si>
  <si>
    <t xml:space="preserve">8/26/2002</t>
  </si>
  <si>
    <t xml:space="preserve">11/12/2012</t>
  </si>
  <si>
    <t xml:space="preserve">Enigmas; another book of unexplained facts.</t>
  </si>
  <si>
    <t xml:space="preserve">Gould, Rupert Thomas, 1890-1948.</t>
  </si>
  <si>
    <t xml:space="preserve">(OCoLC)ocm01432151</t>
  </si>
  <si>
    <t xml:space="preserve">[1965]</t>
  </si>
  <si>
    <t xml:space="preserve">University Books</t>
  </si>
  <si>
    <t xml:space="preserve">AG243 .G641965</t>
  </si>
  <si>
    <t xml:space="preserve">AG  243            G 641965</t>
  </si>
  <si>
    <t xml:space="preserve">Guinness book of records.</t>
  </si>
  <si>
    <t xml:space="preserve">(OCoLC)ocm01782732</t>
  </si>
  <si>
    <t xml:space="preserve">c1955-1999.</t>
  </si>
  <si>
    <t xml:space="preserve">Superlatives Ltd.,</t>
  </si>
  <si>
    <t xml:space="preserve">AG243 .G85</t>
  </si>
  <si>
    <t xml:space="preserve">AG  243            G 85</t>
  </si>
  <si>
    <t xml:space="preserve">2/20/2012</t>
  </si>
  <si>
    <t xml:space="preserve">1995 (41st ed.)</t>
  </si>
  <si>
    <t xml:space="preserve">1994 (40th ed.)</t>
  </si>
  <si>
    <t xml:space="preserve">1993 (39th ed.)</t>
  </si>
  <si>
    <t xml:space="preserve">1992 (38th ed.)</t>
  </si>
  <si>
    <t xml:space="preserve">1991 (37th ed.)</t>
  </si>
  <si>
    <t xml:space="preserve">1990 (36th ed.)</t>
  </si>
  <si>
    <t xml:space="preserve">1984 (30th ed.)</t>
  </si>
  <si>
    <t xml:space="preserve">1982 (28th ed.)</t>
  </si>
  <si>
    <t xml:space="preserve">1981 (27th ed.)</t>
  </si>
  <si>
    <t xml:space="preserve">1980 (26th ed.)</t>
  </si>
  <si>
    <t xml:space="preserve">1979 (25th ed.)</t>
  </si>
  <si>
    <t xml:space="preserve">1978 (24th ed.)</t>
  </si>
  <si>
    <t xml:space="preserve">1975 (22nd ed.)</t>
  </si>
  <si>
    <t xml:space="preserve">1974 (21st ed.)</t>
  </si>
  <si>
    <t xml:space="preserve">1973 (20th ed.)</t>
  </si>
  <si>
    <t xml:space="preserve">7/17/2002</t>
  </si>
  <si>
    <t xml:space="preserve">1972 (19th ed.)</t>
  </si>
  <si>
    <t xml:space="preserve">1969 (16th ed.)</t>
  </si>
  <si>
    <t xml:space="preserve">1968 (15th ed.)</t>
  </si>
  <si>
    <t xml:space="preserve">1967 (14th ed.)</t>
  </si>
  <si>
    <t xml:space="preserve">Guinness world records.</t>
  </si>
  <si>
    <t xml:space="preserve">(OCoLC)ocm42516672</t>
  </si>
  <si>
    <t xml:space="preserve">c2000-</t>
  </si>
  <si>
    <t xml:space="preserve">Guinness World Records, Ltd.,</t>
  </si>
  <si>
    <t xml:space="preserve">10/14/2002</t>
  </si>
  <si>
    <t xml:space="preserve">9/6/2002</t>
  </si>
  <si>
    <t xml:space="preserve">11/2/2006</t>
  </si>
  <si>
    <t xml:space="preserve">Guinness book of superlatives.</t>
  </si>
  <si>
    <t xml:space="preserve">(OCoLC)ocm00972777</t>
  </si>
  <si>
    <t xml:space="preserve">c1956.</t>
  </si>
  <si>
    <t xml:space="preserve">Superlatives Inc.,</t>
  </si>
  <si>
    <t xml:space="preserve">AG243 .G8521956</t>
  </si>
  <si>
    <t xml:space="preserve">AG  243            G 8521956</t>
  </si>
  <si>
    <t xml:space="preserve">Guinness book of records 1492 : the world five hundred years ago / editor, Deborah Manley ; editorial consultant, Geoffrey Scammell.</t>
  </si>
  <si>
    <t xml:space="preserve">Guinness book of records 1492 : the world five hundred years ago /</t>
  </si>
  <si>
    <t xml:space="preserve">0816027722 :</t>
  </si>
  <si>
    <t xml:space="preserve">(OCoLC)ocm24694765</t>
  </si>
  <si>
    <t xml:space="preserve">c1992.</t>
  </si>
  <si>
    <t xml:space="preserve">Facts on File,</t>
  </si>
  <si>
    <t xml:space="preserve">AG243 .G863 1992</t>
  </si>
  <si>
    <t xml:space="preserve">AG  243            G 863   1992</t>
  </si>
  <si>
    <t xml:space="preserve">NOT OF THIS WORLD</t>
  </si>
  <si>
    <t xml:space="preserve">KILOSIMO, PETER.</t>
  </si>
  <si>
    <t xml:space="preserve">se 01011048</t>
  </si>
  <si>
    <t xml:space="preserve">AG243 .K63131970</t>
  </si>
  <si>
    <t xml:space="preserve">AG  243            K 63131970</t>
  </si>
  <si>
    <t xml:space="preserve">Book of firsts / Patrick Robertson.</t>
  </si>
  <si>
    <t xml:space="preserve">Robertson, Patrick</t>
  </si>
  <si>
    <t xml:space="preserve">Book of firsts /</t>
  </si>
  <si>
    <t xml:space="preserve">(OCoLC)ocm08346289</t>
  </si>
  <si>
    <t xml:space="preserve">1982, c1974.</t>
  </si>
  <si>
    <t xml:space="preserve">Bramhall House : Distributed by Crown Publishers,</t>
  </si>
  <si>
    <t xml:space="preserve">AG243 .R54 1982</t>
  </si>
  <si>
    <t xml:space="preserve">AG  243            R 54   1982</t>
  </si>
  <si>
    <t xml:space="preserve">Number one in the U.S.A. : records and wins in sports, entertainment, business, and science, with sources cited / by Thomas P. Slavens.</t>
  </si>
  <si>
    <t xml:space="preserve">Slavens, Thomas P., 1928-</t>
  </si>
  <si>
    <t xml:space="preserve">Number one in the U.S.A. : records and wins in sports, entertainment, business, and science, with sources cited /</t>
  </si>
  <si>
    <t xml:space="preserve">(OCoLC)ocm17916288</t>
  </si>
  <si>
    <t xml:space="preserve">Scarecrow Press,</t>
  </si>
  <si>
    <t xml:space="preserve">AG243 .S62 1988</t>
  </si>
  <si>
    <t xml:space="preserve">AG  243            S 62   1988</t>
  </si>
  <si>
    <t xml:space="preserve">Nouveau petit Larousse en couleurs.</t>
  </si>
  <si>
    <t xml:space="preserve">(OCoLC)ocm00797623</t>
  </si>
  <si>
    <t xml:space="preserve">[c1968]</t>
  </si>
  <si>
    <t xml:space="preserve">Larousse,</t>
  </si>
  <si>
    <t xml:space="preserve">AG25 .L25 1968b</t>
  </si>
  <si>
    <t xml:space="preserve">AG   25            L 25   1968 B</t>
  </si>
  <si>
    <t xml:space="preserve">What's what, a visual glossary of the physical world / Reginald Bragonier, Jr. and David Fisher.</t>
  </si>
  <si>
    <t xml:space="preserve">Bragonier, Reginald.</t>
  </si>
  <si>
    <t xml:space="preserve">What's what, a visual glossary of the physical world /</t>
  </si>
  <si>
    <t xml:space="preserve">(OCoLC)ocm07814103</t>
  </si>
  <si>
    <t xml:space="preserve">Hammond,</t>
  </si>
  <si>
    <t xml:space="preserve">AG250 .B7 1981</t>
  </si>
  <si>
    <t xml:space="preserve">AG  250            B 7   1981</t>
  </si>
  <si>
    <t xml:space="preserve">1/7/2011</t>
  </si>
  <si>
    <t xml:space="preserve">Iconographic encyclopedia of the arts and sciences / translated from the German of the Bilder-Atlas (Iconographische Encyclopaedie). Pub. by special arrangement with the proprietor, F.A. Brockhaus.</t>
  </si>
  <si>
    <t xml:space="preserve">Iconographic encyclopedia of the arts and sciences /</t>
  </si>
  <si>
    <t xml:space="preserve">Revised and enlarged by eminent American specialists.</t>
  </si>
  <si>
    <t xml:space="preserve">(OCoLC)ocm19742215</t>
  </si>
  <si>
    <t xml:space="preserve">1885-1890.</t>
  </si>
  <si>
    <t xml:space="preserve">Iconographic Pub. Co.,</t>
  </si>
  <si>
    <t xml:space="preserve">AG27 .I25</t>
  </si>
  <si>
    <t xml:space="preserve">AG   27            I 25</t>
  </si>
  <si>
    <t xml:space="preserve">Kingfisher children's encyclopedia / editor, John Paton.</t>
  </si>
  <si>
    <t xml:space="preserve">Kingfisher children's encyclopedia /</t>
  </si>
  <si>
    <t xml:space="preserve">1856978001 :</t>
  </si>
  <si>
    <t xml:space="preserve">(OCoLC)ocm25508344</t>
  </si>
  <si>
    <t xml:space="preserve">Kingfisher Books,</t>
  </si>
  <si>
    <t xml:space="preserve">AG5 .D74 1992</t>
  </si>
  <si>
    <t xml:space="preserve">AG    5            D 74   1992</t>
  </si>
  <si>
    <t xml:space="preserve">Ideas : a volume of ideas, notions &amp; emotions, clear or confused, which have moved the minds of men / general editors, Geoffrey Grigson &amp; Charles Harvard Gibbs-Smith ; contributors to this volume include K. C. B. Allott ... [et al.]</t>
  </si>
  <si>
    <t xml:space="preserve">Ideas : a volume of ideas, notions &amp; emotions, clear or confused, which have moved the minds of men /</t>
  </si>
  <si>
    <t xml:space="preserve">(OCoLC)ocm03086021</t>
  </si>
  <si>
    <t xml:space="preserve">[1957?]</t>
  </si>
  <si>
    <t xml:space="preserve">Hawthorn Books,</t>
  </si>
  <si>
    <t xml:space="preserve">AG5 .G858</t>
  </si>
  <si>
    <t xml:space="preserve">AG    5            G 858</t>
  </si>
  <si>
    <t xml:space="preserve">Harper dictionary of modern thought / edited by Alan Bullock and Oliver Stallybrass.</t>
  </si>
  <si>
    <t xml:space="preserve">Harper dictionary of modern thought /</t>
  </si>
  <si>
    <t xml:space="preserve">1st U.S. ed.</t>
  </si>
  <si>
    <t xml:space="preserve">006010576X :</t>
  </si>
  <si>
    <t xml:space="preserve">(OCoLC)ocm03463795</t>
  </si>
  <si>
    <t xml:space="preserve">AG5 .H19 1977</t>
  </si>
  <si>
    <t xml:space="preserve">AG    5            H 19   1977</t>
  </si>
  <si>
    <t xml:space="preserve">Dictionary of names, nicknames and surnames of persons, places and things, by Edward Latham.</t>
  </si>
  <si>
    <t xml:space="preserve">Latham, Edward</t>
  </si>
  <si>
    <t xml:space="preserve">Dictionary of names, nicknames and surnames of persons, places and things,</t>
  </si>
  <si>
    <t xml:space="preserve">(OCoLC)ocm01038938</t>
  </si>
  <si>
    <t xml:space="preserve">G. Routledge &amp; sons, ltd.; E.P. Dutton &amp; co.,</t>
  </si>
  <si>
    <t xml:space="preserve">AG5 .L35</t>
  </si>
  <si>
    <t xml:space="preserve">AG    5            L 35</t>
  </si>
  <si>
    <t xml:space="preserve">World and man : a guide to modern knowledge / with decorations and diagrs. by Sally Mellersh.</t>
  </si>
  <si>
    <t xml:space="preserve">Mellersh, Harld Edward Leslie.</t>
  </si>
  <si>
    <t xml:space="preserve">World and man : a guide to modern knowledge /</t>
  </si>
  <si>
    <t xml:space="preserve">(OCoLC)ocm01700197</t>
  </si>
  <si>
    <t xml:space="preserve">F. Ungar,</t>
  </si>
  <si>
    <t xml:space="preserve">AG5 .M481954</t>
  </si>
  <si>
    <t xml:space="preserve">AG    5            M 481954</t>
  </si>
  <si>
    <t xml:space="preserve">New modern encyclopedia : a library of world knowledge.</t>
  </si>
  <si>
    <t xml:space="preserve">Completely rev. and reset.</t>
  </si>
  <si>
    <t xml:space="preserve">(OCoLC)ocm04688464</t>
  </si>
  <si>
    <t xml:space="preserve">W.H. Wise,</t>
  </si>
  <si>
    <t xml:space="preserve">AG5 .M851950</t>
  </si>
  <si>
    <t xml:space="preserve">AG    5            M 851950</t>
  </si>
  <si>
    <t xml:space="preserve">Random House children's encyclopedia.</t>
  </si>
  <si>
    <t xml:space="preserve">(OCoLC)ocm22862386</t>
  </si>
  <si>
    <t xml:space="preserve">[1991]</t>
  </si>
  <si>
    <t xml:space="preserve">Random House,</t>
  </si>
  <si>
    <t xml:space="preserve">AG5 .R24 1991</t>
  </si>
  <si>
    <t xml:space="preserve">AG    5            R 24   1991</t>
  </si>
  <si>
    <t xml:space="preserve">8/23/2010</t>
  </si>
  <si>
    <t xml:space="preserve">Reader's Digest illustrated encyclopedic dictionary.</t>
  </si>
  <si>
    <t xml:space="preserve">089577268X (v. 2)</t>
  </si>
  <si>
    <t xml:space="preserve">(OCoLC)ocm15594723</t>
  </si>
  <si>
    <t xml:space="preserve">Reader's Digest Association,</t>
  </si>
  <si>
    <t xml:space="preserve">AG5 .R37 1987</t>
  </si>
  <si>
    <t xml:space="preserve">AG    5            R 37   1987</t>
  </si>
  <si>
    <t xml:space="preserve">v. 1</t>
  </si>
  <si>
    <t xml:space="preserve">v. 2</t>
  </si>
  <si>
    <t xml:space="preserve">Queer, the quaint, the quizzical; a cabinet for the curious, by Frank H. Stauffer. Philadelphia, R. A. Tripple, 1882.</t>
  </si>
  <si>
    <t xml:space="preserve">Stauffer, Francis Henry, 1832-1895.</t>
  </si>
  <si>
    <t xml:space="preserve">Queer, the quaint, the quizzical; a cabinet for the curious,</t>
  </si>
  <si>
    <t xml:space="preserve">(OCoLC)ocm00442262</t>
  </si>
  <si>
    <t xml:space="preserve">Gale Research Co.,</t>
  </si>
  <si>
    <t xml:space="preserve">AG5 .S76 1968</t>
  </si>
  <si>
    <t xml:space="preserve">AG    5            S 76   1968</t>
  </si>
  <si>
    <t xml:space="preserve">Book about a thousand things, by George Stimpson.</t>
  </si>
  <si>
    <t xml:space="preserve">Stimpson, George William, 1896-</t>
  </si>
  <si>
    <t xml:space="preserve">Book about a thousand things,</t>
  </si>
  <si>
    <t xml:space="preserve">(OCoLC)ocm00230673</t>
  </si>
  <si>
    <t xml:space="preserve">[1946]</t>
  </si>
  <si>
    <t xml:space="preserve">Harper &amp; brothers</t>
  </si>
  <si>
    <t xml:space="preserve">AG5 .S84</t>
  </si>
  <si>
    <t xml:space="preserve">AG    5            S 84</t>
  </si>
  <si>
    <t xml:space="preserve">Familiar allusions: a hand-book of miscellaneous information.</t>
  </si>
  <si>
    <t xml:space="preserve">Wheeler, William Adolphus, 1833-1874.</t>
  </si>
  <si>
    <t xml:space="preserve">(OCoLC)ocm00369393</t>
  </si>
  <si>
    <t xml:space="preserve">J.R. Osgood and company,</t>
  </si>
  <si>
    <t xml:space="preserve">AG5 .W48 1882a</t>
  </si>
  <si>
    <t xml:space="preserve">AG    5            W 48   1882 A</t>
  </si>
  <si>
    <t xml:space="preserve">Potential market demand for two-way information services to the home, 1970-1990 [By] Paul Baran.</t>
  </si>
  <si>
    <t xml:space="preserve">Baran, Paul A.</t>
  </si>
  <si>
    <t xml:space="preserve">Potential market demand for two-way information services to the home, 1970-1990</t>
  </si>
  <si>
    <t xml:space="preserve">(OCoLC)ocm00577133</t>
  </si>
  <si>
    <t xml:space="preserve">Institute for the Future,</t>
  </si>
  <si>
    <t xml:space="preserve">AG511 .B3</t>
  </si>
  <si>
    <t xml:space="preserve">AG  511            B 3</t>
  </si>
  <si>
    <t xml:space="preserve">Information and its dissemination : report of the Summer Meeting of the Institute of Petroleum held at Harrogate, 7-10 June 1961 / Edited by M. J. Wells.</t>
  </si>
  <si>
    <t xml:space="preserve">Institute of Petroleum (Great Britain)</t>
  </si>
  <si>
    <t xml:space="preserve">Information and its dissemination : report of the Summer Meeting of the Institute of Petroleum held at Harrogate, 7-10 June 1961 /</t>
  </si>
  <si>
    <t xml:space="preserve">(OCoLC)ocm13294596</t>
  </si>
  <si>
    <t xml:space="preserve">Institute of Petroleum,</t>
  </si>
  <si>
    <t xml:space="preserve">AG513 .I57</t>
  </si>
  <si>
    <t xml:space="preserve">AG  513            I 57</t>
  </si>
  <si>
    <t xml:space="preserve">Information for administrators; a guide to publications and services for management in business and government.</t>
  </si>
  <si>
    <t xml:space="preserve">Wasserman, Paul.</t>
  </si>
  <si>
    <t xml:space="preserve">(OCoLC)ocm00797570</t>
  </si>
  <si>
    <t xml:space="preserve">Cornell University Press</t>
  </si>
  <si>
    <t xml:space="preserve">AG521 .W3</t>
  </si>
  <si>
    <t xml:space="preserve">AG  521            W 3</t>
  </si>
  <si>
    <t xml:space="preserve">Illustrated encyclopaedia of facts and figures / the Diagram Group ; [authors, Susan Bosanko, David Lambert, Ruth Midgley ; artists, Mark Evans ... et al.].</t>
  </si>
  <si>
    <t xml:space="preserve">Bosanko, Susan.</t>
  </si>
  <si>
    <t xml:space="preserve">Illustrated encyclopaedia of facts and figures /</t>
  </si>
  <si>
    <t xml:space="preserve">(OCoLC)ocm15109576</t>
  </si>
  <si>
    <t xml:space="preserve">Longman,</t>
  </si>
  <si>
    <t xml:space="preserve">AG6 .D52 1985</t>
  </si>
  <si>
    <t xml:space="preserve">AG    6            D 52   1985</t>
  </si>
  <si>
    <t xml:space="preserve">Guinness book of answers.</t>
  </si>
  <si>
    <t xml:space="preserve">9th ed.</t>
  </si>
  <si>
    <t xml:space="preserve">0816030073 :</t>
  </si>
  <si>
    <t xml:space="preserve">(OCoLC)ocm30518475</t>
  </si>
  <si>
    <t xml:space="preserve">AG6 .G83 1993</t>
  </si>
  <si>
    <t xml:space="preserve">AG    6            G 83   1993</t>
  </si>
  <si>
    <t xml:space="preserve">New York Public Library desk reference.</t>
  </si>
  <si>
    <t xml:space="preserve">(OCoLC)ocm27431572</t>
  </si>
  <si>
    <t xml:space="preserve">Prentice Hall General Reference,</t>
  </si>
  <si>
    <t xml:space="preserve">AG6 .N49 1993</t>
  </si>
  <si>
    <t xml:space="preserve">AG    6            N 49   1993</t>
  </si>
  <si>
    <t xml:space="preserve">0136204449 (alk. paper) :</t>
  </si>
  <si>
    <t xml:space="preserve">(OCoLC)ocm20132484</t>
  </si>
  <si>
    <t xml:space="preserve">Webster's New World : Distributed by Prentice Hall,</t>
  </si>
  <si>
    <t xml:space="preserve">AG6 .N491989</t>
  </si>
  <si>
    <t xml:space="preserve">AG    6            N 491989</t>
  </si>
  <si>
    <t xml:space="preserve">New York times guide to essential knowledge : a desk reference for the curious mind.</t>
  </si>
  <si>
    <t xml:space="preserve">(OCoLC)ocm56776231</t>
  </si>
  <si>
    <t xml:space="preserve">AG6 .N495 2004</t>
  </si>
  <si>
    <t xml:space="preserve">AG    6            N 495   2004</t>
  </si>
  <si>
    <t xml:space="preserve">11/9/2006</t>
  </si>
  <si>
    <t xml:space="preserve">12/5/2006</t>
  </si>
  <si>
    <t xml:space="preserve">Browser's book of beginnings : origins of everything under (and including) the sun / Charles Panati.</t>
  </si>
  <si>
    <t xml:space="preserve">Browser's book of beginnings : origins of everything under (and including) the sun /</t>
  </si>
  <si>
    <t xml:space="preserve">0395360994 (pbk.) :</t>
  </si>
  <si>
    <t xml:space="preserve">(OCoLC)ocm10229542</t>
  </si>
  <si>
    <t xml:space="preserve">Houghton Mifflin,</t>
  </si>
  <si>
    <t xml:space="preserve">AG6 .P36 1984</t>
  </si>
  <si>
    <t xml:space="preserve">AG    6            P 36   1984</t>
  </si>
  <si>
    <t xml:space="preserve">Extraordinary origins of everyday things / Charles Panati.</t>
  </si>
  <si>
    <t xml:space="preserve">Extraordinary origins of everyday things /</t>
  </si>
  <si>
    <t xml:space="preserve">0060550988 :</t>
  </si>
  <si>
    <t xml:space="preserve">(OCoLC)ocm15252869</t>
  </si>
  <si>
    <t xml:space="preserve">Perennial Library,</t>
  </si>
  <si>
    <t xml:space="preserve">AG6 .P37 1987</t>
  </si>
  <si>
    <t xml:space="preserve">AG    6            P 37   1987</t>
  </si>
  <si>
    <t xml:space="preserve">Western rural year book : a cyclopedia of reference / Milton George, editor.</t>
  </si>
  <si>
    <t xml:space="preserve">Western rural year book : a cyclopedia of reference /</t>
  </si>
  <si>
    <t xml:space="preserve">(OCoLC)ocm03278832</t>
  </si>
  <si>
    <t xml:space="preserve">Milton George,</t>
  </si>
  <si>
    <t xml:space="preserve">AG6 .W4</t>
  </si>
  <si>
    <t xml:space="preserve">AG    6            W 4</t>
  </si>
  <si>
    <t xml:space="preserve">slv</t>
  </si>
  <si>
    <t xml:space="preserve">PrirocÂ¿Â¿ni leksikon. [Uredil urednisÂ¿Â¿ki odbor: [BozÂ¿Â¿idar Borko, et al.]</t>
  </si>
  <si>
    <t xml:space="preserve">PrirocÂ¿Â¿ni leksikon.</t>
  </si>
  <si>
    <t xml:space="preserve">(OCoLC)ocm26735563</t>
  </si>
  <si>
    <t xml:space="preserve">Slovenski knjizÂ¿Â¿ni zavod,</t>
  </si>
  <si>
    <t xml:space="preserve">AG60.S5 P7</t>
  </si>
  <si>
    <t xml:space="preserve">AG   60            S 5   P 7</t>
  </si>
  <si>
    <t xml:space="preserve">PequenÂ¿Â¿o Larousse ilustrado.</t>
  </si>
  <si>
    <t xml:space="preserve">Larousse, Pierre, 1817-1875.</t>
  </si>
  <si>
    <t xml:space="preserve">3a tirada.</t>
  </si>
  <si>
    <t xml:space="preserve">(OCoLC)ocm00372554</t>
  </si>
  <si>
    <t xml:space="preserve">Editorial Larousse,</t>
  </si>
  <si>
    <t xml:space="preserve">AG61 .L3 1967</t>
  </si>
  <si>
    <t xml:space="preserve">AG   61            L 3   1967</t>
  </si>
  <si>
    <t xml:space="preserve">AL-MUNJID.</t>
  </si>
  <si>
    <t xml:space="preserve">se 00041135</t>
  </si>
  <si>
    <t xml:space="preserve">AG90.A7 M81966</t>
  </si>
  <si>
    <t xml:space="preserve">AG   90            A 7   M 81966</t>
  </si>
  <si>
    <t xml:space="preserve">LatÂ¿Â¿aÂ¿Â¿Â¿Â¿if al-maÂ¿Â¿aÂ¿Â¿rif of ThaÂ¿Â¿ aÂ¿Â¿libi. The book of curious and entertaining information; translated with introduction and notes by C.E. Bosworth.</t>
  </si>
  <si>
    <t xml:space="preserve">al-Tha'aÂ¿Â¿libiÂ¿Â¿, 'Abd al-Malik ibn MuhÂ¿Â¿ammad, 961 or 2-1037 or 8.</t>
  </si>
  <si>
    <t xml:space="preserve">LatÂ¿Â¿aÂ¿Â¿Â¿Â¿if al-maÂ¿Â¿aÂ¿Â¿rif of ThaÂ¿Â¿ aÂ¿Â¿libi. The book of curious and entertaining information;</t>
  </si>
  <si>
    <t xml:space="preserve">(OCoLC)ocm00010457</t>
  </si>
  <si>
    <t xml:space="preserve">Edinburgh U.P.,</t>
  </si>
  <si>
    <t xml:space="preserve">AG90.I8 T53</t>
  </si>
  <si>
    <t xml:space="preserve">AG   90            I 8   T 53</t>
  </si>
  <si>
    <t xml:space="preserve">Charts, graphs &amp; stats index.</t>
  </si>
  <si>
    <t xml:space="preserve">(OCoLC)ocm24881730</t>
  </si>
  <si>
    <t xml:space="preserve">Highsmith Press,</t>
  </si>
  <si>
    <t xml:space="preserve">AI3 .C43</t>
  </si>
  <si>
    <t xml:space="preserve">AI    3            C 43</t>
  </si>
  <si>
    <t xml:space="preserve">1988-1991</t>
  </si>
  <si>
    <t xml:space="preserve">Cover story index.</t>
  </si>
  <si>
    <t xml:space="preserve">(OCoLC)ocm22851444</t>
  </si>
  <si>
    <t xml:space="preserve">1990-</t>
  </si>
  <si>
    <t xml:space="preserve">AI3 .C73</t>
  </si>
  <si>
    <t xml:space="preserve">AI    3            C 73</t>
  </si>
  <si>
    <t xml:space="preserve">1960-1991</t>
  </si>
  <si>
    <t xml:space="preserve">Index to Commonwealth little magazines.</t>
  </si>
  <si>
    <t xml:space="preserve">(OCoLC)ocm01589999</t>
  </si>
  <si>
    <t xml:space="preserve">Whitson Pub. Co.,</t>
  </si>
  <si>
    <t xml:space="preserve">AI3 .I48</t>
  </si>
  <si>
    <t xml:space="preserve">AI    3            I 48</t>
  </si>
  <si>
    <t xml:space="preserve">1976-1979:2</t>
  </si>
  <si>
    <t xml:space="preserve">1976-1979:1</t>
  </si>
  <si>
    <t xml:space="preserve">1974-1975</t>
  </si>
  <si>
    <t xml:space="preserve">1970-1973</t>
  </si>
  <si>
    <t xml:space="preserve">1968-1969</t>
  </si>
  <si>
    <t xml:space="preserve">1966-1967</t>
  </si>
  <si>
    <t xml:space="preserve">1964-1965</t>
  </si>
  <si>
    <t xml:space="preserve">So you want a good museum; a guide to the management of small museums.</t>
  </si>
  <si>
    <t xml:space="preserve">Guthe, Carl Eugen, 1893-</t>
  </si>
  <si>
    <t xml:space="preserve">(OCoLC)ocm00193091</t>
  </si>
  <si>
    <t xml:space="preserve">American Association of Museums,</t>
  </si>
  <si>
    <t xml:space="preserve">AM1 .A5331962NEWSER.NO.17</t>
  </si>
  <si>
    <t xml:space="preserve">AM    1            A 5331962 NEWSER NO .17</t>
  </si>
  <si>
    <t xml:space="preserve">Problems of conservation in museums. ProbleÂ¿Â¿mes de conservation dans les museÂ¿Â¿es. A selection of papers presented to the joint meeting of the ICOM Committee for Museum Laboratories and the ICOM Committee for the Care of Paintings, held in Washington and</t>
  </si>
  <si>
    <t xml:space="preserve">Problems of conservation in museums. ProbleÂ¿Â¿mes de conservation dans les museÂ¿Â¿es. A selection of papers presented to the joint meeting of the ICOM C</t>
  </si>
  <si>
    <t xml:space="preserve">(OCoLC)ocm00151623</t>
  </si>
  <si>
    <t xml:space="preserve">EÂ¿Â¿ditions Eyrolles,</t>
  </si>
  <si>
    <t xml:space="preserve">AM1 .P76</t>
  </si>
  <si>
    <t xml:space="preserve">AM    1            P 76</t>
  </si>
  <si>
    <t xml:space="preserve">Studies in museology.</t>
  </si>
  <si>
    <t xml:space="preserve">(OCoLC)ocm01774481</t>
  </si>
  <si>
    <t xml:space="preserve">Dept. of Museology, M. S. University of Baroda.</t>
  </si>
  <si>
    <t xml:space="preserve">AM1 .S84</t>
  </si>
  <si>
    <t xml:space="preserve">AM    1            S 84</t>
  </si>
  <si>
    <t xml:space="preserve">1980/81 (v.15)</t>
  </si>
  <si>
    <t xml:space="preserve">1977-79 (v.13-14)</t>
  </si>
  <si>
    <t xml:space="preserve">1976/77 (v.12)</t>
  </si>
  <si>
    <t xml:space="preserve">1975/76 (v.11)</t>
  </si>
  <si>
    <t xml:space="preserve">1974/75 (v.10)</t>
  </si>
  <si>
    <t xml:space="preserve">1973/74 (v.9)</t>
  </si>
  <si>
    <t xml:space="preserve">1970-72 (v.6-8)</t>
  </si>
  <si>
    <t xml:space="preserve">1969 (v.5)</t>
  </si>
  <si>
    <t xml:space="preserve">1968 (v.4)</t>
  </si>
  <si>
    <t xml:space="preserve">1967 (v.3)</t>
  </si>
  <si>
    <t xml:space="preserve">1966 (v.2)</t>
  </si>
  <si>
    <t xml:space="preserve">1965 (v.1)</t>
  </si>
  <si>
    <t xml:space="preserve">Behavior of the museum visitor, by Edward Stevens Robinson; assisted by Irene Case Sherman and Lois E. Curry. Together with a preliminary report from the Pennsylvania Museum, by Horace H. F. Jayne.</t>
  </si>
  <si>
    <t xml:space="preserve">Robinson, Edward Stevens, 1893-1937.</t>
  </si>
  <si>
    <t xml:space="preserve">Behavior of the museum visitor,</t>
  </si>
  <si>
    <t xml:space="preserve">(OCoLC)ocm04541344</t>
  </si>
  <si>
    <t xml:space="preserve">AM1.A533 NO.5</t>
  </si>
  <si>
    <t xml:space="preserve">AM    1            A 533   NO .5</t>
  </si>
  <si>
    <t xml:space="preserve">British Museum: a guide to its public services.</t>
  </si>
  <si>
    <t xml:space="preserve">British Museum.</t>
  </si>
  <si>
    <t xml:space="preserve">(OCoLC)ocm00154150</t>
  </si>
  <si>
    <t xml:space="preserve">British Museum,</t>
  </si>
  <si>
    <t xml:space="preserve">AM101 .B851970</t>
  </si>
  <si>
    <t xml:space="preserve">AM  101            B 851970</t>
  </si>
  <si>
    <t xml:space="preserve">PALACE AND PARK</t>
  </si>
  <si>
    <t xml:space="preserve">Crystal Palace Company (Sydenham, London, England)</t>
  </si>
  <si>
    <t xml:space="preserve">se 01011162</t>
  </si>
  <si>
    <t xml:space="preserve">AM101 .C852</t>
  </si>
  <si>
    <t xml:space="preserve">AM  101            C 852</t>
  </si>
  <si>
    <t xml:space="preserve">Guide book for the Edison Institute Museum and Greenfield Village.</t>
  </si>
  <si>
    <t xml:space="preserve">Henry Ford Museum and Greenfield Village.</t>
  </si>
  <si>
    <t xml:space="preserve">(OCoLC)ocm02351676</t>
  </si>
  <si>
    <t xml:space="preserve">The Institute],</t>
  </si>
  <si>
    <t xml:space="preserve">AM101 .E29</t>
  </si>
  <si>
    <t xml:space="preserve">AM  101            E 29</t>
  </si>
  <si>
    <t xml:space="preserve">Annual report / Illinois State Museum.</t>
  </si>
  <si>
    <t xml:space="preserve">Illinois State Museum.</t>
  </si>
  <si>
    <t xml:space="preserve">Annual report /</t>
  </si>
  <si>
    <t xml:space="preserve">(OCoLC)ocm14874111</t>
  </si>
  <si>
    <t xml:space="preserve">The Museum,</t>
  </si>
  <si>
    <t xml:space="preserve">19uu</t>
  </si>
  <si>
    <t xml:space="preserve">AM101 .I3532</t>
  </si>
  <si>
    <t xml:space="preserve">AM  101            I 3532</t>
  </si>
  <si>
    <t xml:space="preserve">1986/87</t>
  </si>
  <si>
    <t xml:space="preserve">1985/86</t>
  </si>
  <si>
    <t xml:space="preserve">1984/85</t>
  </si>
  <si>
    <t xml:space="preserve">Biennial report for fiscal years ... / Illinois State Museum.</t>
  </si>
  <si>
    <t xml:space="preserve">Biennial report for fiscal years ... /</t>
  </si>
  <si>
    <t xml:space="preserve">(OCoLC)ocm22964655</t>
  </si>
  <si>
    <t xml:space="preserve">AM101 .I3533</t>
  </si>
  <si>
    <t xml:space="preserve">AM  101            I 3533</t>
  </si>
  <si>
    <t xml:space="preserve">1990-1991</t>
  </si>
  <si>
    <t xml:space="preserve">1988-1989</t>
  </si>
  <si>
    <t xml:space="preserve">TREASURES OF LLOYD'S</t>
  </si>
  <si>
    <t xml:space="preserve">Dawson, Warren R. (Warren Royal), 1888-</t>
  </si>
  <si>
    <t xml:space="preserve">4TH ED.</t>
  </si>
  <si>
    <t xml:space="preserve">se 01011169</t>
  </si>
  <si>
    <t xml:space="preserve">AM101 .I68271930</t>
  </si>
  <si>
    <t xml:space="preserve">AM  101            I 68271930</t>
  </si>
  <si>
    <t xml:space="preserve">Amtlicher fuÂ¿Â¿hrer durch die sammlungen; herausgegeben im auftrage und mit unterstuÂ¿Â¿tzung der museumsleitung.</t>
  </si>
  <si>
    <t xml:space="preserve">Deutsches Museum (Germany)</t>
  </si>
  <si>
    <t xml:space="preserve">Amtlicher fuÂ¿Â¿hrer durch die sammlungen;</t>
  </si>
  <si>
    <t xml:space="preserve">2., vollstaÂ¿Â¿ndig neu bearb. und erweiterte aufl., mit 150 abbildungen und 7 plaÂ¿Â¿nen.</t>
  </si>
  <si>
    <t xml:space="preserve">(OCoLC)ocm00419621</t>
  </si>
  <si>
    <t xml:space="preserve">[c1928]</t>
  </si>
  <si>
    <t xml:space="preserve">Knorr &amp; Hirth, g. m. b. h.</t>
  </si>
  <si>
    <t xml:space="preserve">AM101 .M9751928</t>
  </si>
  <si>
    <t xml:space="preserve">AM  101            M 9751928</t>
  </si>
  <si>
    <t xml:space="preserve">Jahresschrift / Salzburger Museum Carolino Augusteum.</t>
  </si>
  <si>
    <t xml:space="preserve">Salzburger Museum Carolino Augusteum.</t>
  </si>
  <si>
    <t xml:space="preserve">Jahresschrift /</t>
  </si>
  <si>
    <t xml:space="preserve">(OCoLC)ocm09026362</t>
  </si>
  <si>
    <t xml:space="preserve">1955-</t>
  </si>
  <si>
    <t xml:space="preserve">Salzburger Museum Carolino Augusteum,</t>
  </si>
  <si>
    <t xml:space="preserve">AM101 .S23</t>
  </si>
  <si>
    <t xml:space="preserve">AM  101            S 23</t>
  </si>
  <si>
    <t xml:space="preserve">Satavahana coins in the Andhra Pradesh Govt. Museum, by M. Ramarao.</t>
  </si>
  <si>
    <t xml:space="preserve">Rama Rao, M.</t>
  </si>
  <si>
    <t xml:space="preserve">Satavahana coins in the Andhra Pradesh Govt. Museum,</t>
  </si>
  <si>
    <t xml:space="preserve">(OCoLC)ocm04839301</t>
  </si>
  <si>
    <t xml:space="preserve">Hindustan Printing Press,</t>
  </si>
  <si>
    <t xml:space="preserve">AM101.A624 NO.2</t>
  </si>
  <si>
    <t xml:space="preserve">AM  101            A 624   NO .2</t>
  </si>
  <si>
    <t xml:space="preserve">Romance of the British museum; the story of its origins, growth and purpose and some of its contents, by W. H. Boulton ... with a foreword by Sir Frederic Kenyon.</t>
  </si>
  <si>
    <t xml:space="preserve">Boulton, W. H.</t>
  </si>
  <si>
    <t xml:space="preserve">Romance of the British museum; the story of its origins, growth and purpose and some of its contents,</t>
  </si>
  <si>
    <t xml:space="preserve">(OCoLC)ocm02772641</t>
  </si>
  <si>
    <t xml:space="preserve">[1931]</t>
  </si>
  <si>
    <t xml:space="preserve">S. Low, Marston &amp; co., ltd.</t>
  </si>
  <si>
    <t xml:space="preserve">AM101.B87 B5</t>
  </si>
  <si>
    <t xml:space="preserve">AM  101            B 87   B 5</t>
  </si>
  <si>
    <t xml:space="preserve">2/17/2012</t>
  </si>
  <si>
    <t xml:space="preserve">British Museum: its history and treasures; a view of the origins of that great institution, sketches of its early benefactors and principal officers, and a survey of the priceless objects preserved within its walls. By Henry C. Shelley ...</t>
  </si>
  <si>
    <t xml:space="preserve">Shelley, Henry Charles.</t>
  </si>
  <si>
    <t xml:space="preserve">British Museum: its history and treasures; a view of the origins of that great institution, sketches of its early benefactors and principal officers,</t>
  </si>
  <si>
    <t xml:space="preserve">(OCoLC)ocm00425237</t>
  </si>
  <si>
    <t xml:space="preserve">L.C. Page &amp; Company,</t>
  </si>
  <si>
    <t xml:space="preserve">AM101.B87 S6</t>
  </si>
  <si>
    <t xml:space="preserve">AM  101            B 87   S 6</t>
  </si>
  <si>
    <t xml:space="preserve">11/9/2009</t>
  </si>
  <si>
    <t xml:space="preserve">Illinois state museum, 1877-1927 : its fifty years of service / by A. R. Crook.</t>
  </si>
  <si>
    <t xml:space="preserve">Crook, A. R. (Alja Robinson), b. 1864.</t>
  </si>
  <si>
    <t xml:space="preserve">Illinois state museum, 1877-1927 : its fifty years of service /</t>
  </si>
  <si>
    <t xml:space="preserve">(OCoLC)ocm03140553</t>
  </si>
  <si>
    <t xml:space="preserve">AM101.I356 C72</t>
  </si>
  <si>
    <t xml:space="preserve">AM  101            I 356   C 72</t>
  </si>
  <si>
    <t xml:space="preserve">Condell Collection of Oriental Art.</t>
  </si>
  <si>
    <t xml:space="preserve">Ridgely, Frances S.</t>
  </si>
  <si>
    <t xml:space="preserve">(OCoLC)ocm04705771</t>
  </si>
  <si>
    <t xml:space="preserve">AM101.I373 NO.1</t>
  </si>
  <si>
    <t xml:space="preserve">AM  101            I 373   NO .1</t>
  </si>
  <si>
    <t xml:space="preserve">Catalog of the paintings by G. P. A. Healy in the Illinois State Museum collection / by Robert J. Evans.</t>
  </si>
  <si>
    <t xml:space="preserve">Catalog of the paintings by G. P. A. Healy in the Illinois State Museum collection /</t>
  </si>
  <si>
    <t xml:space="preserve">(OCoLC)ocm04246503</t>
  </si>
  <si>
    <t xml:space="preserve">Illinois State Museum,</t>
  </si>
  <si>
    <t xml:space="preserve">AM101.I373 NO.2</t>
  </si>
  <si>
    <t xml:space="preserve">AM  101            I 373   NO .2</t>
  </si>
  <si>
    <t xml:space="preserve">Native basketry of Western North America : the Condell Collection of the Illinois State Museum / by Joan Megan Jones.</t>
  </si>
  <si>
    <t xml:space="preserve">Jones, Joan Megan.</t>
  </si>
  <si>
    <t xml:space="preserve">Native basketry of Western North America : the Condell Collection of the Illinois State Museum /</t>
  </si>
  <si>
    <t xml:space="preserve">(OCoLC)ocm07462392</t>
  </si>
  <si>
    <t xml:space="preserve">AM101.I373 NO.3</t>
  </si>
  <si>
    <t xml:space="preserve">AM  101            I 373   NO .3</t>
  </si>
  <si>
    <t xml:space="preserve">Native American dolls and cradleboards in the Illinois State Museum collection / by Judi Johnson.</t>
  </si>
  <si>
    <t xml:space="preserve">Native American dolls and cradleboards in the Illinois State Museum collection /</t>
  </si>
  <si>
    <t xml:space="preserve">0897920953 (pbk.)</t>
  </si>
  <si>
    <t xml:space="preserve">(OCoLC)ocm11970190</t>
  </si>
  <si>
    <t xml:space="preserve">AM101.I373 NO.4</t>
  </si>
  <si>
    <t xml:space="preserve">AM  101            I 373   NO .4</t>
  </si>
  <si>
    <t xml:space="preserve">Weaver's choice : patterns in American coverlets / by Janice Tauer Wass.</t>
  </si>
  <si>
    <t xml:space="preserve">Wass, Janice Tauer.</t>
  </si>
  <si>
    <t xml:space="preserve">Weaver's choice : patterns in American coverlets /</t>
  </si>
  <si>
    <t xml:space="preserve">0897921186 :</t>
  </si>
  <si>
    <t xml:space="preserve">(OCoLC)ocm18816197</t>
  </si>
  <si>
    <t xml:space="preserve">AM101.I373 NO.6</t>
  </si>
  <si>
    <t xml:space="preserve">AM  101            I 373   NO .6</t>
  </si>
  <si>
    <t xml:space="preserve">Men in search of man; the first seventy-five years of the University Museum of the University of Pennsylvania.</t>
  </si>
  <si>
    <t xml:space="preserve">Madeira, Percy Chester, 1889-</t>
  </si>
  <si>
    <t xml:space="preserve">(OCoLC)ocm02730606</t>
  </si>
  <si>
    <t xml:space="preserve">[1964]</t>
  </si>
  <si>
    <t xml:space="preserve">University of Pennsylvania Press</t>
  </si>
  <si>
    <t xml:space="preserve">AM101.P37 M3</t>
  </si>
  <si>
    <t xml:space="preserve">AM  101            P 37   M 3</t>
  </si>
  <si>
    <t xml:space="preserve">Fossil bears from Texas. Illus. by Hal M. Story.</t>
  </si>
  <si>
    <t xml:space="preserve">KurteÂ¿Â¿n, BjoÂ¿Â¿rn</t>
  </si>
  <si>
    <t xml:space="preserve">(OCoLC)ocm01329082</t>
  </si>
  <si>
    <t xml:space="preserve">Texas Memorial Museum,</t>
  </si>
  <si>
    <t xml:space="preserve">AM101.T474 NO.1</t>
  </si>
  <si>
    <t xml:space="preserve">AM  101            T 474   NO .1</t>
  </si>
  <si>
    <t xml:space="preserve">11/26/2002</t>
  </si>
  <si>
    <t xml:space="preserve">National Maritime Museum (Steen); a concise guide by F. Smekens and by J. van Beylen, with an historical introd. by K.C. Peeters.</t>
  </si>
  <si>
    <t xml:space="preserve">Smekens, F. (Frans)</t>
  </si>
  <si>
    <t xml:space="preserve">National Maritime Museum (Steen);</t>
  </si>
  <si>
    <t xml:space="preserve">(OCoLC)ocm08927524</t>
  </si>
  <si>
    <t xml:space="preserve">AM105.N38 S431958</t>
  </si>
  <si>
    <t xml:space="preserve">AM  105            N 38   S 431958</t>
  </si>
  <si>
    <t xml:space="preserve">2/24/2005</t>
  </si>
  <si>
    <t xml:space="preserve">Adult museum programs : designing meaningful experiences / Bonnie Sachatello-Sawyer ... [et al.].</t>
  </si>
  <si>
    <t xml:space="preserve">Adult museum programs : designing meaningful experiences /</t>
  </si>
  <si>
    <t xml:space="preserve">0759100969 (alk. paper)</t>
  </si>
  <si>
    <t xml:space="preserve">(DLC) 2002001984</t>
  </si>
  <si>
    <t xml:space="preserve">c2002.</t>
  </si>
  <si>
    <t xml:space="preserve">AltaMira Press,</t>
  </si>
  <si>
    <t xml:space="preserve">AM11 .A38 2002</t>
  </si>
  <si>
    <t xml:space="preserve">AM   11            A 38   2002</t>
  </si>
  <si>
    <t xml:space="preserve">3/14/2003</t>
  </si>
  <si>
    <t xml:space="preserve">8/12/2003</t>
  </si>
  <si>
    <t xml:space="preserve">2/17/2009</t>
  </si>
  <si>
    <t xml:space="preserve">America's museums; the Belmont report. A report to the Federal Council on the Arts and the Humanities.</t>
  </si>
  <si>
    <t xml:space="preserve">American Association of Museums.</t>
  </si>
  <si>
    <t xml:space="preserve">(OCoLC)ocm00016778</t>
  </si>
  <si>
    <t xml:space="preserve">1968 [i.e. 1969]</t>
  </si>
  <si>
    <t xml:space="preserve">AM11 .A58</t>
  </si>
  <si>
    <t xml:space="preserve">AM   11            A 58</t>
  </si>
  <si>
    <t xml:space="preserve">Museums: their new audience. A report to the Dept. of Housing and Urban Development by a special committee of the American Association of Museums.</t>
  </si>
  <si>
    <t xml:space="preserve">(OCoLC)ocm00572172</t>
  </si>
  <si>
    <t xml:space="preserve">AM11 .A62</t>
  </si>
  <si>
    <t xml:space="preserve">AM   11            A 62</t>
  </si>
  <si>
    <t xml:space="preserve">Funding sources and technical assistance for museums and historical agencies : a guide to public programs / compiled by Hedy A. Hartman.</t>
  </si>
  <si>
    <t xml:space="preserve">Hartman, Hedy A., 1954-</t>
  </si>
  <si>
    <t xml:space="preserve">Funding sources and technical assistance for museums and historical agencies : a guide to public programs /</t>
  </si>
  <si>
    <t xml:space="preserve">0910050406 :</t>
  </si>
  <si>
    <t xml:space="preserve">(OCoLC)ocm04957278</t>
  </si>
  <si>
    <t xml:space="preserve">American Association for State and Local History,</t>
  </si>
  <si>
    <t xml:space="preserve">AM11 .H33</t>
  </si>
  <si>
    <t xml:space="preserve">AM   11            H 33</t>
  </si>
  <si>
    <t xml:space="preserve">Latinos in museums : a heritage reclaimed / edited by Antonio RiÂ¿Â¿os-Bustamante and Christine Marin.</t>
  </si>
  <si>
    <t xml:space="preserve">Latinos in museums : a heritage reclaimed /</t>
  </si>
  <si>
    <t xml:space="preserve">Original ed.</t>
  </si>
  <si>
    <t xml:space="preserve">0894649817 (hardcover : alk. paper)</t>
  </si>
  <si>
    <t xml:space="preserve">(OCoLC)ocm37211288</t>
  </si>
  <si>
    <t xml:space="preserve">Krieger Pub.,</t>
  </si>
  <si>
    <t xml:space="preserve">AM11 .L38 1998</t>
  </si>
  <si>
    <t xml:space="preserve">AM   11            L 38   1998</t>
  </si>
  <si>
    <t xml:space="preserve">10/2/2008</t>
  </si>
  <si>
    <t xml:space="preserve">Directory of unique museums / compiled and edited by Bill Truesdell.</t>
  </si>
  <si>
    <t xml:space="preserve">Directory of unique museums /</t>
  </si>
  <si>
    <t xml:space="preserve">0897741978 (pbk. : alk. paper)</t>
  </si>
  <si>
    <t xml:space="preserve">(OCoLC)ocm11972686</t>
  </si>
  <si>
    <t xml:space="preserve">AM11 .T78 1985</t>
  </si>
  <si>
    <t xml:space="preserve">AM   11            T 78   1985</t>
  </si>
  <si>
    <t xml:space="preserve">Problems of installation in museums of art / by Arthur W. Melton.</t>
  </si>
  <si>
    <t xml:space="preserve">Melton, Arthur W. (Arthur Weever), 1906-</t>
  </si>
  <si>
    <t xml:space="preserve">Problems of installation in museums of art /</t>
  </si>
  <si>
    <t xml:space="preserve">(OCoLC)ocm19747352</t>
  </si>
  <si>
    <t xml:space="preserve">AM111 .M441988</t>
  </si>
  <si>
    <t xml:space="preserve">AM  111            M 441988</t>
  </si>
  <si>
    <t xml:space="preserve">Museum accounting handbook / prepared for the American Association of Museums by William H. Daughtrey, Jr., and Malvern J. Gross, Jr.</t>
  </si>
  <si>
    <t xml:space="preserve">Daughtrey, William H.</t>
  </si>
  <si>
    <t xml:space="preserve">Museum accounting handbook /</t>
  </si>
  <si>
    <t xml:space="preserve">(OCoLC)ocm03880074</t>
  </si>
  <si>
    <t xml:space="preserve">c1978.</t>
  </si>
  <si>
    <t xml:space="preserve">AM121 .D38</t>
  </si>
  <si>
    <t xml:space="preserve">AM  121            D 38</t>
  </si>
  <si>
    <t xml:space="preserve">Museum governance : mission, ethics, policy / Marie C. Malaro.</t>
  </si>
  <si>
    <t xml:space="preserve">Malaro, Marie C.</t>
  </si>
  <si>
    <t xml:space="preserve">Museum governance : mission, ethics, policy /</t>
  </si>
  <si>
    <t xml:space="preserve">1560983639 (pbk.)</t>
  </si>
  <si>
    <t xml:space="preserve">(OCoLC)ocm29598117</t>
  </si>
  <si>
    <t xml:space="preserve">c1994.</t>
  </si>
  <si>
    <t xml:space="preserve">Smithsonian Institution Press,</t>
  </si>
  <si>
    <t xml:space="preserve">AM121 .M35 1994</t>
  </si>
  <si>
    <t xml:space="preserve">AM  121            M 35   1994</t>
  </si>
  <si>
    <t xml:space="preserve">BOOK 16/8/4 WK REQ EXMPT</t>
  </si>
  <si>
    <t xml:space="preserve">8/27/2003</t>
  </si>
  <si>
    <t xml:space="preserve">9/3/2003</t>
  </si>
  <si>
    <t xml:space="preserve">3/13/2006</t>
  </si>
  <si>
    <t xml:space="preserve">Information handling in museums / Elizabeth Orna and Charles Pettitt.</t>
  </si>
  <si>
    <t xml:space="preserve">Orna, Elizabeth</t>
  </si>
  <si>
    <t xml:space="preserve">Information handling in museums /</t>
  </si>
  <si>
    <t xml:space="preserve">(OCoLC)ocm09041997</t>
  </si>
  <si>
    <t xml:space="preserve">KG Saur ; C. Bingley,</t>
  </si>
  <si>
    <t xml:space="preserve">AM125 .O761980</t>
  </si>
  <si>
    <t xml:space="preserve">AM  125            O 761980</t>
  </si>
  <si>
    <t xml:space="preserve">Museum &amp; archival supplies handbook.</t>
  </si>
  <si>
    <t xml:space="preserve">3rd ed., rev. and expanded.</t>
  </si>
  <si>
    <t xml:space="preserve">0920402054 (pbk.)</t>
  </si>
  <si>
    <t xml:space="preserve">(OCoLC)ocm15317057</t>
  </si>
  <si>
    <t xml:space="preserve">Ontario Museum Association &amp; Toronto Area Archivists Group,</t>
  </si>
  <si>
    <t xml:space="preserve">AM127 .M871985</t>
  </si>
  <si>
    <t xml:space="preserve">AM  127            M 871985</t>
  </si>
  <si>
    <t xml:space="preserve">Collections management policies / Marie C. Malaro.</t>
  </si>
  <si>
    <t xml:space="preserve">Collections management policies /</t>
  </si>
  <si>
    <t xml:space="preserve">(OCoLC)ocm10085020</t>
  </si>
  <si>
    <t xml:space="preserve">1979?]</t>
  </si>
  <si>
    <t xml:space="preserve">AM135 .M351979B</t>
  </si>
  <si>
    <t xml:space="preserve">AM  135            M 351979 B</t>
  </si>
  <si>
    <t xml:space="preserve">11/15/2005</t>
  </si>
  <si>
    <t xml:space="preserve">Conservation concerns : a guide for collectors and curators / Konstanze Bachmann, editor.</t>
  </si>
  <si>
    <t xml:space="preserve">Conservation concerns : a guide for collectors and curators /</t>
  </si>
  <si>
    <t xml:space="preserve">1560981741 (alk. paper)</t>
  </si>
  <si>
    <t xml:space="preserve">(OCoLC)ocm24870625</t>
  </si>
  <si>
    <t xml:space="preserve">Cooper-Hewitt National Museum of Design, Smithsonian Institution ; Smithsonian Institution Press,</t>
  </si>
  <si>
    <t xml:space="preserve">AM141 .C65 1992</t>
  </si>
  <si>
    <t xml:space="preserve">AM  141            C 65   1992</t>
  </si>
  <si>
    <t xml:space="preserve">9/29/2008</t>
  </si>
  <si>
    <t xml:space="preserve">9/21/2005</t>
  </si>
  <si>
    <t xml:space="preserve">CONTRIBUTIONS TO THE LONDON CONFERENCE ON MUSEUM CLIMATOLOGY, 18-28 SEPTEMBER 1967</t>
  </si>
  <si>
    <t xml:space="preserve">London Conference on Museum Climatology (1967)</t>
  </si>
  <si>
    <t xml:space="preserve">se 01011178</t>
  </si>
  <si>
    <t xml:space="preserve">AM145 .L651967</t>
  </si>
  <si>
    <t xml:space="preserve">AM  145            L 651967</t>
  </si>
  <si>
    <t xml:space="preserve">Pest control in museums : a status report, (1980) / compiled and edited by Stephen R. Edwards, Bruce M. Bell, Mary Elizabeth King, with additional contributions by Richard Beauchamp ... [et al.].</t>
  </si>
  <si>
    <t xml:space="preserve">Pest control in museums : a status report, (1980) /</t>
  </si>
  <si>
    <t xml:space="preserve">(OCoLC)ocm07703543</t>
  </si>
  <si>
    <t xml:space="preserve">Association of Systematics Collections,</t>
  </si>
  <si>
    <t xml:space="preserve">AM145 .P42</t>
  </si>
  <si>
    <t xml:space="preserve">AM  145            P 42</t>
  </si>
  <si>
    <t xml:space="preserve">Temporary and travelling exhibitions.</t>
  </si>
  <si>
    <t xml:space="preserve">Unesco.</t>
  </si>
  <si>
    <t xml:space="preserve">(OCoLC)ocm01190239</t>
  </si>
  <si>
    <t xml:space="preserve">1963]</t>
  </si>
  <si>
    <t xml:space="preserve">AM145 .U5</t>
  </si>
  <si>
    <t xml:space="preserve">AM  145            U 5</t>
  </si>
  <si>
    <t xml:space="preserve">Primer on museum security / by Caroline K. Keck ... [et al.].</t>
  </si>
  <si>
    <t xml:space="preserve">Keck, Caroline K. (Caroline Kohn).</t>
  </si>
  <si>
    <t xml:space="preserve">Primer on museum security /</t>
  </si>
  <si>
    <t xml:space="preserve">(OCoLC)ocm00785032</t>
  </si>
  <si>
    <t xml:space="preserve">New York State Historical Association,</t>
  </si>
  <si>
    <t xml:space="preserve">AM148 .K4</t>
  </si>
  <si>
    <t xml:space="preserve">AM  148            K 4</t>
  </si>
  <si>
    <t xml:space="preserve">Practical evaluation guide : tools for museums and other informal educational settings / Judy Diamond.</t>
  </si>
  <si>
    <t xml:space="preserve">Diamond, Judy.</t>
  </si>
  <si>
    <t xml:space="preserve">Practical evaluation guide : tools for museums and other informal educational settings /</t>
  </si>
  <si>
    <t xml:space="preserve">0761989390 (hardcover)</t>
  </si>
  <si>
    <t xml:space="preserve">(OCoLC)ocm40193515</t>
  </si>
  <si>
    <t xml:space="preserve">c1999.</t>
  </si>
  <si>
    <t xml:space="preserve">AM151 .D5 1999</t>
  </si>
  <si>
    <t xml:space="preserve">AM  151            D 5   1999</t>
  </si>
  <si>
    <t xml:space="preserve">9/28/2006</t>
  </si>
  <si>
    <t xml:space="preserve">Marketing the arts / [editors, Simon Blackall, Jan Meek]</t>
  </si>
  <si>
    <t xml:space="preserve">Marketing the arts /</t>
  </si>
  <si>
    <t xml:space="preserve">(OCoLC)ocm27830782</t>
  </si>
  <si>
    <t xml:space="preserve">ICOM,</t>
  </si>
  <si>
    <t xml:space="preserve">AM151 .M371992</t>
  </si>
  <si>
    <t xml:space="preserve">AM  151            M 371992</t>
  </si>
  <si>
    <t xml:space="preserve">1/6/2011</t>
  </si>
  <si>
    <t xml:space="preserve">Help! for the small museum; a handbook of exhibit ideas and methods.</t>
  </si>
  <si>
    <t xml:space="preserve">Neal, Arminta.</t>
  </si>
  <si>
    <t xml:space="preserve">(OCoLC)ocm00006738</t>
  </si>
  <si>
    <t xml:space="preserve">Pruett Press</t>
  </si>
  <si>
    <t xml:space="preserve">AM151 .N38</t>
  </si>
  <si>
    <t xml:space="preserve">AM  151            N 38</t>
  </si>
  <si>
    <t xml:space="preserve">How to collect anything book : treasure to trivia / Sylvia O'Neill Dorn.</t>
  </si>
  <si>
    <t xml:space="preserve">Dorn, Sylvia O'Neill.</t>
  </si>
  <si>
    <t xml:space="preserve">How to collect anything book : treasure to trivia /</t>
  </si>
  <si>
    <t xml:space="preserve">0385098243 :</t>
  </si>
  <si>
    <t xml:space="preserve">(OCoLC)ocm01863345</t>
  </si>
  <si>
    <t xml:space="preserve">Doubleday,</t>
  </si>
  <si>
    <t xml:space="preserve">AM231 .D66</t>
  </si>
  <si>
    <t xml:space="preserve">AM  231            D 66</t>
  </si>
  <si>
    <t xml:space="preserve">9/8/2004</t>
  </si>
  <si>
    <t xml:space="preserve">Alternative investment : a guide to opportunity in the collectibles market / Robin Duthy.</t>
  </si>
  <si>
    <t xml:space="preserve">Duthy, Robin, 1939- 05</t>
  </si>
  <si>
    <t xml:space="preserve">Alternative investment : a guide to opportunity in the collectibles market /</t>
  </si>
  <si>
    <t xml:space="preserve">(OCoLC)ocm05829601</t>
  </si>
  <si>
    <t xml:space="preserve">Times Books,</t>
  </si>
  <si>
    <t xml:space="preserve">AM231 .D881978</t>
  </si>
  <si>
    <t xml:space="preserve">AM  231            D 881978</t>
  </si>
  <si>
    <t xml:space="preserve">Lock, stock and barrel; the story of collecting, by Douglas and Elizabeth Rigby.</t>
  </si>
  <si>
    <t xml:space="preserve">Rigby, Douglas.</t>
  </si>
  <si>
    <t xml:space="preserve">Lock, stock and barrel; the story of collecting,</t>
  </si>
  <si>
    <t xml:space="preserve">(OCoLC)ocm00420328</t>
  </si>
  <si>
    <t xml:space="preserve">J.B. Lippincott Co.,</t>
  </si>
  <si>
    <t xml:space="preserve">AM231 .R51944</t>
  </si>
  <si>
    <t xml:space="preserve">AM  231            R 51944</t>
  </si>
  <si>
    <t xml:space="preserve">6/6/2009</t>
  </si>
  <si>
    <t xml:space="preserve">Collectors' items from the Saturday book, by Olive Cook and Edwin Smith.</t>
  </si>
  <si>
    <t xml:space="preserve">Collectors' items from the Saturday book,</t>
  </si>
  <si>
    <t xml:space="preserve">(OCoLC)ocm05068857</t>
  </si>
  <si>
    <t xml:space="preserve">Hutchinson,</t>
  </si>
  <si>
    <t xml:space="preserve">AM235 .S31955B</t>
  </si>
  <si>
    <t xml:space="preserve">AM  235            S 31955 B</t>
  </si>
  <si>
    <t xml:space="preserve">How to get the most profit from your collectibles / A.J. Koch.</t>
  </si>
  <si>
    <t xml:space="preserve">Koch, A. J.</t>
  </si>
  <si>
    <t xml:space="preserve">How to get the most profit from your collectibles /</t>
  </si>
  <si>
    <t xml:space="preserve">0668051191 :</t>
  </si>
  <si>
    <t xml:space="preserve">(OCoLC)ocm07597000</t>
  </si>
  <si>
    <t xml:space="preserve">c1982.</t>
  </si>
  <si>
    <t xml:space="preserve">Arco Pub.,</t>
  </si>
  <si>
    <t xml:space="preserve">AM237 .K621982</t>
  </si>
  <si>
    <t xml:space="preserve">AM  237            K 621982</t>
  </si>
  <si>
    <t xml:space="preserve">Warman's Americana &amp; collectibles : a price guide devoted to today's collectibles, with collecting hints, histories, references, clubs, museums / edited by Harry L. Rinker.</t>
  </si>
  <si>
    <t xml:space="preserve">Warman's Americana &amp; collectibles : a price guide devoted to today's collectibles, with collecting hints, histories, references, clubs, museums /</t>
  </si>
  <si>
    <t xml:space="preserve">0911594043 :</t>
  </si>
  <si>
    <t xml:space="preserve">(OCoLC)ocm10355191</t>
  </si>
  <si>
    <t xml:space="preserve">Warman,</t>
  </si>
  <si>
    <t xml:space="preserve">AM237 .W37 1984</t>
  </si>
  <si>
    <t xml:space="preserve">AM  237            W 37   1984</t>
  </si>
  <si>
    <t xml:space="preserve">6/20/2011</t>
  </si>
  <si>
    <t xml:space="preserve">Collect in the Kawarthas [by] Doris J. Unitt.</t>
  </si>
  <si>
    <t xml:space="preserve">Unitt, Doris Joyce.</t>
  </si>
  <si>
    <t xml:space="preserve">Collect in the Kawarthas</t>
  </si>
  <si>
    <t xml:space="preserve">(OCoLC)ocm00110315</t>
  </si>
  <si>
    <t xml:space="preserve">1967]</t>
  </si>
  <si>
    <t xml:space="preserve">Clock House Publications,</t>
  </si>
  <si>
    <t xml:space="preserve">AM313 .U51967</t>
  </si>
  <si>
    <t xml:space="preserve">AM  313            U 51967</t>
  </si>
  <si>
    <t xml:space="preserve">Cambridge guide to the museums of Europe / Kenneth Hudson and Ann Nicholls.</t>
  </si>
  <si>
    <t xml:space="preserve">Hudson, Kenneth.</t>
  </si>
  <si>
    <t xml:space="preserve">Cambridge guide to the museums of Europe /</t>
  </si>
  <si>
    <t xml:space="preserve">0521371759 :</t>
  </si>
  <si>
    <t xml:space="preserve">(OCoLC)ocm22887691</t>
  </si>
  <si>
    <t xml:space="preserve">Cambridge University Press,</t>
  </si>
  <si>
    <t xml:space="preserve">AM40 .H83 1991</t>
  </si>
  <si>
    <t xml:space="preserve">AM   40            H 83   1991</t>
  </si>
  <si>
    <t xml:space="preserve">RaritaÂ¿Â¿tenjaÂ¿Â¿ger. Aus dem abenteuerlichen Leben eines Sammlers. [Von] Armin O. Huber. [Fotos: Karlheinz Klubescheidt.</t>
  </si>
  <si>
    <t xml:space="preserve">HUBER, ARMIN OTTO, 1904-</t>
  </si>
  <si>
    <t xml:space="preserve">RaritaÂ¿Â¿tenjaÂ¿Â¿ger. Aus dem abenteuerlichen Leben eines Sammlers.</t>
  </si>
  <si>
    <t xml:space="preserve">(OCoLC)ocm05228843</t>
  </si>
  <si>
    <t xml:space="preserve">[c1966]</t>
  </si>
  <si>
    <t xml:space="preserve">Bertelsmann</t>
  </si>
  <si>
    <t xml:space="preserve">AM401 .H8</t>
  </si>
  <si>
    <t xml:space="preserve">AM  401            H 8</t>
  </si>
  <si>
    <t xml:space="preserve">Survey of provincial museums and galleries.</t>
  </si>
  <si>
    <t xml:space="preserve">Great Britain. Standing Commission on Museums and Galleries.</t>
  </si>
  <si>
    <t xml:space="preserve">(OCoLC)ocm04327694</t>
  </si>
  <si>
    <t xml:space="preserve">H. M. Stationery Off.,</t>
  </si>
  <si>
    <t xml:space="preserve">AM41 .A51963</t>
  </si>
  <si>
    <t xml:space="preserve">AM   41            A 51963</t>
  </si>
  <si>
    <t xml:space="preserve">Museums [by] Paul Sharp and E.M Hatt. Edited by Sir Hugh Casson.</t>
  </si>
  <si>
    <t xml:space="preserve">Casson, Hugh Maxwell, Sir, 1910-</t>
  </si>
  <si>
    <t xml:space="preserve">Museums</t>
  </si>
  <si>
    <t xml:space="preserve">(OCoLC)ocm07583741</t>
  </si>
  <si>
    <t xml:space="preserve">1964]</t>
  </si>
  <si>
    <t xml:space="preserve">Published by Chatto &amp; Windus for the National Benzole Co.,</t>
  </si>
  <si>
    <t xml:space="preserve">AM41 .C31964</t>
  </si>
  <si>
    <t xml:space="preserve">AM   41            C 31964</t>
  </si>
  <si>
    <t xml:space="preserve">Guide to the Canterbury museums [text by Louise Millard; designed and illustrated by Christopher Hills.</t>
  </si>
  <si>
    <t xml:space="preserve">Guide to the Canterbury museums</t>
  </si>
  <si>
    <t xml:space="preserve">(OCoLC)ocm00465682</t>
  </si>
  <si>
    <t xml:space="preserve">Royal Museum and Public Library,</t>
  </si>
  <si>
    <t xml:space="preserve">AM43.C3 G8</t>
  </si>
  <si>
    <t xml:space="preserve">AM   43            C 3   G 8</t>
  </si>
  <si>
    <t xml:space="preserve">Ursulinenklosterapotheke in Wien und Schlossmuseum Gobelsburg : die Aussenstellen des OÂ¿Â¿sterreichischen Museums fuÂ¿Â¿r Volkskunde / von Leopold Schmidt.</t>
  </si>
  <si>
    <t xml:space="preserve">Schmidt, Leopold, 1912-</t>
  </si>
  <si>
    <t xml:space="preserve">Ursulinenklosterapotheke in Wien und Schlossmuseum Gobelsburg : die Aussenstellen des OÂ¿Â¿sterreichischen Museums fuÂ¿Â¿r Volkskunde /</t>
  </si>
  <si>
    <t xml:space="preserve">(OCoLC)ocm17969183</t>
  </si>
  <si>
    <t xml:space="preserve">Koska,</t>
  </si>
  <si>
    <t xml:space="preserve">AM44.A1 O45</t>
  </si>
  <si>
    <t xml:space="preserve">AM   44            A 1   O 45</t>
  </si>
  <si>
    <t xml:space="preserve">pt.1</t>
  </si>
  <si>
    <t xml:space="preserve">Museums for the 1980's : a survey of world trends / by Kenneth Hudson, with a foreword by Georges Henri RivieÂ¿Â¿re.</t>
  </si>
  <si>
    <t xml:space="preserve">Museums for the 1980's : a survey of world trends /</t>
  </si>
  <si>
    <t xml:space="preserve">(OCoLC)ocm03089377</t>
  </si>
  <si>
    <t xml:space="preserve">Holmes &amp; Meier Publishers,</t>
  </si>
  <si>
    <t xml:space="preserve">AM5 .H81977</t>
  </si>
  <si>
    <t xml:space="preserve">AM    5            H 81977</t>
  </si>
  <si>
    <t xml:space="preserve">Museums, imagination and education.</t>
  </si>
  <si>
    <t xml:space="preserve">(OCoLC)ocm00661779</t>
  </si>
  <si>
    <t xml:space="preserve">Unesco,</t>
  </si>
  <si>
    <t xml:space="preserve">AM5 .M93</t>
  </si>
  <si>
    <t xml:space="preserve">AM    5            M 93</t>
  </si>
  <si>
    <t xml:space="preserve">2/6/2007</t>
  </si>
  <si>
    <t xml:space="preserve">Babel's tower; the dilemma of the modern museum, by Francis Henry Taylor.</t>
  </si>
  <si>
    <t xml:space="preserve">Taylor, Francis Henry, 1903-</t>
  </si>
  <si>
    <t xml:space="preserve">(OCoLC)ocm01889622</t>
  </si>
  <si>
    <t xml:space="preserve">[1945]</t>
  </si>
  <si>
    <t xml:space="preserve">Columbia university press</t>
  </si>
  <si>
    <t xml:space="preserve">AM5 .T3</t>
  </si>
  <si>
    <t xml:space="preserve">AM    5            T 3</t>
  </si>
  <si>
    <t xml:space="preserve">Professional standards for museum accreditation : the handbook of the accreditation program of the American Association of Museums / edited by H.J. Swinney.</t>
  </si>
  <si>
    <t xml:space="preserve">Professional standards for museum accreditation : the handbook of the accreditation program of the American Association of Museums /</t>
  </si>
  <si>
    <t xml:space="preserve">(OCoLC)ocm04325824</t>
  </si>
  <si>
    <t xml:space="preserve">AAM,</t>
  </si>
  <si>
    <t xml:space="preserve">AM7 .A551978</t>
  </si>
  <si>
    <t xml:space="preserve">AM    7            A 551978</t>
  </si>
  <si>
    <t xml:space="preserve">College and university museums, a message for college and university presidents, by Laurence Vail Coleman ...</t>
  </si>
  <si>
    <t xml:space="preserve">Coleman, Laurence Vail, 1893-</t>
  </si>
  <si>
    <t xml:space="preserve">College and university museums, a message for college and university presidents,</t>
  </si>
  <si>
    <t xml:space="preserve">(OCoLC)ocm01268345</t>
  </si>
  <si>
    <t xml:space="preserve">The American Association of Museums,</t>
  </si>
  <si>
    <t xml:space="preserve">AM7 .C57</t>
  </si>
  <si>
    <t xml:space="preserve">AM    7            C 57</t>
  </si>
  <si>
    <t xml:space="preserve">8/18/2003</t>
  </si>
  <si>
    <t xml:space="preserve">Making early histories in museums / edited by Nick Merriman.</t>
  </si>
  <si>
    <t xml:space="preserve">Making early histories in museums /</t>
  </si>
  <si>
    <t xml:space="preserve">0718501101 (hardbound)</t>
  </si>
  <si>
    <t xml:space="preserve">(OCoLC)ocm39713803</t>
  </si>
  <si>
    <t xml:space="preserve">Leicester University Press,</t>
  </si>
  <si>
    <t xml:space="preserve">AM7 .M34 1999</t>
  </si>
  <si>
    <t xml:space="preserve">AM    7            M 34   1999</t>
  </si>
  <si>
    <t xml:space="preserve">9/16/2003</t>
  </si>
  <si>
    <t xml:space="preserve">1/26/2009</t>
  </si>
  <si>
    <t xml:space="preserve">Manual of museum learning / edited by Barry Lord.</t>
  </si>
  <si>
    <t xml:space="preserve">Manual of museum learning /</t>
  </si>
  <si>
    <t xml:space="preserve">0759109710 (pbk. : alk. paper)</t>
  </si>
  <si>
    <t xml:space="preserve">(OCoLC)ocn167763730</t>
  </si>
  <si>
    <t xml:space="preserve">c2007.</t>
  </si>
  <si>
    <t xml:space="preserve">Rowman &amp; Littlefield,</t>
  </si>
  <si>
    <t xml:space="preserve">AM7 .M36 2007</t>
  </si>
  <si>
    <t xml:space="preserve">AM    7            M 36   2007</t>
  </si>
  <si>
    <t xml:space="preserve">4/15/2008</t>
  </si>
  <si>
    <t xml:space="preserve">6/23/2008</t>
  </si>
  <si>
    <t xml:space="preserve">8/29/2012</t>
  </si>
  <si>
    <t xml:space="preserve">Museum education anthology, 1973-1983 : perspectives on informal learning, a decade of Roundtable reports / Susan K. Nichols, editor ; Mary Alexander and Ken Yellis, associate editors.</t>
  </si>
  <si>
    <t xml:space="preserve">Museum education anthology, 1973-1983 : perspectives on informal learning, a decade of Roundtable reports /</t>
  </si>
  <si>
    <t xml:space="preserve">(OCoLC)ocm11248638</t>
  </si>
  <si>
    <t xml:space="preserve">Museum Education Roundtable : Copies of this book are available from the American Association of Museums,</t>
  </si>
  <si>
    <t xml:space="preserve">AM7 .M861984</t>
  </si>
  <si>
    <t xml:space="preserve">AM    7            M 861984</t>
  </si>
  <si>
    <t xml:space="preserve">11/6/2004</t>
  </si>
  <si>
    <t xml:space="preserve">Museum for the people; a report of proceedings at the Seminar on Neighborhood Museums, held November 20, 21 and 22, 1969, at MUSE, the Bedford Lincoln Neighborhood Museum in Brooklyn, New York. Edited by Emily Dennis Harvey and Bernard Friedberg.</t>
  </si>
  <si>
    <t xml:space="preserve">Museum for the people; a report of proceedings at the Seminar on Neighborhood Museums, held November 20, 21 and 22, 1969, at MUSE, the Bedford Lincoln</t>
  </si>
  <si>
    <t xml:space="preserve">(OCoLC)ocm00258411</t>
  </si>
  <si>
    <t xml:space="preserve">AM7 .M871971</t>
  </si>
  <si>
    <t xml:space="preserve">AM    7            M 871971</t>
  </si>
  <si>
    <t xml:space="preserve">Museums and children / Ulla Keding Olofsson, general editor ; illustrations, Gerard Teichert.</t>
  </si>
  <si>
    <t xml:space="preserve">Museums and children /</t>
  </si>
  <si>
    <t xml:space="preserve">923101692X</t>
  </si>
  <si>
    <t xml:space="preserve">(OCoLC)ocm06294358</t>
  </si>
  <si>
    <t xml:space="preserve">AM7 .M88</t>
  </si>
  <si>
    <t xml:space="preserve">AM    7            M 88</t>
  </si>
  <si>
    <t xml:space="preserve">Guide to the museums of Southern Africa, compiled by H. Fransen.</t>
  </si>
  <si>
    <t xml:space="preserve">Fransen, Hans.</t>
  </si>
  <si>
    <t xml:space="preserve">Guide to the museums of Southern Africa,</t>
  </si>
  <si>
    <t xml:space="preserve">(OCoLC)ocm00103300</t>
  </si>
  <si>
    <t xml:space="preserve">S.A. Museums Association,</t>
  </si>
  <si>
    <t xml:space="preserve">AM80.S6 F7</t>
  </si>
  <si>
    <t xml:space="preserve">AM   80            S 6   F 7</t>
  </si>
  <si>
    <t xml:space="preserve">Aesthetic papers, 1849. A facsimile reproduction with an introduction by Joseph Jones.</t>
  </si>
  <si>
    <t xml:space="preserve">Aesthetic papers, 1849.</t>
  </si>
  <si>
    <t xml:space="preserve">(OCoLC)ocm03107755</t>
  </si>
  <si>
    <t xml:space="preserve">Scholars' Facsimiles &amp; Reprints,</t>
  </si>
  <si>
    <t xml:space="preserve">AP2 .A271849A</t>
  </si>
  <si>
    <t xml:space="preserve">AP    2            A 271849 A</t>
  </si>
  <si>
    <t xml:space="preserve">American parade; a quarterly magazine.</t>
  </si>
  <si>
    <t xml:space="preserve">(OCoLC)ocm01480526</t>
  </si>
  <si>
    <t xml:space="preserve">Parade Publishing Company.</t>
  </si>
  <si>
    <t xml:space="preserve">AP2 .A3975</t>
  </si>
  <si>
    <t xml:space="preserve">AP    2            A 3975</t>
  </si>
  <si>
    <t xml:space="preserve">v.1:1</t>
  </si>
  <si>
    <t xml:space="preserve">Anchor review.</t>
  </si>
  <si>
    <t xml:space="preserve">(OCoLC)ocm01481094</t>
  </si>
  <si>
    <t xml:space="preserve">Doubleday.</t>
  </si>
  <si>
    <t xml:space="preserve">AP2 .A496</t>
  </si>
  <si>
    <t xml:space="preserve">AP    2            A 496</t>
  </si>
  <si>
    <t xml:space="preserve">no.2</t>
  </si>
  <si>
    <t xml:space="preserve">Bibelot.</t>
  </si>
  <si>
    <t xml:space="preserve">Testimonial ed.</t>
  </si>
  <si>
    <t xml:space="preserve">(OCoLC)ocm04425861</t>
  </si>
  <si>
    <t xml:space="preserve">1925?</t>
  </si>
  <si>
    <t xml:space="preserve">W. H. Wise,</t>
  </si>
  <si>
    <t xml:space="preserve">AP2 .B47</t>
  </si>
  <si>
    <t xml:space="preserve">AP    2            B 47</t>
  </si>
  <si>
    <t xml:space="preserve">v.21 (INDEX)</t>
  </si>
  <si>
    <t xml:space="preserve">Blues : a magazine of new rhythms.</t>
  </si>
  <si>
    <t xml:space="preserve">(OCoLC)ocm08063518</t>
  </si>
  <si>
    <t xml:space="preserve">Johnson Reprint Corp.,</t>
  </si>
  <si>
    <t xml:space="preserve">AP2 .B64 1930R</t>
  </si>
  <si>
    <t xml:space="preserve">AP    2            B 64   1930 R</t>
  </si>
  <si>
    <t xml:space="preserve">8/23/2011</t>
  </si>
  <si>
    <t xml:space="preserve">Bucknell review.</t>
  </si>
  <si>
    <t xml:space="preserve">(OCoLC)ocm04412203</t>
  </si>
  <si>
    <t xml:space="preserve">1954-c2004.</t>
  </si>
  <si>
    <t xml:space="preserve">Bucknell University Press,</t>
  </si>
  <si>
    <t xml:space="preserve">AP2 .B887</t>
  </si>
  <si>
    <t xml:space="preserve">AP    2            B 887</t>
  </si>
  <si>
    <t xml:space="preserve">v.21(1973)</t>
  </si>
  <si>
    <t xml:space="preserve">v.20(1972)</t>
  </si>
  <si>
    <t xml:space="preserve">v.19(1971)</t>
  </si>
  <si>
    <t xml:space="preserve">v.18(1970)</t>
  </si>
  <si>
    <t xml:space="preserve">v.17(1969)</t>
  </si>
  <si>
    <t xml:space="preserve">4/20/2005</t>
  </si>
  <si>
    <t xml:space="preserve">v.16(1968)</t>
  </si>
  <si>
    <t xml:space="preserve">v.15(1967)</t>
  </si>
  <si>
    <t xml:space="preserve">v.14(1966)</t>
  </si>
  <si>
    <t xml:space="preserve">v.13(1965)</t>
  </si>
  <si>
    <t xml:space="preserve">v.12(1964)</t>
  </si>
  <si>
    <t xml:space="preserve">v.11(1962-1963)</t>
  </si>
  <si>
    <t xml:space="preserve">4/15/2009</t>
  </si>
  <si>
    <t xml:space="preserve">v.10(1961-1962)</t>
  </si>
  <si>
    <t xml:space="preserve">v.9(1960-1961)</t>
  </si>
  <si>
    <t xml:space="preserve">v.7(1957-1958)</t>
  </si>
  <si>
    <t xml:space="preserve">v.6(1956-1957)</t>
  </si>
  <si>
    <t xml:space="preserve">Points of contact : crossing cultural boundaries / edited by Amy Golahny.</t>
  </si>
  <si>
    <t xml:space="preserve">Points of contact : crossing cultural boundaries /</t>
  </si>
  <si>
    <t xml:space="preserve">(OCoLC)ocm55880926</t>
  </si>
  <si>
    <t xml:space="preserve">Bucknell University Press ; Associated University Presses,</t>
  </si>
  <si>
    <t xml:space="preserve">AP2 .B887 v. 47, no. 2</t>
  </si>
  <si>
    <t xml:space="preserve">AP    2            B 887   V   47 ,   NO   2</t>
  </si>
  <si>
    <t xml:space="preserve">8/13/2004</t>
  </si>
  <si>
    <t xml:space="preserve">Art and the religious impulse / edited by Eric Michael Mazur.</t>
  </si>
  <si>
    <t xml:space="preserve">Art and the religious impulse /</t>
  </si>
  <si>
    <t xml:space="preserve">(OCoLC)ocm50481677</t>
  </si>
  <si>
    <t xml:space="preserve">AP2 .B887 vol. 46 no. 1</t>
  </si>
  <si>
    <t xml:space="preserve">AP    2            B 887   VOL   46   NO   1</t>
  </si>
  <si>
    <t xml:space="preserve">Translation and culture / edited by Katherine M. Faul.</t>
  </si>
  <si>
    <t xml:space="preserve">Translation and culture /</t>
  </si>
  <si>
    <t xml:space="preserve">083875581X</t>
  </si>
  <si>
    <t xml:space="preserve">(OCoLC)ocm54809328</t>
  </si>
  <si>
    <t xml:space="preserve">c2004.</t>
  </si>
  <si>
    <t xml:space="preserve">AP2 .B887 vol. 47, no. 1</t>
  </si>
  <si>
    <t xml:space="preserve">AP    2            B 887   VOL   47 ,   NO   1</t>
  </si>
  <si>
    <t xml:space="preserve">5/6/2004</t>
  </si>
  <si>
    <t xml:space="preserve">7/1/2012</t>
  </si>
  <si>
    <t xml:space="preserve">History and memory : suffering and art / edited by Harold Schweizer.</t>
  </si>
  <si>
    <t xml:space="preserve">History and memory : suffering and art /</t>
  </si>
  <si>
    <t xml:space="preserve">(OCoLC)ocm40493443</t>
  </si>
  <si>
    <t xml:space="preserve">AP2 .B887 vol.42 no.2</t>
  </si>
  <si>
    <t xml:space="preserve">AP    2            B 887   VOL .42   NO .2</t>
  </si>
  <si>
    <t xml:space="preserve">Making history : textuality and the forms of eighteenth -century culture / edited by Greg Clingham.</t>
  </si>
  <si>
    <t xml:space="preserve">Making history : textuality and the forms of eighteenth -century culture /</t>
  </si>
  <si>
    <t xml:space="preserve">(OCoLC)ocm39872211</t>
  </si>
  <si>
    <t xml:space="preserve">AP2 .B887 vol.42, no.1</t>
  </si>
  <si>
    <t xml:space="preserve">AP    2            B 887   VOL .42 ,   NO .1</t>
  </si>
  <si>
    <t xml:space="preserve">Rites of passage in ancient Greece : literature, religion, society / edited by Mark W. Padilla.</t>
  </si>
  <si>
    <t xml:space="preserve">Rites of passage in ancient Greece : literature, religion, society /</t>
  </si>
  <si>
    <t xml:space="preserve">083875418X</t>
  </si>
  <si>
    <t xml:space="preserve">(OCoLC)ocm42828786</t>
  </si>
  <si>
    <t xml:space="preserve">AP2 .B887 vol.43, no.1</t>
  </si>
  <si>
    <t xml:space="preserve">AP    2            B 887   VOL .43 ,   NO .1</t>
  </si>
  <si>
    <t xml:space="preserve">11/19/2008</t>
  </si>
  <si>
    <t xml:space="preserve">New essays in ecofeminist literary criticism / edited by Glynis Carr.</t>
  </si>
  <si>
    <t xml:space="preserve">New essays in ecofeminist literary criticism /</t>
  </si>
  <si>
    <t xml:space="preserve">(OCoLC)ocm45126633</t>
  </si>
  <si>
    <t xml:space="preserve">AP2 .B887 vol.44, no.1</t>
  </si>
  <si>
    <t xml:space="preserve">AP    2            B 887   VOL .44 ,   NO .1</t>
  </si>
  <si>
    <t xml:space="preserve">4/30/2009</t>
  </si>
  <si>
    <t xml:space="preserve">Caribbean cultural identities / edited by Glyne Griffith.</t>
  </si>
  <si>
    <t xml:space="preserve">Caribbean cultural identities /</t>
  </si>
  <si>
    <t xml:space="preserve">(OCoLC)ocm46439103</t>
  </si>
  <si>
    <t xml:space="preserve">AP2 .B887 vol.44, no.2</t>
  </si>
  <si>
    <t xml:space="preserve">AP    2            B 887   VOL .44 ,   NO .2</t>
  </si>
  <si>
    <t xml:space="preserve">1/12/2005</t>
  </si>
  <si>
    <t xml:space="preserve">Untrodden regions of the mind : romanticism and psychoanalysis / edited by Ghislaine McDayter.</t>
  </si>
  <si>
    <t xml:space="preserve">Untrodden regions of the mind : romanticism and psychoanalysis /</t>
  </si>
  <si>
    <t xml:space="preserve">(OCoLC)ocm48813882</t>
  </si>
  <si>
    <t xml:space="preserve">Associated University Pre</t>
  </si>
  <si>
    <t xml:space="preserve">Bucknell University Press ; Cranbury, N.J. :</t>
  </si>
  <si>
    <t xml:space="preserve">AP2 .B887 vol.45, no.2</t>
  </si>
  <si>
    <t xml:space="preserve">AP    2            B 887   VOL .45 ,   NO .2</t>
  </si>
  <si>
    <t xml:space="preserve">10/7/2002</t>
  </si>
  <si>
    <t xml:space="preserve">Phenomenology, structuralism, semiology / edited by Harry R. Garvin.</t>
  </si>
  <si>
    <t xml:space="preserve">Phenomenology, structuralism, semiology /</t>
  </si>
  <si>
    <t xml:space="preserve">(OCoLC)ocm01735362</t>
  </si>
  <si>
    <t xml:space="preserve">c1976.</t>
  </si>
  <si>
    <t xml:space="preserve">AP2 .B887VOL.22NO.1</t>
  </si>
  <si>
    <t xml:space="preserve">AP    2            B 887 VOL .22 NO .1</t>
  </si>
  <si>
    <t xml:space="preserve">Twentieth-century poetry, fiction, theory / edited by Harry R. Garvin, special associate editor this issue, John D. Kirkland, Jr.</t>
  </si>
  <si>
    <t xml:space="preserve">Twentieth-century poetry, fiction, theory /</t>
  </si>
  <si>
    <t xml:space="preserve">(OCoLC)ocm02597963</t>
  </si>
  <si>
    <t xml:space="preserve">AP2 .B887VOL.22NO.2</t>
  </si>
  <si>
    <t xml:space="preserve">AP    2            B 887 VOL .22 NO .2</t>
  </si>
  <si>
    <t xml:space="preserve">New dimensions in the humanities and social sciences / editor, Harry R. Garvin, special associate editor this issue, John D. Kirkland, Jr. ... [et al.].</t>
  </si>
  <si>
    <t xml:space="preserve">New dimensions in the humanities and social sciences /</t>
  </si>
  <si>
    <t xml:space="preserve">083871966X :</t>
  </si>
  <si>
    <t xml:space="preserve">(OCoLC)ocm02986004</t>
  </si>
  <si>
    <t xml:space="preserve">AP2 .B887VOL.23NO.1</t>
  </si>
  <si>
    <t xml:space="preserve">AP    2            B 887 VOL .23 NO .1</t>
  </si>
  <si>
    <t xml:space="preserve">Literature and history / edited by Harry R. Garvin.</t>
  </si>
  <si>
    <t xml:space="preserve">Literature and history /</t>
  </si>
  <si>
    <t xml:space="preserve">0838721397 :</t>
  </si>
  <si>
    <t xml:space="preserve">(OCoLC)ocm03089229</t>
  </si>
  <si>
    <t xml:space="preserve">AP2 .B887VOL.23NO.2</t>
  </si>
  <si>
    <t xml:space="preserve">AP    2            B 887 VOL .23 NO .2</t>
  </si>
  <si>
    <t xml:space="preserve">Women, literature, criticism / edited by Harry R. Garvin.</t>
  </si>
  <si>
    <t xml:space="preserve">Women, literature, criticism /</t>
  </si>
  <si>
    <t xml:space="preserve">083872230X :</t>
  </si>
  <si>
    <t xml:space="preserve">(OCoLC)ocm03868838</t>
  </si>
  <si>
    <t xml:space="preserve">AP2 .B887VOL.24NO.1</t>
  </si>
  <si>
    <t xml:space="preserve">AP    2            B 887 VOL .24 NO .1</t>
  </si>
  <si>
    <t xml:space="preserve">Arts and their interrelations / edited by Harry R. Garvin ; special associate editor this issue, James M. Heath.</t>
  </si>
  <si>
    <t xml:space="preserve">Arts and their interrelations /</t>
  </si>
  <si>
    <t xml:space="preserve">0838723551 :</t>
  </si>
  <si>
    <t xml:space="preserve">(OCoLC)ocm04834686</t>
  </si>
  <si>
    <t xml:space="preserve">AP2 .B887VOL.24NO.2</t>
  </si>
  <si>
    <t xml:space="preserve">AP    2            B 887 VOL .24 NO .2</t>
  </si>
  <si>
    <t xml:space="preserve">2/27/2006</t>
  </si>
  <si>
    <t xml:space="preserve">Shakespeare, contemporary critical approaches / edited by Harry R. Garvin, special associate editor this issue, Michael D. Payne.</t>
  </si>
  <si>
    <t xml:space="preserve">Shakespeare, contemporary critical approaches /</t>
  </si>
  <si>
    <t xml:space="preserve">(OCoLC)ocm06916041</t>
  </si>
  <si>
    <t xml:space="preserve">c1980.</t>
  </si>
  <si>
    <t xml:space="preserve">AP2 .B887VOL.25NO.1</t>
  </si>
  <si>
    <t xml:space="preserve">AP    2            B 887 VOL .25 NO .1</t>
  </si>
  <si>
    <t xml:space="preserve">Romanticism, modernism, postmodernism / edited by Harry R. Garvin.</t>
  </si>
  <si>
    <t xml:space="preserve">Romanticism, modernism, postmodernism /</t>
  </si>
  <si>
    <t xml:space="preserve">0838750044 :</t>
  </si>
  <si>
    <t xml:space="preserve">(OCoLC)ocm06085670</t>
  </si>
  <si>
    <t xml:space="preserve">AP2 .B887VOL.25NO.2</t>
  </si>
  <si>
    <t xml:space="preserve">AP    2            B 887 VOL .25 NO .2</t>
  </si>
  <si>
    <t xml:space="preserve">10/12/2009</t>
  </si>
  <si>
    <t xml:space="preserve">Theories of reading, looking, and listening / edited by Harry R. Garvin, special associate editor this issue, Steven Mailloux.</t>
  </si>
  <si>
    <t xml:space="preserve">Theories of reading, looking, and listening /</t>
  </si>
  <si>
    <t xml:space="preserve">(OCoLC)ocm06649907</t>
  </si>
  <si>
    <t xml:space="preserve">AP2 .B887VOL.26NO.1</t>
  </si>
  <si>
    <t xml:space="preserve">AP    2            B 887 VOL .26 NO .1</t>
  </si>
  <si>
    <t xml:space="preserve">Literature, arts, and religion / edited by Harry R. Garvin.</t>
  </si>
  <si>
    <t xml:space="preserve">Literature, arts, and religion /</t>
  </si>
  <si>
    <t xml:space="preserve">0838750214 :</t>
  </si>
  <si>
    <t xml:space="preserve">(OCoLC)ocm07278446</t>
  </si>
  <si>
    <t xml:space="preserve">AP2 .B887VOL.26NO.2</t>
  </si>
  <si>
    <t xml:space="preserve">AP    2            B 887 VOL .26 NO .2</t>
  </si>
  <si>
    <t xml:space="preserve">Literature and ideology / edited by Harry R. Garvin ; special associate editor this issue, James M. Heath.</t>
  </si>
  <si>
    <t xml:space="preserve">Literature and ideology /</t>
  </si>
  <si>
    <t xml:space="preserve">(OCoLC)ocm08431561</t>
  </si>
  <si>
    <t xml:space="preserve">AP2 .B887VOL.27NO.1</t>
  </si>
  <si>
    <t xml:space="preserve">AP    2            B 887 VOL .27 NO .1</t>
  </si>
  <si>
    <t xml:space="preserve">Science and literature / edited by Harry R. Garvin, special associate editor, James M. Heath.</t>
  </si>
  <si>
    <t xml:space="preserve">Science and literature /</t>
  </si>
  <si>
    <t xml:space="preserve">(OCoLC)ocm08846037</t>
  </si>
  <si>
    <t xml:space="preserve">c1983.</t>
  </si>
  <si>
    <t xml:space="preserve">AP2 .B887VOL.27NO.2</t>
  </si>
  <si>
    <t xml:space="preserve">AP    2            B 887 VOL .27 NO .2</t>
  </si>
  <si>
    <t xml:space="preserve">American renaissance : new dimensions / edited by Harry R. Garvin ; special associate editor, Peter C. Carafiol.</t>
  </si>
  <si>
    <t xml:space="preserve">American renaissance : new dimensions /</t>
  </si>
  <si>
    <t xml:space="preserve">(OCoLC)ocm08763920</t>
  </si>
  <si>
    <t xml:space="preserve">AP2 .B887VOL.28NO.1</t>
  </si>
  <si>
    <t xml:space="preserve">AP    2            B 887 VOL .28 NO .1</t>
  </si>
  <si>
    <t xml:space="preserve">Rhetoric, literature, and interpretation / edited by Harry R. Garvin.</t>
  </si>
  <si>
    <t xml:space="preserve">Rhetoric, literature, and interpretation /</t>
  </si>
  <si>
    <t xml:space="preserve">(OCoLC)ocm09197707</t>
  </si>
  <si>
    <t xml:space="preserve">AP2 .B887VOL.28NO.2</t>
  </si>
  <si>
    <t xml:space="preserve">AP    2            B 887 VOL .28 NO .2</t>
  </si>
  <si>
    <t xml:space="preserve">Arts, society, literature / edited by Harry R. Garvin ; associate editor, James M. Heath.</t>
  </si>
  <si>
    <t xml:space="preserve">Arts, society, literature /</t>
  </si>
  <si>
    <t xml:space="preserve">083875080X</t>
  </si>
  <si>
    <t xml:space="preserve">(OCoLC)ocm10483647</t>
  </si>
  <si>
    <t xml:space="preserve">AP2 .B887VOL.29NO.1</t>
  </si>
  <si>
    <t xml:space="preserve">AP    2            B 887 VOL .29 NO .1</t>
  </si>
  <si>
    <t xml:space="preserve">Text, interpretation, theory / edited by James M. Heath and Michael Payne.</t>
  </si>
  <si>
    <t xml:space="preserve">Text, interpretation, theory /</t>
  </si>
  <si>
    <t xml:space="preserve">0838750974 (alk. paper)</t>
  </si>
  <si>
    <t xml:space="preserve">(OCoLC)ocm11840500</t>
  </si>
  <si>
    <t xml:space="preserve">c1985.</t>
  </si>
  <si>
    <t xml:space="preserve">AP2 .B887VOL.29NO.2</t>
  </si>
  <si>
    <t xml:space="preserve">AP    2            B 887 VOL .29 NO .2</t>
  </si>
  <si>
    <t xml:space="preserve">4/11/2012</t>
  </si>
  <si>
    <t xml:space="preserve">Perspective : art, literature, participation / edited by Mark Neuman and Michael Payne.</t>
  </si>
  <si>
    <t xml:space="preserve">Perspective : art, literature, participation /</t>
  </si>
  <si>
    <t xml:space="preserve">0838751040 (alk. paper)</t>
  </si>
  <si>
    <t xml:space="preserve">(OCoLC)ocm12692908</t>
  </si>
  <si>
    <t xml:space="preserve">AP2 .B887VOL.30NO.1</t>
  </si>
  <si>
    <t xml:space="preserve">AP    2            B 887 VOL .30 NO .1</t>
  </si>
  <si>
    <t xml:space="preserve">Self, sign, and symbol / edited by Mark Neuman and Michael Payne.</t>
  </si>
  <si>
    <t xml:space="preserve">Self, sign, and symbol /</t>
  </si>
  <si>
    <t xml:space="preserve">0838751083 (alk. paper)</t>
  </si>
  <si>
    <t xml:space="preserve">(OCoLC)ocm13701719</t>
  </si>
  <si>
    <t xml:space="preserve">AP2 .B887VOL.30NO.2</t>
  </si>
  <si>
    <t xml:space="preserve">AP    2            B 887 VOL .30 NO .2</t>
  </si>
  <si>
    <t xml:space="preserve">New interpretations of American literature / edited by Richard Fleming and Michael Payne.</t>
  </si>
  <si>
    <t xml:space="preserve">New interpretations of American literature /</t>
  </si>
  <si>
    <t xml:space="preserve">083875127X (alk. paper)</t>
  </si>
  <si>
    <t xml:space="preserve">(OCoLC)ocm16278243</t>
  </si>
  <si>
    <t xml:space="preserve">AP2 .B887VOL.31NO.2</t>
  </si>
  <si>
    <t xml:space="preserve">AP    2            B 887 VOL .31 NO .2</t>
  </si>
  <si>
    <t xml:space="preserve">Senses of Stanley Cavell / edited by Richard Fleming and Michael Payne.</t>
  </si>
  <si>
    <t xml:space="preserve">Senses of Stanley Cavell /</t>
  </si>
  <si>
    <t xml:space="preserve">0838751466 (alk. paper)</t>
  </si>
  <si>
    <t xml:space="preserve">(OCoLC)ocm17619658</t>
  </si>
  <si>
    <t xml:space="preserve">AP2 .B887VOL.32NO.1</t>
  </si>
  <si>
    <t xml:space="preserve">AP    2            B 887 VOL .32 NO .1</t>
  </si>
  <si>
    <t xml:space="preserve">Comedias del siglo de oro and Shakespeare / edited by Susan L. Fischer.</t>
  </si>
  <si>
    <t xml:space="preserve">Comedias del siglo de oro and Shakespeare /</t>
  </si>
  <si>
    <t xml:space="preserve">0838751695 (alk. paper)</t>
  </si>
  <si>
    <t xml:space="preserve">(OCoLC)ocm18741321</t>
  </si>
  <si>
    <t xml:space="preserve">AP2 .B887VOL.33NO.1</t>
  </si>
  <si>
    <t xml:space="preserve">AP    2            B 887 VOL .33 NO .1</t>
  </si>
  <si>
    <t xml:space="preserve">Mappings of the biblical terrain : the Bible as text / edited by Vincent L. Tollers and John Maier.</t>
  </si>
  <si>
    <t xml:space="preserve">Mappings of the biblical terrain : the Bible as text /</t>
  </si>
  <si>
    <t xml:space="preserve">0838751725 (alk. paper)</t>
  </si>
  <si>
    <t xml:space="preserve">(OCoLC)ocm20356330</t>
  </si>
  <si>
    <t xml:space="preserve">c1990.</t>
  </si>
  <si>
    <t xml:space="preserve">AP2 .B887VOL.33NO.2</t>
  </si>
  <si>
    <t xml:space="preserve">AP    2            B 887 VOL .33 NO .2</t>
  </si>
  <si>
    <t xml:space="preserve">4/17/2008</t>
  </si>
  <si>
    <t xml:space="preserve">Philosophy of John William Miller / edited by Joseph P. Fell.</t>
  </si>
  <si>
    <t xml:space="preserve">Philosophy of John William Miller /</t>
  </si>
  <si>
    <t xml:space="preserve">0838751857 (alk. paper)</t>
  </si>
  <si>
    <t xml:space="preserve">(OCoLC)ocm20419247</t>
  </si>
  <si>
    <t xml:space="preserve">AP2 .B887VOL.34NO.1</t>
  </si>
  <si>
    <t xml:space="preserve">AP    2            B 887 VOL .34 NO .1</t>
  </si>
  <si>
    <t xml:space="preserve">Culture and education in Victorian England / edited by Patrick Scott and Pauline Fletcher.</t>
  </si>
  <si>
    <t xml:space="preserve">Culture and education in Victorian England /</t>
  </si>
  <si>
    <t xml:space="preserve">0838751970 (alk. paper)</t>
  </si>
  <si>
    <t xml:space="preserve">(OCoLC)ocm21196725</t>
  </si>
  <si>
    <t xml:space="preserve">AP2 .B887VOL.34NO.2</t>
  </si>
  <si>
    <t xml:space="preserve">AP    2            B 887 VOL .34 NO .2</t>
  </si>
  <si>
    <t xml:space="preserve">9/5/2006</t>
  </si>
  <si>
    <t xml:space="preserve">Classics and cinema / edited by Martin M. Winkler.</t>
  </si>
  <si>
    <t xml:space="preserve">Classics and cinema /</t>
  </si>
  <si>
    <t xml:space="preserve">0838751989 (alk. paper)</t>
  </si>
  <si>
    <t xml:space="preserve">(OCoLC)ocm22662428</t>
  </si>
  <si>
    <t xml:space="preserve">c1991.</t>
  </si>
  <si>
    <t xml:space="preserve">AP2 .B887VOL.35NO.1</t>
  </si>
  <si>
    <t xml:space="preserve">AP    2            B 887 VOL .35 NO .1</t>
  </si>
  <si>
    <t xml:space="preserve">4/1/2009</t>
  </si>
  <si>
    <t xml:space="preserve">Wordsworth in context / edited by Pauline Fletcher and John Murphy.</t>
  </si>
  <si>
    <t xml:space="preserve">Wordsworth in context /</t>
  </si>
  <si>
    <t xml:space="preserve">(OCoLC)ocm25894944</t>
  </si>
  <si>
    <t xml:space="preserve">AP2 .B887VOL.36NO.1</t>
  </si>
  <si>
    <t xml:space="preserve">AP    2            B 887 VOL .36 NO .1</t>
  </si>
  <si>
    <t xml:space="preserve">Turning the century : feminist theory in the 1990s / edited by Glynis Carr.</t>
  </si>
  <si>
    <t xml:space="preserve">Turning the century : feminist theory in the 1990s /</t>
  </si>
  <si>
    <t xml:space="preserve">(OCoLC)ocm25549151</t>
  </si>
  <si>
    <t xml:space="preserve">AP2 .B887VOL.36NO.2</t>
  </si>
  <si>
    <t xml:space="preserve">AP    2            B 887 VOL .36 NO .2</t>
  </si>
  <si>
    <t xml:space="preserve">Black/White writing : essays on South African literature / edited by Pauline Fletcher.</t>
  </si>
  <si>
    <t xml:space="preserve">Black/White writing : essays on South African literature /</t>
  </si>
  <si>
    <t xml:space="preserve">0838752624 (alk. paper)</t>
  </si>
  <si>
    <t xml:space="preserve">(OCoLC)ocm26502102</t>
  </si>
  <si>
    <t xml:space="preserve">AP2 .B887VOL.37NO.1</t>
  </si>
  <si>
    <t xml:space="preserve">AP    2            B 887 VOL .37 NO .1</t>
  </si>
  <si>
    <t xml:space="preserve">Worldviews and ecology / edited by Mary Evelyn Tucker and John A. Grim.</t>
  </si>
  <si>
    <t xml:space="preserve">Worldviews and ecology /</t>
  </si>
  <si>
    <t xml:space="preserve">(OCoLC)ocm29613457</t>
  </si>
  <si>
    <t xml:space="preserve">AP2 .B887VOL.37NO.2</t>
  </si>
  <si>
    <t xml:space="preserve">AP    2            B 887 VOL .37 NO .2</t>
  </si>
  <si>
    <t xml:space="preserve">3/13/2012</t>
  </si>
  <si>
    <t xml:space="preserve">Irishness and (post)modernism / edited by John S. Rickard.</t>
  </si>
  <si>
    <t xml:space="preserve">Irishness and (post)modernism /</t>
  </si>
  <si>
    <t xml:space="preserve">(OCoLC)ocm31003718</t>
  </si>
  <si>
    <t xml:space="preserve">Bucknell University Press ; Associated University Presses, c1994.</t>
  </si>
  <si>
    <t xml:space="preserve">AP2 .B887VOL.38NO.1</t>
  </si>
  <si>
    <t xml:space="preserve">AP    2            B 887 VOL .38 NO .1</t>
  </si>
  <si>
    <t xml:space="preserve">6/2/2004</t>
  </si>
  <si>
    <t xml:space="preserve">Anthropology and the German Enlightenment : perspectives on humanity / edited by Katherine M. Faull.</t>
  </si>
  <si>
    <t xml:space="preserve">Anthropology and the German Enlightenment : perspectives on humanity /</t>
  </si>
  <si>
    <t xml:space="preserve">(OCoLC)ocm32715933</t>
  </si>
  <si>
    <t xml:space="preserve">Bucknell University Press ; Associated University Presses, c1995.</t>
  </si>
  <si>
    <t xml:space="preserve">AP2 .B887VOL.38NO.2</t>
  </si>
  <si>
    <t xml:space="preserve">AP    2            B 887 VOL .38 NO .2</t>
  </si>
  <si>
    <t xml:space="preserve">1/19/2010</t>
  </si>
  <si>
    <t xml:space="preserve">Having our way : women rewriting tradition in twentieth-century America / edited by Harriet Pollack.</t>
  </si>
  <si>
    <t xml:space="preserve">Having our way : women rewriting tradition in twentieth-century America /</t>
  </si>
  <si>
    <t xml:space="preserve">(OCoLC)ocm33243618</t>
  </si>
  <si>
    <t xml:space="preserve">c1995.</t>
  </si>
  <si>
    <t xml:space="preserve">AP2 .B887VOL.39NO.1</t>
  </si>
  <si>
    <t xml:space="preserve">AP    2            B 887 VOL .39 NO .1</t>
  </si>
  <si>
    <t xml:space="preserve">Self-conscious art : a tribute to John W. Kronik / edited by Susan L. Fischer.</t>
  </si>
  <si>
    <t xml:space="preserve">Self-conscious art : a tribute to John W. Kronik /</t>
  </si>
  <si>
    <t xml:space="preserve">(OCoLC)ocm33949836</t>
  </si>
  <si>
    <t xml:space="preserve">c1996.</t>
  </si>
  <si>
    <t xml:space="preserve">AP2 .B887VOL.39NO.2</t>
  </si>
  <si>
    <t xml:space="preserve">AP    2            B 887 VOL .39 NO .2</t>
  </si>
  <si>
    <t xml:space="preserve">Ladies' wreath.</t>
  </si>
  <si>
    <t xml:space="preserve">(OCoLC)ocm01755452</t>
  </si>
  <si>
    <t xml:space="preserve">Martyn &amp; Ely,</t>
  </si>
  <si>
    <t xml:space="preserve">AP2 .L32</t>
  </si>
  <si>
    <t xml:space="preserve">AP    2            L 32</t>
  </si>
  <si>
    <t xml:space="preserve">1849/50</t>
  </si>
  <si>
    <t xml:space="preserve">Modern occasions.</t>
  </si>
  <si>
    <t xml:space="preserve">(OCoLC)ocm01758477</t>
  </si>
  <si>
    <t xml:space="preserve">1970-1972.</t>
  </si>
  <si>
    <t xml:space="preserve">Modern Occasions,</t>
  </si>
  <si>
    <t xml:space="preserve">AP2 .M655</t>
  </si>
  <si>
    <t xml:space="preserve">AP    2            M 655</t>
  </si>
  <si>
    <t xml:space="preserve">Noble savage.</t>
  </si>
  <si>
    <t xml:space="preserve">(OCoLC)ocm26603623</t>
  </si>
  <si>
    <t xml:space="preserve">1960-1962.</t>
  </si>
  <si>
    <t xml:space="preserve">Meridian,</t>
  </si>
  <si>
    <t xml:space="preserve">AP2 .N686</t>
  </si>
  <si>
    <t xml:space="preserve">AP    2            N 686</t>
  </si>
  <si>
    <t xml:space="preserve">Noonday : stories, articles, poetry.</t>
  </si>
  <si>
    <t xml:space="preserve">(OCoLC)ocm02230357</t>
  </si>
  <si>
    <t xml:space="preserve">Noonday Press,</t>
  </si>
  <si>
    <t xml:space="preserve">AP2 .N69</t>
  </si>
  <si>
    <t xml:space="preserve">AP    2            N 69</t>
  </si>
  <si>
    <t xml:space="preserve">no.1</t>
  </si>
  <si>
    <t xml:space="preserve">PIONEER.</t>
  </si>
  <si>
    <t xml:space="preserve">se 01011222</t>
  </si>
  <si>
    <t xml:space="preserve">AP2 .P592</t>
  </si>
  <si>
    <t xml:space="preserve">AP    2            P 592</t>
  </si>
  <si>
    <t xml:space="preserve">Index to Playboy : belles-lettres, articles and humor, December 1953 - December 1969 / by Mildred Lynn Miles.</t>
  </si>
  <si>
    <t xml:space="preserve">Playboy.</t>
  </si>
  <si>
    <t xml:space="preserve">Index to Playboy : belles-lettres, articles and humor, December 1953 - December 1969 /</t>
  </si>
  <si>
    <t xml:space="preserve">(OCoLC)ocm00186228</t>
  </si>
  <si>
    <t xml:space="preserve">AP2 .P694 1970</t>
  </si>
  <si>
    <t xml:space="preserve">AP    2            P 694   1970</t>
  </si>
  <si>
    <t xml:space="preserve">Playboy index.</t>
  </si>
  <si>
    <t xml:space="preserve">(OCoLC)ocm04969396</t>
  </si>
  <si>
    <t xml:space="preserve">1970-</t>
  </si>
  <si>
    <t xml:space="preserve">HMH Publishing Co.,</t>
  </si>
  <si>
    <t xml:space="preserve">AP2 .P695</t>
  </si>
  <si>
    <t xml:space="preserve">AP    2            P 695</t>
  </si>
  <si>
    <t xml:space="preserve">1982 (v.29)</t>
  </si>
  <si>
    <t xml:space="preserve">1981 (v.28)</t>
  </si>
  <si>
    <t xml:space="preserve">1980 (v.27)</t>
  </si>
  <si>
    <t xml:space="preserve">1979 (v.26)</t>
  </si>
  <si>
    <t xml:space="preserve">1974-78 (v.21-25)</t>
  </si>
  <si>
    <t xml:space="preserve">1969-73 (v.16-20)</t>
  </si>
  <si>
    <t xml:space="preserve">1953-68 (v.1-15)</t>
  </si>
  <si>
    <t xml:space="preserve">Possibilities.</t>
  </si>
  <si>
    <t xml:space="preserve">(OCoLC)ocm01640341</t>
  </si>
  <si>
    <t xml:space="preserve">1947-</t>
  </si>
  <si>
    <t xml:space="preserve">Wittenborn, Schultz,</t>
  </si>
  <si>
    <t xml:space="preserve">AP2 .P85258</t>
  </si>
  <si>
    <t xml:space="preserve">AP    2            P 85258</t>
  </si>
  <si>
    <t xml:space="preserve">Quarterly review of literature. Poetry series.</t>
  </si>
  <si>
    <t xml:space="preserve">Quarterly review of literature.</t>
  </si>
  <si>
    <t xml:space="preserve">(OCoLC)ocm05331601</t>
  </si>
  <si>
    <t xml:space="preserve">c1978-[c1982]</t>
  </si>
  <si>
    <t xml:space="preserve">The Review,</t>
  </si>
  <si>
    <t xml:space="preserve">AP2 .Q29</t>
  </si>
  <si>
    <t xml:space="preserve">AP    2            Q 29</t>
  </si>
  <si>
    <t xml:space="preserve">v.23(1982)</t>
  </si>
  <si>
    <t xml:space="preserve">v.22(1981)</t>
  </si>
  <si>
    <t xml:space="preserve">v.21:3-4(1980)</t>
  </si>
  <si>
    <t xml:space="preserve">v.21:1-2(1978)</t>
  </si>
  <si>
    <t xml:space="preserve">Quarterly review of literature : double poetry issue / edited by T. Weiss and ReneÂ¿Â¿e Weiss.</t>
  </si>
  <si>
    <t xml:space="preserve">Quarterly review of literature : double poetry issue /</t>
  </si>
  <si>
    <t xml:space="preserve">(OCoLC)ocm04359522</t>
  </si>
  <si>
    <t xml:space="preserve">Quarterly Review of Literature,</t>
  </si>
  <si>
    <t xml:space="preserve">AP2 .Q29 v. 18, no. 1-2</t>
  </si>
  <si>
    <t xml:space="preserve">AP    2            Q 29   V   18 ,   NO   1 2</t>
  </si>
  <si>
    <t xml:space="preserve">8/2/2005</t>
  </si>
  <si>
    <t xml:space="preserve">Poetry series.</t>
  </si>
  <si>
    <t xml:space="preserve">(OCoLC)ocm10869258</t>
  </si>
  <si>
    <t xml:space="preserve">c1983-</t>
  </si>
  <si>
    <t xml:space="preserve">AP2 .Q292</t>
  </si>
  <si>
    <t xml:space="preserve">AP    2            Q 292</t>
  </si>
  <si>
    <t xml:space="preserve">v.28-29(1989)</t>
  </si>
  <si>
    <t xml:space="preserve">v.27(1987)</t>
  </si>
  <si>
    <t xml:space="preserve">v.26(1986)</t>
  </si>
  <si>
    <t xml:space="preserve">v.25(1984)</t>
  </si>
  <si>
    <t xml:space="preserve">v.24(1983)</t>
  </si>
  <si>
    <t xml:space="preserve">(OCoLC)ocm24156718</t>
  </si>
  <si>
    <t xml:space="preserve">c1991-1995.</t>
  </si>
  <si>
    <t xml:space="preserve">AP2 .Q293</t>
  </si>
  <si>
    <t xml:space="preserve">AP    2            Q 293</t>
  </si>
  <si>
    <t xml:space="preserve">v.34(1995)</t>
  </si>
  <si>
    <t xml:space="preserve">v.32-33(1993)</t>
  </si>
  <si>
    <t xml:space="preserve">v.31(1992)</t>
  </si>
  <si>
    <t xml:space="preserve">v.30(1991)</t>
  </si>
  <si>
    <t xml:space="preserve">Quarterly review of literature. Poetry book series.</t>
  </si>
  <si>
    <t xml:space="preserve">(OCoLC)ocm34526005</t>
  </si>
  <si>
    <t xml:space="preserve">c1996-c2005.</t>
  </si>
  <si>
    <t xml:space="preserve">AP2 .Q294</t>
  </si>
  <si>
    <t xml:space="preserve">AP    2            Q 294</t>
  </si>
  <si>
    <t xml:space="preserve">v.36(1997)</t>
  </si>
  <si>
    <t xml:space="preserve">7/22/2005</t>
  </si>
  <si>
    <t xml:space="preserve">v.35(1996)</t>
  </si>
  <si>
    <t xml:space="preserve">v.39/40(2005)</t>
  </si>
  <si>
    <t xml:space="preserve">Atlantic journal and friend of knowledge. In eight numbers. Containing about 160 original articles and tracts on natural and historical sciences, the description of about 150 new plants, and 100 new animals or fossils. Many vocabularies of languages, hist</t>
  </si>
  <si>
    <t xml:space="preserve">Rafinesque, C. S. (Constantine Samuel), 1783-1840</t>
  </si>
  <si>
    <t xml:space="preserve">Atlantic journal and friend of knowledge. In eight numbers. Containing about 160 original articles and tracts on natural and historical sciences, the</t>
  </si>
  <si>
    <t xml:space="preserve">(OCoLC)ocm04630428</t>
  </si>
  <si>
    <t xml:space="preserve">1832-33. 1946]</t>
  </si>
  <si>
    <t xml:space="preserve">AP2 .R161946</t>
  </si>
  <si>
    <t xml:space="preserve">AP    2            R 161946</t>
  </si>
  <si>
    <t xml:space="preserve">Red clay reader.</t>
  </si>
  <si>
    <t xml:space="preserve">(OCoLC)ocm01763560</t>
  </si>
  <si>
    <t xml:space="preserve">Southern Review]</t>
  </si>
  <si>
    <t xml:space="preserve">AP2 .R2823</t>
  </si>
  <si>
    <t xml:space="preserve">AP    2            R 2823</t>
  </si>
  <si>
    <t xml:space="preserve">v.15:2</t>
  </si>
  <si>
    <t xml:space="preserve">v.14:1</t>
  </si>
  <si>
    <t xml:space="preserve">v.13:1</t>
  </si>
  <si>
    <t xml:space="preserve">v.12:2</t>
  </si>
  <si>
    <t xml:space="preserve">v.12:1</t>
  </si>
  <si>
    <t xml:space="preserve">v.10:4</t>
  </si>
  <si>
    <t xml:space="preserve">v.10:3</t>
  </si>
  <si>
    <t xml:space="preserve">v.10:2</t>
  </si>
  <si>
    <t xml:space="preserve">v.10:1</t>
  </si>
  <si>
    <t xml:space="preserve">v.8:4</t>
  </si>
  <si>
    <t xml:space="preserve">v.8:3</t>
  </si>
  <si>
    <t xml:space="preserve">v.8:2</t>
  </si>
  <si>
    <t xml:space="preserve">v.8:1</t>
  </si>
  <si>
    <t xml:space="preserve">Scribner's monthly, 1871. Introd. by Charles Scribner, Jr.</t>
  </si>
  <si>
    <t xml:space="preserve">Scribner's monthly, 1871.</t>
  </si>
  <si>
    <t xml:space="preserve">(OCoLC)ocm08003111</t>
  </si>
  <si>
    <t xml:space="preserve">[c1971]</t>
  </si>
  <si>
    <t xml:space="preserve">Scribner</t>
  </si>
  <si>
    <t xml:space="preserve">AP2 .S37</t>
  </si>
  <si>
    <t xml:space="preserve">AP    2            S 37</t>
  </si>
  <si>
    <t xml:space="preserve">Smart set anthology, edited by Burton Rascoe and Groff Conklin.</t>
  </si>
  <si>
    <t xml:space="preserve">Smart set anthology,</t>
  </si>
  <si>
    <t xml:space="preserve">(OCoLC)ocm00684972</t>
  </si>
  <si>
    <t xml:space="preserve">[c1934]</t>
  </si>
  <si>
    <t xml:space="preserve">Reynal &amp; Hitchcock</t>
  </si>
  <si>
    <t xml:space="preserve">AP2 .S613</t>
  </si>
  <si>
    <t xml:space="preserve">AP    2            S 613</t>
  </si>
  <si>
    <t xml:space="preserve">Muse in Mexico : a mid-century miscellany / edited by Thomas Mabry Cranfill ; George D. Schade, translations editor.</t>
  </si>
  <si>
    <t xml:space="preserve">Muse in Mexico : a mid-century miscellany /</t>
  </si>
  <si>
    <t xml:space="preserve">(OCoLC)ocm00761908</t>
  </si>
  <si>
    <t xml:space="preserve">University of Texas Press,</t>
  </si>
  <si>
    <t xml:space="preserve">AP2 .T269V.2NO.1</t>
  </si>
  <si>
    <t xml:space="preserve">AP    2            T 269 V .2 NO .1</t>
  </si>
  <si>
    <t xml:space="preserve">Thomas J. Wise: centenary studies. Edited by William B. Todd. Essays by John Carter, Graham Pollard [and] William B. Tood.</t>
  </si>
  <si>
    <t xml:space="preserve">University of Texas.</t>
  </si>
  <si>
    <t xml:space="preserve">Thomas J. Wise: centenary studies.</t>
  </si>
  <si>
    <t xml:space="preserve">(OCoLC)ocm18534565</t>
  </si>
  <si>
    <t xml:space="preserve">University of Texas Press</t>
  </si>
  <si>
    <t xml:space="preserve">AP2 .T269V.2NO.4</t>
  </si>
  <si>
    <t xml:space="preserve">AP    2            T 269 V .2 NO .4</t>
  </si>
  <si>
    <t xml:space="preserve">Twice a year.</t>
  </si>
  <si>
    <t xml:space="preserve">(OCoLC)ocm01624522</t>
  </si>
  <si>
    <t xml:space="preserve">1938-1948.</t>
  </si>
  <si>
    <t xml:space="preserve">Twice a Year,</t>
  </si>
  <si>
    <t xml:space="preserve">AP2 .T94</t>
  </si>
  <si>
    <t xml:space="preserve">AP    2            T 94</t>
  </si>
  <si>
    <t xml:space="preserve">no. 1 (1938)</t>
  </si>
  <si>
    <t xml:space="preserve">3/4/2005</t>
  </si>
  <si>
    <t xml:space="preserve">no. 10 (1938-48)</t>
  </si>
  <si>
    <t xml:space="preserve">Independent reflector : or, weekly essays on sundry important subjects, more particularly adapted to the province of New-York / by William Livingston and others ; edited by Milton M. Klein.</t>
  </si>
  <si>
    <t xml:space="preserve">Independent reflector : or, weekly essays on sundry important subjects, more particularly adapted to the province of New-York /</t>
  </si>
  <si>
    <t xml:space="preserve">(OCoLC)ocm10055123</t>
  </si>
  <si>
    <t xml:space="preserve">Belknap Press of Harvard University Press,</t>
  </si>
  <si>
    <t xml:space="preserve">AP2.A2 I41963</t>
  </si>
  <si>
    <t xml:space="preserve">AP    2            A 2   I 41963</t>
  </si>
  <si>
    <t xml:space="preserve">Dial, two author indexes : anonymous &amp; pseudonymous contributors; contributors in clipsheets / compiled by Nicholas Joost and Alvin Sullivan.</t>
  </si>
  <si>
    <t xml:space="preserve">Joost, Nicholas.</t>
  </si>
  <si>
    <t xml:space="preserve">Dial, two author indexes : anonymous &amp; pseudonymous contributors; contributors in clipsheets /</t>
  </si>
  <si>
    <t xml:space="preserve">(OCoLC)ocm00247513</t>
  </si>
  <si>
    <t xml:space="preserve">Libraries, Southern Illinois University,</t>
  </si>
  <si>
    <t xml:space="preserve">AP2.D48 J66</t>
  </si>
  <si>
    <t xml:space="preserve">AP    2            D 48   J 66</t>
  </si>
  <si>
    <t xml:space="preserve">House of certain death / Albert Cossery ; translated by Stuart B. Kaiser.</t>
  </si>
  <si>
    <t xml:space="preserve">Cossery, Albert, 1913-</t>
  </si>
  <si>
    <t xml:space="preserve">House of certain death /</t>
  </si>
  <si>
    <t xml:space="preserve">(OCoLC)ocm01265239</t>
  </si>
  <si>
    <t xml:space="preserve">c1949.</t>
  </si>
  <si>
    <t xml:space="preserve">New Directions,</t>
  </si>
  <si>
    <t xml:space="preserve">AP2.D583 NO.11</t>
  </si>
  <si>
    <t xml:space="preserve">AP    2            D 583   NO .11</t>
  </si>
  <si>
    <t xml:space="preserve">Cannibal.</t>
  </si>
  <si>
    <t xml:space="preserve">Hawkes, John, 1925-</t>
  </si>
  <si>
    <t xml:space="preserve">(OCoLC)ocm00293993</t>
  </si>
  <si>
    <t xml:space="preserve">1949]</t>
  </si>
  <si>
    <t xml:space="preserve">AP2.D583 NO.13</t>
  </si>
  <si>
    <t xml:space="preserve">AP    2            D 583   NO .13</t>
  </si>
  <si>
    <t xml:space="preserve">6/29/2006</t>
  </si>
  <si>
    <t xml:space="preserve">Dream of love; a play in three acts and eight scenes.</t>
  </si>
  <si>
    <t xml:space="preserve">Williams, William Carlos, 1883-1963.</t>
  </si>
  <si>
    <t xml:space="preserve">(OCoLC)ocm05691517</t>
  </si>
  <si>
    <t xml:space="preserve">1948]</t>
  </si>
  <si>
    <t xml:space="preserve">AP2.D583 NO.6</t>
  </si>
  <si>
    <t xml:space="preserve">AP    2            D 583   NO .6</t>
  </si>
  <si>
    <t xml:space="preserve">Celebration for Edith Sitwell, ed. by JoseÂ¿Â¿ GarciÂ¿Â¿a Villa.</t>
  </si>
  <si>
    <t xml:space="preserve">Celebration for Edith Sitwell,</t>
  </si>
  <si>
    <t xml:space="preserve">(OCoLC)ocm01906344</t>
  </si>
  <si>
    <t xml:space="preserve">AP2.D583 NO.7</t>
  </si>
  <si>
    <t xml:space="preserve">AP    2            D 583   NO .7</t>
  </si>
  <si>
    <t xml:space="preserve">Toward Stendhal : an essay / by Harry Levin ; to which is appended an open letter by George Mayberry to the publisher of The Modern Library.</t>
  </si>
  <si>
    <t xml:space="preserve">Levin, Harry, 1912-</t>
  </si>
  <si>
    <t xml:space="preserve">Toward Stendhal : an essay /</t>
  </si>
  <si>
    <t xml:space="preserve">(OCoLC)ocm02625544</t>
  </si>
  <si>
    <t xml:space="preserve">AP2.P533 NO.3</t>
  </si>
  <si>
    <t xml:space="preserve">AP    2            P 533   NO .3</t>
  </si>
  <si>
    <t xml:space="preserve">Smith poets: Gene Fowler, Sam Cornish, Irene Schram, Theodore Sloane, Charles Wyatt, Karen Swenson, Jonathan Morse.</t>
  </si>
  <si>
    <t xml:space="preserve">(OCoLC)ocm00354004</t>
  </si>
  <si>
    <t xml:space="preserve">The Smith; distributed by Horizon Press,</t>
  </si>
  <si>
    <t xml:space="preserve">AP2.S616 NO.12</t>
  </si>
  <si>
    <t xml:space="preserve">AP    2            S 616   NO .12</t>
  </si>
  <si>
    <t xml:space="preserve">LitteÂ¿Â¿rature des Etats-Unis.</t>
  </si>
  <si>
    <t xml:space="preserve">(OCoLC)ocm13513140</t>
  </si>
  <si>
    <t xml:space="preserve">Editeurs francÂ¿Â¿ais reÂ¿Â¿unis,</t>
  </si>
  <si>
    <t xml:space="preserve">AP20.E85 NO.358-359</t>
  </si>
  <si>
    <t xml:space="preserve">AP   20            E 85   NO .358 359</t>
  </si>
  <si>
    <t xml:space="preserve">Centenaire de Paul ValeÂ¿Â¿ry.</t>
  </si>
  <si>
    <t xml:space="preserve">(OCoLC)ocm12397042</t>
  </si>
  <si>
    <t xml:space="preserve">Europe,</t>
  </si>
  <si>
    <t xml:space="preserve">AP20.E85 NO.507</t>
  </si>
  <si>
    <t xml:space="preserve">AP   20            E 85   NO .507</t>
  </si>
  <si>
    <t xml:space="preserve">Schoolmate.</t>
  </si>
  <si>
    <t xml:space="preserve">(OCoLC)ocm07970534</t>
  </si>
  <si>
    <t xml:space="preserve">1852-</t>
  </si>
  <si>
    <t xml:space="preserve">George Savage,</t>
  </si>
  <si>
    <t xml:space="preserve">AP200 .S45</t>
  </si>
  <si>
    <t xml:space="preserve">AP  200            S 45</t>
  </si>
  <si>
    <t xml:space="preserve">v.2(1853)</t>
  </si>
  <si>
    <t xml:space="preserve">St. Nicholas.</t>
  </si>
  <si>
    <t xml:space="preserve">(OCoLC)ocm01764817</t>
  </si>
  <si>
    <t xml:space="preserve">-c1943.</t>
  </si>
  <si>
    <t xml:space="preserve">Scribner &amp; Co.,</t>
  </si>
  <si>
    <t xml:space="preserve">AP201 .S3</t>
  </si>
  <si>
    <t xml:space="preserve">AP  201            S 3</t>
  </si>
  <si>
    <t xml:space="preserve">Athenaeum. 1798-1800. Hrsg. von August Wilhelm Schlegel und Friedrich Schlegel.</t>
  </si>
  <si>
    <t xml:space="preserve">Athenaeum. 1798-1800.</t>
  </si>
  <si>
    <t xml:space="preserve">(OCoLC)ocm02795192</t>
  </si>
  <si>
    <t xml:space="preserve">Cotta,</t>
  </si>
  <si>
    <t xml:space="preserve">AP30 .A71960</t>
  </si>
  <si>
    <t xml:space="preserve">AP   30            A 71960</t>
  </si>
  <si>
    <t xml:space="preserve">PhoÂ¿Â¿bus; ein Journal fuÂ¿Â¿r die Kunst. Hrsg. von Heinrich von Kleist und Adam H. MuÂ¿Â¿ller. Nachwort und Kommentar von Helmut Sembdner.</t>
  </si>
  <si>
    <t xml:space="preserve">PhoÂ¿Â¿bus; ein Journal fuÂ¿Â¿r die Kunst.</t>
  </si>
  <si>
    <t xml:space="preserve">(OCoLC)ocm00869841</t>
  </si>
  <si>
    <t xml:space="preserve">J. G. Cotta,</t>
  </si>
  <si>
    <t xml:space="preserve">AP30 .P51961</t>
  </si>
  <si>
    <t xml:space="preserve">AP   30            P 51961</t>
  </si>
  <si>
    <t xml:space="preserve">AACHENFAHRT.</t>
  </si>
  <si>
    <t xml:space="preserve">Beissel, Stephan, 1841-1915.</t>
  </si>
  <si>
    <t xml:space="preserve">se 01011266</t>
  </si>
  <si>
    <t xml:space="preserve">AP30 .S7 Suppl. v. 21 no.82</t>
  </si>
  <si>
    <t xml:space="preserve">AP   30            S 7   SUPPL   V   21   NO .82</t>
  </si>
  <si>
    <t xml:space="preserve">Voltaire. Ein Beitrag zur entstehungsgeschichte des liberalismus, von W. Kreiten ...</t>
  </si>
  <si>
    <t xml:space="preserve">Kreiten, Wilhelm, 1846-1902</t>
  </si>
  <si>
    <t xml:space="preserve">Voltaire. Ein Beitrag zur entstehungsgeschichte des liberalismus,</t>
  </si>
  <si>
    <t xml:space="preserve">(OCoLC)ocm27268679</t>
  </si>
  <si>
    <t xml:space="preserve">St. Louis [etc.] Herder,</t>
  </si>
  <si>
    <t xml:space="preserve">AP30 .S7 Suppl. v.2 nos.7-8</t>
  </si>
  <si>
    <t xml:space="preserve">AP   30            S 7   SUPPL   V .2   NOS .7 8</t>
  </si>
  <si>
    <t xml:space="preserve">Theologische Zeitfragen.</t>
  </si>
  <si>
    <t xml:space="preserve">Pesch, Christian.</t>
  </si>
  <si>
    <t xml:space="preserve">(OCoLC)ocm13775659</t>
  </si>
  <si>
    <t xml:space="preserve">Herdu,</t>
  </si>
  <si>
    <t xml:space="preserve">AP30 .S7 Suppl. v.20 no.80</t>
  </si>
  <si>
    <t xml:space="preserve">AP   30            S 7   SUPPL   V .20   NO .80</t>
  </si>
  <si>
    <t xml:space="preserve">Entdeckungen der Normannen in Amerika. Unter besonderer BeruÂ¿Â¿cksichtigung der kartographischen Darstellungen. Von Jos. Fischer, S. J. Mit einem titelbild, zehn Kartenbeilagen und mehreren Skizzen.</t>
  </si>
  <si>
    <t xml:space="preserve">Fischer, Joseph, 1858-</t>
  </si>
  <si>
    <t xml:space="preserve">Entdeckungen der Normannen in Amerika. Unter besonderer BeruÂ¿Â¿cksichtigung der kartographischen Darstellungen.</t>
  </si>
  <si>
    <t xml:space="preserve">(OCoLC)ocm02458458</t>
  </si>
  <si>
    <t xml:space="preserve">AP30 .S7 Suppl. v.21 no.81</t>
  </si>
  <si>
    <t xml:space="preserve">AP   30            S 7   SUPPL   V .21   NO .81</t>
  </si>
  <si>
    <t xml:space="preserve">Johann Kepler : der Gesetzgeber der neueren Astronomie : ein Lebensbild / von Adolf MuÂ¿Â¿ller.</t>
  </si>
  <si>
    <t xml:space="preserve">MuÂ¿Â¿ller, Adolf, b. 1853.</t>
  </si>
  <si>
    <t xml:space="preserve">Johann Kepler : der Gesetzgeber der neueren Astronomie : ein Lebensbild /</t>
  </si>
  <si>
    <t xml:space="preserve">(OCoLC)ocm19374314</t>
  </si>
  <si>
    <t xml:space="preserve">AP30 .S7 Suppl. v.21 no.83</t>
  </si>
  <si>
    <t xml:space="preserve">AP   30            S 7   SUPPL   V .21   NO .83</t>
  </si>
  <si>
    <t xml:space="preserve">Baugeschichte der Kirche des heiligen Victor zu Xanten. Nach den Originalrechnungen und andern handschriftlichen Quellen dargestellt von Stephan Beissel.</t>
  </si>
  <si>
    <t xml:space="preserve">Baugeschichte der Kirche des heiligen Victor zu Xanten.</t>
  </si>
  <si>
    <t xml:space="preserve">(OCoLC)ocm09629222</t>
  </si>
  <si>
    <t xml:space="preserve">AP30 .S7 Suppl. v.6 no.23-24, v.7 no.27, 37</t>
  </si>
  <si>
    <t xml:space="preserve">AP   30            S 7   SUPPL   V .6   NO .23 24 ,   V .7   NO .27 ,   37</t>
  </si>
  <si>
    <t xml:space="preserve">4/14/2006</t>
  </si>
  <si>
    <t xml:space="preserve">Geldwerth und Arbeitslohn im Mittelalter. Eine culturgeschichtliche Studie im Anschluss an die Baurechnungen der Kirche des hl. Victor zu Xanten. Von Stephan Beissel.</t>
  </si>
  <si>
    <t xml:space="preserve">Geldwerth und Arbeitslohn im Mittelalter. Eine culturgeschichtliche Studie im Anschluss an die Baurechnungen der Kirche des hl. Victor zu Xanten.</t>
  </si>
  <si>
    <t xml:space="preserve">(OCoLC)ocm09629378</t>
  </si>
  <si>
    <t xml:space="preserve">Geschichte der Ausstattung der Kirche des heiligen Victor zu Xanten. Nach den Originalbaurechnungen und anderen handschriftlichen Quellen dargestellt von Stephan Beissel. Mit sechs Illustrationen.</t>
  </si>
  <si>
    <t xml:space="preserve">Geschichte der Ausstattung der Kirche des heiligen Victor zu Xanten.</t>
  </si>
  <si>
    <t xml:space="preserve">(OCoLC)ocm09629360</t>
  </si>
  <si>
    <t xml:space="preserve">AP30 .S7 Suppl. v.7 no.27</t>
  </si>
  <si>
    <t xml:space="preserve">AP   30            S 7   SUPPL   V .7   NO .27</t>
  </si>
  <si>
    <t xml:space="preserve">Germ: a Pre-Raphaelite little magazine. Edited, and with an introd., by Robert Stahr Hosmon.</t>
  </si>
  <si>
    <t xml:space="preserve">Germ: a Pre-Raphaelite little magazine.</t>
  </si>
  <si>
    <t xml:space="preserve">(OCoLC)ocm00124446</t>
  </si>
  <si>
    <t xml:space="preserve">[c1970]</t>
  </si>
  <si>
    <t xml:space="preserve">University of Miami Press</t>
  </si>
  <si>
    <t xml:space="preserve">AP4 .G413</t>
  </si>
  <si>
    <t xml:space="preserve">AP    4            G 413</t>
  </si>
  <si>
    <t xml:space="preserve">6/9/2003</t>
  </si>
  <si>
    <t xml:space="preserve">Germ; thoughts towards nature in poetry, literature and art; being a facsimile reprint of the literary organ of the Pre-Raphaelite brotherhood, published in 1850, with an introduction by William Michael Rossetti.</t>
  </si>
  <si>
    <t xml:space="preserve">Germ; thoughts towards nature in poetry, literature and art; being a facsimile reprint of the literary organ of the Pre-Raphaelite brotherhood, publis</t>
  </si>
  <si>
    <t xml:space="preserve">(OCoLC)ocm07511740</t>
  </si>
  <si>
    <t xml:space="preserve">E. Stock,</t>
  </si>
  <si>
    <t xml:space="preserve">AP4 .G415</t>
  </si>
  <si>
    <t xml:space="preserve">AP    4            G 415</t>
  </si>
  <si>
    <t xml:space="preserve">Germ: thoughts towards nature in poetry, literature, and art. With an introd. by William Michael Rossetti.</t>
  </si>
  <si>
    <t xml:space="preserve">Germ: thoughts towards nature in poetry, literature, and art.</t>
  </si>
  <si>
    <t xml:space="preserve">(OCoLC)ocm00376088</t>
  </si>
  <si>
    <t xml:space="preserve">AMS Press</t>
  </si>
  <si>
    <t xml:space="preserve">AP4 .G4151965</t>
  </si>
  <si>
    <t xml:space="preserve">AP    4            G 4151965</t>
  </si>
  <si>
    <t xml:space="preserve">Labourer; a monthly magazine of politics, literature, poetry, &amp;c. v. 1-4; 1847-48.</t>
  </si>
  <si>
    <t xml:space="preserve">Labourer; a monthly magazine of politics, literature, poetry, &amp;c.</t>
  </si>
  <si>
    <t xml:space="preserve">(OCoLC)ocm02898629</t>
  </si>
  <si>
    <t xml:space="preserve">Greenwood Reprint Corp.,</t>
  </si>
  <si>
    <t xml:space="preserve">AP4 .L122</t>
  </si>
  <si>
    <t xml:space="preserve">AP    4            L 122</t>
  </si>
  <si>
    <t xml:space="preserve">v.1-2</t>
  </si>
  <si>
    <t xml:space="preserve">6/9/2009</t>
  </si>
  <si>
    <t xml:space="preserve">v.3-4</t>
  </si>
  <si>
    <t xml:space="preserve">Savoy: nineties experiment. Edited with an introd. by Stanley Weintraub.</t>
  </si>
  <si>
    <t xml:space="preserve">Savoy: nineties experiment.</t>
  </si>
  <si>
    <t xml:space="preserve">(OCoLC)ocm00369413</t>
  </si>
  <si>
    <t xml:space="preserve">Pennsylvania State University Press,</t>
  </si>
  <si>
    <t xml:space="preserve">AP4.S37 W4</t>
  </si>
  <si>
    <t xml:space="preserve">AP    4            S 37   W 4</t>
  </si>
  <si>
    <t xml:space="preserve">[Novi svet].</t>
  </si>
  <si>
    <t xml:space="preserve">se 04037378</t>
  </si>
  <si>
    <t xml:space="preserve">DrzÂ¿Â¿avna zalozÂ¿Â¿ba Slovenije,</t>
  </si>
  <si>
    <t xml:space="preserve">AP58.S55 N6</t>
  </si>
  <si>
    <t xml:space="preserve">AP   58            S 55   N 6</t>
  </si>
  <si>
    <t xml:space="preserve">1950:2</t>
  </si>
  <si>
    <t xml:space="preserve">1950:1</t>
  </si>
  <si>
    <t xml:space="preserve">1949:2</t>
  </si>
  <si>
    <t xml:space="preserve">1949:1</t>
  </si>
  <si>
    <t xml:space="preserve">New Citizen.</t>
  </si>
  <si>
    <t xml:space="preserve">se 01011254</t>
  </si>
  <si>
    <t xml:space="preserve">1938-</t>
  </si>
  <si>
    <t xml:space="preserve">Better Citizenship Association,</t>
  </si>
  <si>
    <t xml:space="preserve">AP7 .N47</t>
  </si>
  <si>
    <t xml:space="preserve">AP    7            N 47</t>
  </si>
  <si>
    <t xml:space="preserve">v.7 (no. 3)(1945 Apr)</t>
  </si>
  <si>
    <t xml:space="preserve">Historical, archaeological, and kindred societies in the British Isles; a list, compiled by Sara E. Harcup.</t>
  </si>
  <si>
    <t xml:space="preserve">Harcup, Sara E.</t>
  </si>
  <si>
    <t xml:space="preserve">Historical, archaeological, and kindred societies in the British Isles; a list,</t>
  </si>
  <si>
    <t xml:space="preserve">(OCoLC)ocm00450479</t>
  </si>
  <si>
    <t xml:space="preserve">University of London, Institute of Historical Research,</t>
  </si>
  <si>
    <t xml:space="preserve">AS118 .H34</t>
  </si>
  <si>
    <t xml:space="preserve">AS  118            H 34</t>
  </si>
  <si>
    <t xml:space="preserve">Hermathena.</t>
  </si>
  <si>
    <t xml:space="preserve">(OCoLC)ocm01752025</t>
  </si>
  <si>
    <t xml:space="preserve">1873-</t>
  </si>
  <si>
    <t xml:space="preserve">University of Dublin [etc.]</t>
  </si>
  <si>
    <t xml:space="preserve">AS121 .H5</t>
  </si>
  <si>
    <t xml:space="preserve">AS  121            H 5</t>
  </si>
  <si>
    <t xml:space="preserve">67-70(1946-1947)</t>
  </si>
  <si>
    <t xml:space="preserve">Renaissance and modern studies.</t>
  </si>
  <si>
    <t xml:space="preserve">(OCoLC)ocm01763684</t>
  </si>
  <si>
    <t xml:space="preserve">University of Nottingham.</t>
  </si>
  <si>
    <t xml:space="preserve">AS121 .R4</t>
  </si>
  <si>
    <t xml:space="preserve">AS  121            R 4</t>
  </si>
  <si>
    <t xml:space="preserve">1958 (v.2)</t>
  </si>
  <si>
    <t xml:space="preserve">1959 (v.3)</t>
  </si>
  <si>
    <t xml:space="preserve">1960 (v.4)</t>
  </si>
  <si>
    <t xml:space="preserve">1961 (v.5)</t>
  </si>
  <si>
    <t xml:space="preserve">1962 (v.6)</t>
  </si>
  <si>
    <t xml:space="preserve">1963 (v.7)</t>
  </si>
  <si>
    <t xml:space="preserve">1964 (v.8)</t>
  </si>
  <si>
    <t xml:space="preserve">1965 (v.9)</t>
  </si>
  <si>
    <t xml:space="preserve">1966 (v.10)</t>
  </si>
  <si>
    <t xml:space="preserve">1967 (v.11)</t>
  </si>
  <si>
    <t xml:space="preserve">1968 (v.12)</t>
  </si>
  <si>
    <t xml:space="preserve">1969 (v.13)</t>
  </si>
  <si>
    <t xml:space="preserve">1970 (v.14)</t>
  </si>
  <si>
    <t xml:space="preserve">1971 (v.15)</t>
  </si>
  <si>
    <t xml:space="preserve">1972 (v.16)</t>
  </si>
  <si>
    <t xml:space="preserve">1973 (v.17)</t>
  </si>
  <si>
    <t xml:space="preserve">1974 (v.18)</t>
  </si>
  <si>
    <t xml:space="preserve">1975 (v.19)</t>
  </si>
  <si>
    <t xml:space="preserve">1976 (v.20)</t>
  </si>
  <si>
    <t xml:space="preserve">1977 (v.21)</t>
  </si>
  <si>
    <t xml:space="preserve">1978 (v.22)</t>
  </si>
  <si>
    <t xml:space="preserve">1979 (v.23)</t>
  </si>
  <si>
    <t xml:space="preserve">1980 (v.24)</t>
  </si>
  <si>
    <t xml:space="preserve">COMMON SCIENTIST IN THE SEVENTEENTH CENTURY</t>
  </si>
  <si>
    <t xml:space="preserve">Hoppen, K. Theodore, 1941-</t>
  </si>
  <si>
    <t xml:space="preserve">se 00001568</t>
  </si>
  <si>
    <t xml:space="preserve">AS122 .D721970B</t>
  </si>
  <si>
    <t xml:space="preserve">AS  122            D 721970 B</t>
  </si>
  <si>
    <t xml:space="preserve">MATHEMATICAL PAPERS OF SIR WILLIAM ROWAN HAMILTON</t>
  </si>
  <si>
    <t xml:space="preserve">HAMILTON, WILLIAM ROWAN, 1805-1865.</t>
  </si>
  <si>
    <t xml:space="preserve">se 00001569</t>
  </si>
  <si>
    <t xml:space="preserve">AS122 .D817</t>
  </si>
  <si>
    <t xml:space="preserve">AS  122            D 817</t>
  </si>
  <si>
    <t xml:space="preserve">Studies in early Irish history.</t>
  </si>
  <si>
    <t xml:space="preserve">Rhys, John, Sir, 1840-1915.</t>
  </si>
  <si>
    <t xml:space="preserve">(OCoLC)ocm13490823</t>
  </si>
  <si>
    <t xml:space="preserve">[1903]</t>
  </si>
  <si>
    <t xml:space="preserve">Oxford Univ. Press</t>
  </si>
  <si>
    <t xml:space="preserve">AS122 .L51903</t>
  </si>
  <si>
    <t xml:space="preserve">AS  122            L 51903</t>
  </si>
  <si>
    <t xml:space="preserve">10/14/2005</t>
  </si>
  <si>
    <t xml:space="preserve">Celtae and Galli, by John Rhys ...</t>
  </si>
  <si>
    <t xml:space="preserve">Celtae and Galli,</t>
  </si>
  <si>
    <t xml:space="preserve">(OCoLC)ocm10820353</t>
  </si>
  <si>
    <t xml:space="preserve">[1905]</t>
  </si>
  <si>
    <t xml:space="preserve">Pub. for the British Academy by H. Frowde</t>
  </si>
  <si>
    <t xml:space="preserve">AS122 .L51905B</t>
  </si>
  <si>
    <t xml:space="preserve">AS  122            L 51905 B</t>
  </si>
  <si>
    <t xml:space="preserve">Milton's fame on the continent.</t>
  </si>
  <si>
    <t xml:space="preserve">Robertson, John George, 1867-</t>
  </si>
  <si>
    <t xml:space="preserve">(OCoLC)ocm17593436</t>
  </si>
  <si>
    <t xml:space="preserve">1908]</t>
  </si>
  <si>
    <t xml:space="preserve">AS122 .L51908</t>
  </si>
  <si>
    <t xml:space="preserve">AS  122            L 51908</t>
  </si>
  <si>
    <t xml:space="preserve">Milton as schoolboy and schoolmaster.</t>
  </si>
  <si>
    <t xml:space="preserve">Leach, Arthur Francis, 1851-1915.</t>
  </si>
  <si>
    <t xml:space="preserve">(OCoLC)ocm00359505</t>
  </si>
  <si>
    <t xml:space="preserve">[1912?]</t>
  </si>
  <si>
    <t xml:space="preserve">Oxford University Press</t>
  </si>
  <si>
    <t xml:space="preserve">AS122 .L51908A</t>
  </si>
  <si>
    <t xml:space="preserve">AS  122            L 51908 A</t>
  </si>
  <si>
    <t xml:space="preserve">On the history of the ballads, 1100-1500, by W. P. Ker. [Read December 15, 1909.</t>
  </si>
  <si>
    <t xml:space="preserve">Ker, W. P. (William Paton), 1855-1923.</t>
  </si>
  <si>
    <t xml:space="preserve">On the history of the ballads, 1100-1500,</t>
  </si>
  <si>
    <t xml:space="preserve">(OCoLC)ocm02237266</t>
  </si>
  <si>
    <t xml:space="preserve">[1910]</t>
  </si>
  <si>
    <t xml:space="preserve">Henry Frowde</t>
  </si>
  <si>
    <t xml:space="preserve">AS122 .L51909</t>
  </si>
  <si>
    <t xml:space="preserve">AS  122            L 51909</t>
  </si>
  <si>
    <t xml:space="preserve">Prolegomena to the study of the later Irish bards, 1200-1500, by E. C. Quiggin.</t>
  </si>
  <si>
    <t xml:space="preserve">Quiggin, Edmund Crosby, 1875-1920</t>
  </si>
  <si>
    <t xml:space="preserve">Prolegomena to the study of the later Irish bards, 1200-1500,</t>
  </si>
  <si>
    <t xml:space="preserve">(OCoLC)ocm12114045</t>
  </si>
  <si>
    <t xml:space="preserve">AS122 .L51911</t>
  </si>
  <si>
    <t xml:space="preserve">AS  122            L 51911</t>
  </si>
  <si>
    <t xml:space="preserve">HISTORICAL CHARACTER OF ENGLISH LYRIC</t>
  </si>
  <si>
    <t xml:space="preserve">Saintsbury, George, 1845-1933.</t>
  </si>
  <si>
    <t xml:space="preserve">se 00001578</t>
  </si>
  <si>
    <t xml:space="preserve">AS122 .L51912</t>
  </si>
  <si>
    <t xml:space="preserve">AS  122            L 51912</t>
  </si>
  <si>
    <t xml:space="preserve">Influence of English poetry upon the romantic revival on the continent / Charles Edwyn Vaughan.</t>
  </si>
  <si>
    <t xml:space="preserve">Vaughan, Charles Edwyn, 1854-1922.</t>
  </si>
  <si>
    <t xml:space="preserve">Influence of English poetry upon the romantic revival on the continent /</t>
  </si>
  <si>
    <t xml:space="preserve">(OCoLC)ocm10646426</t>
  </si>
  <si>
    <t xml:space="preserve">[1913?]</t>
  </si>
  <si>
    <t xml:space="preserve">Printed for the British Academy by H. Milford,</t>
  </si>
  <si>
    <t xml:space="preserve">AS122 .L51913</t>
  </si>
  <si>
    <t xml:space="preserve">AS  122            L 51913</t>
  </si>
  <si>
    <t xml:space="preserve">Basis of realism, by S. Alexander ...</t>
  </si>
  <si>
    <t xml:space="preserve">Alexander, Samuel, 1859-1938.</t>
  </si>
  <si>
    <t xml:space="preserve">Basis of realism,</t>
  </si>
  <si>
    <t xml:space="preserve">(OCoLC)ocm09554985</t>
  </si>
  <si>
    <t xml:space="preserve">1914]</t>
  </si>
  <si>
    <t xml:space="preserve">Oxford University Press,</t>
  </si>
  <si>
    <t xml:space="preserve">AS122 .L51914</t>
  </si>
  <si>
    <t xml:space="preserve">AS  122            L 51914</t>
  </si>
  <si>
    <t xml:space="preserve">Gleanings in the Italian field of Celtic epigraphy.</t>
  </si>
  <si>
    <t xml:space="preserve">(OCoLC)ocm27195126</t>
  </si>
  <si>
    <t xml:space="preserve">AS122 .L51914A</t>
  </si>
  <si>
    <t xml:space="preserve">AS  122            L 51914 A</t>
  </si>
  <si>
    <t xml:space="preserve">TIME AND HISTORY IN CONTEMPORARY PHILOSOPHY</t>
  </si>
  <si>
    <t xml:space="preserve">Carr, Herbert Wildon, 1857-1931.</t>
  </si>
  <si>
    <t xml:space="preserve">se 00001583</t>
  </si>
  <si>
    <t xml:space="preserve">AS122 .L51918</t>
  </si>
  <si>
    <t xml:space="preserve">AS  122            L 51918</t>
  </si>
  <si>
    <t xml:space="preserve">Philosophical opinion in America / by George Santayana.</t>
  </si>
  <si>
    <t xml:space="preserve">Santayana, George, 1863-1952.</t>
  </si>
  <si>
    <t xml:space="preserve">Philosophical opinion in America /</t>
  </si>
  <si>
    <t xml:space="preserve">(OCoLC)ocm06801770</t>
  </si>
  <si>
    <t xml:space="preserve">1918?]</t>
  </si>
  <si>
    <t xml:space="preserve">The British Academy,</t>
  </si>
  <si>
    <t xml:space="preserve">AS122 .L51918A</t>
  </si>
  <si>
    <t xml:space="preserve">AS  122            L 51918 A</t>
  </si>
  <si>
    <t xml:space="preserve">Greek civilization as a study for the people, by Professor W. Rhys Roberts ...</t>
  </si>
  <si>
    <t xml:space="preserve">Roberts, W. Rhys (William Rhys), 1858-1929.</t>
  </si>
  <si>
    <t xml:space="preserve">Greek civilization as a study for the people,</t>
  </si>
  <si>
    <t xml:space="preserve">(OCoLC)ocm12119917</t>
  </si>
  <si>
    <t xml:space="preserve">AS122 .L51919</t>
  </si>
  <si>
    <t xml:space="preserve">AS  122            L 51919</t>
  </si>
  <si>
    <t xml:space="preserve">Croce's Aesthetic.</t>
  </si>
  <si>
    <t xml:space="preserve">Bosanquet, Bernard, 1848-1923.</t>
  </si>
  <si>
    <t xml:space="preserve">(OCoLC)ocm00186966</t>
  </si>
  <si>
    <t xml:space="preserve">1920?]</t>
  </si>
  <si>
    <t xml:space="preserve">AS122 .L51919A</t>
  </si>
  <si>
    <t xml:space="preserve">AS  122            L 51919 A</t>
  </si>
  <si>
    <t xml:space="preserve">2/18/2004</t>
  </si>
  <si>
    <t xml:space="preserve">Disintegration of Shakespeare, by E.K. Chambers ...</t>
  </si>
  <si>
    <t xml:space="preserve">Chambers, E. K. (Edmund Kerchever), 1866-1954.</t>
  </si>
  <si>
    <t xml:space="preserve">Disintegration of Shakespeare,</t>
  </si>
  <si>
    <t xml:space="preserve">(OCoLC)ocm04695957</t>
  </si>
  <si>
    <t xml:space="preserve">[1924]</t>
  </si>
  <si>
    <t xml:space="preserve">Pub. for the British Academy by H. Milford, Oxford University Press</t>
  </si>
  <si>
    <t xml:space="preserve">AS122 .L51924</t>
  </si>
  <si>
    <t xml:space="preserve">AS  122            L 51924</t>
  </si>
  <si>
    <t xml:space="preserve">ERAMUS' SERVICES TO LEARNING</t>
  </si>
  <si>
    <t xml:space="preserve">Allen, P. S. (Percy Stafford), 1869-1933.</t>
  </si>
  <si>
    <t xml:space="preserve">se 00001588</t>
  </si>
  <si>
    <t xml:space="preserve">AS122 .L51925</t>
  </si>
  <si>
    <t xml:space="preserve">AS  122            L 51925</t>
  </si>
  <si>
    <t xml:space="preserve">Saga and the myth of Sir Thomas More.</t>
  </si>
  <si>
    <t xml:space="preserve">Chambers, R. W. (Raymond Wilson), 1874-1942.</t>
  </si>
  <si>
    <t xml:space="preserve">(OCoLC)ocm00356683</t>
  </si>
  <si>
    <t xml:space="preserve">[1928]</t>
  </si>
  <si>
    <t xml:space="preserve">Pub. for the British academy by H. Milford, Oxford university press</t>
  </si>
  <si>
    <t xml:space="preserve">AS122 .L51926</t>
  </si>
  <si>
    <t xml:space="preserve">AS  122            L 51926</t>
  </si>
  <si>
    <t xml:space="preserve">Chaucer and the rhetoricians / by J. M. Manly.</t>
  </si>
  <si>
    <t xml:space="preserve">Manly, John Matthews, 1865-1940.</t>
  </si>
  <si>
    <t xml:space="preserve">Chaucer and the rhetoricians /</t>
  </si>
  <si>
    <t xml:space="preserve">(OCoLC)ocm04377561</t>
  </si>
  <si>
    <t xml:space="preserve">197-?]</t>
  </si>
  <si>
    <t xml:space="preserve">s.n.,</t>
  </si>
  <si>
    <t xml:space="preserve">AS122 .L51926A</t>
  </si>
  <si>
    <t xml:space="preserve">AS  122            L 51926 A</t>
  </si>
  <si>
    <t xml:space="preserve">Bacchic element in Shakespeare's plays, by EÂ¿Â¿mile Legouis.</t>
  </si>
  <si>
    <t xml:space="preserve">Legouis, Emile, 1861-1937.</t>
  </si>
  <si>
    <t xml:space="preserve">Bacchic element in Shakespeare's plays,</t>
  </si>
  <si>
    <t xml:space="preserve">(OCoLC)ocm06215984</t>
  </si>
  <si>
    <t xml:space="preserve">[1926]</t>
  </si>
  <si>
    <t xml:space="preserve">Pub. for the British Academy by H. Milford, Oxford university press</t>
  </si>
  <si>
    <t xml:space="preserve">AS122 .L51926B</t>
  </si>
  <si>
    <t xml:space="preserve">AS  122            L 51926 B</t>
  </si>
  <si>
    <t xml:space="preserve">English ornament in the seventh and eighth centuries / by C.R. Peers.</t>
  </si>
  <si>
    <t xml:space="preserve">Peers, Charles Reed, Sir, 1868-1952.</t>
  </si>
  <si>
    <t xml:space="preserve">English ornament in the seventh and eighth centuries /</t>
  </si>
  <si>
    <t xml:space="preserve">(OCoLC)ocm13539880</t>
  </si>
  <si>
    <t xml:space="preserve">Oxford Univ. Press,</t>
  </si>
  <si>
    <t xml:space="preserve">AS122 .L51928</t>
  </si>
  <si>
    <t xml:space="preserve">AS  122            L 51928</t>
  </si>
  <si>
    <t xml:space="preserve">Principles of emendation in Shakespeare, by W.W. Greg.</t>
  </si>
  <si>
    <t xml:space="preserve">Greg, W. W. (Walter Wilson), 1875-1959.</t>
  </si>
  <si>
    <t xml:space="preserve">Principles of emendation in Shakespeare,</t>
  </si>
  <si>
    <t xml:space="preserve">(OCoLC)ocm00274186</t>
  </si>
  <si>
    <t xml:space="preserve">H. Milford</t>
  </si>
  <si>
    <t xml:space="preserve">AS122 .L51928A</t>
  </si>
  <si>
    <t xml:space="preserve">AS  122            L 51928 A</t>
  </si>
  <si>
    <t xml:space="preserve">Virgil in English poetry, by George Gordon ...</t>
  </si>
  <si>
    <t xml:space="preserve">Gordon, George Stuart, 1881-1942.</t>
  </si>
  <si>
    <t xml:space="preserve">Virgil in English poetry,</t>
  </si>
  <si>
    <t xml:space="preserve">(OCoLC)ocm01595351</t>
  </si>
  <si>
    <t xml:space="preserve">[1931?]</t>
  </si>
  <si>
    <t xml:space="preserve">AS122 .L51930A</t>
  </si>
  <si>
    <t xml:space="preserve">AS  122            L 51930 A</t>
  </si>
  <si>
    <t xml:space="preserve">Milton in the eighteenth century (1701-1750) by Edward Dowden.</t>
  </si>
  <si>
    <t xml:space="preserve">Dowden, Edward, 1843-1913.</t>
  </si>
  <si>
    <t xml:space="preserve">Milton in the eighteenth century (1701-1750)</t>
  </si>
  <si>
    <t xml:space="preserve">(OCoLC)ocm00896760</t>
  </si>
  <si>
    <t xml:space="preserve">British Academy,</t>
  </si>
  <si>
    <t xml:space="preserve">AS122 .L51930C</t>
  </si>
  <si>
    <t xml:space="preserve">AS  122            L 51930 C</t>
  </si>
  <si>
    <t xml:space="preserve">Leopardi and Wordsworth, by Geoffrey L. Bickersteth ...</t>
  </si>
  <si>
    <t xml:space="preserve">Bickersteth, Geoffrey Langdale, 1884-</t>
  </si>
  <si>
    <t xml:space="preserve">Leopardi and Wordsworth,</t>
  </si>
  <si>
    <t xml:space="preserve">(OCoLC)ocm00337605</t>
  </si>
  <si>
    <t xml:space="preserve">[1927]</t>
  </si>
  <si>
    <t xml:space="preserve">For the British Academy, Oxford University Press, H. Milford</t>
  </si>
  <si>
    <t xml:space="preserve">AS122 .L51930D</t>
  </si>
  <si>
    <t xml:space="preserve">AS  122            L 51930 D</t>
  </si>
  <si>
    <t xml:space="preserve">THEOLOGY OF SHELLY.</t>
  </si>
  <si>
    <t xml:space="preserve">Hughes, A. M. D. (Arthur Montague D'Urban), 1873-</t>
  </si>
  <si>
    <t xml:space="preserve">se 00001599</t>
  </si>
  <si>
    <t xml:space="preserve">AS122 .L51930E</t>
  </si>
  <si>
    <t xml:space="preserve">AS  122            L 51930 E</t>
  </si>
  <si>
    <t xml:space="preserve">Art of Geoffrey Chaucer, by John Livingston Lowes ...</t>
  </si>
  <si>
    <t xml:space="preserve">Lowes, John Livingston, 1867-1945.</t>
  </si>
  <si>
    <t xml:space="preserve">Art of Geoffrey Chaucer,</t>
  </si>
  <si>
    <t xml:space="preserve">(OCoLC)ocm02982395</t>
  </si>
  <si>
    <t xml:space="preserve">AS122 .L51930F</t>
  </si>
  <si>
    <t xml:space="preserve">AS  122            L 51930 F</t>
  </si>
  <si>
    <t xml:space="preserve">Matthew Arnold, by Sir Edmund Chambers.</t>
  </si>
  <si>
    <t xml:space="preserve">Matthew Arnold,</t>
  </si>
  <si>
    <t xml:space="preserve">(OCoLC)ocm04695995</t>
  </si>
  <si>
    <t xml:space="preserve">[1932]</t>
  </si>
  <si>
    <t xml:space="preserve">AS122 .L51932</t>
  </si>
  <si>
    <t xml:space="preserve">AS  122            L 51932</t>
  </si>
  <si>
    <t xml:space="preserve">'notule' of Grosseteste on the 'Nicomachean ethics'.</t>
  </si>
  <si>
    <t xml:space="preserve">Thomson, Samuel Harrison, 1895-1975.</t>
  </si>
  <si>
    <t xml:space="preserve">(OCoLC)ocm02393963</t>
  </si>
  <si>
    <t xml:space="preserve">AS122 .L51933</t>
  </si>
  <si>
    <t xml:space="preserve">AS  122            L 51933</t>
  </si>
  <si>
    <t xml:space="preserve">TREATMENT OF SHAKESPEARE'S TEXT BY HIS EARLIER EDITORS, 1709-1768.</t>
  </si>
  <si>
    <t xml:space="preserve">MCKERROW, RONALD BRUNLESS, 1872-1940.</t>
  </si>
  <si>
    <t xml:space="preserve">se 00001603</t>
  </si>
  <si>
    <t xml:space="preserve">AS122 .L51933A</t>
  </si>
  <si>
    <t xml:space="preserve">AS  122            L 51933 A</t>
  </si>
  <si>
    <t xml:space="preserve">Edward Gibbon, by Christopher Dawson ...</t>
  </si>
  <si>
    <t xml:space="preserve">Dawson, Christopher, 1889-1970.</t>
  </si>
  <si>
    <t xml:space="preserve">Edward Gibbon,</t>
  </si>
  <si>
    <t xml:space="preserve">(OCoLC)ocm12345875</t>
  </si>
  <si>
    <t xml:space="preserve">AS122 .L51936</t>
  </si>
  <si>
    <t xml:space="preserve">AS  122            L 51936</t>
  </si>
  <si>
    <t xml:space="preserve">7/6/2007</t>
  </si>
  <si>
    <t xml:space="preserve">English epic tradition, by E.M.W. Tillyard ...</t>
  </si>
  <si>
    <t xml:space="preserve">Tillyard, E. M. W. (Eustace Mandeville Wetenhall), 1889-1962.</t>
  </si>
  <si>
    <t xml:space="preserve">English epic tradition,</t>
  </si>
  <si>
    <t xml:space="preserve">(OCoLC)ocm00378103</t>
  </si>
  <si>
    <t xml:space="preserve">[1936]</t>
  </si>
  <si>
    <t xml:space="preserve">AS122 .L51936A</t>
  </si>
  <si>
    <t xml:space="preserve">AS  122            L 51936 A</t>
  </si>
  <si>
    <t xml:space="preserve">STYLE IN SHAKESPEARE</t>
  </si>
  <si>
    <t xml:space="preserve">Elton, Oliver, 1861-1945.</t>
  </si>
  <si>
    <t xml:space="preserve">se 00001606</t>
  </si>
  <si>
    <t xml:space="preserve">AS122 .L51937</t>
  </si>
  <si>
    <t xml:space="preserve">AS  122            L 51937</t>
  </si>
  <si>
    <t xml:space="preserve">Alfred Chilton Pearson, 1861-1935.</t>
  </si>
  <si>
    <t xml:space="preserve">Richards, G. C. (George Chatterton), 1867-1951.</t>
  </si>
  <si>
    <t xml:space="preserve">(OCoLC)ocm28190838</t>
  </si>
  <si>
    <t xml:space="preserve">AS122 .L51937A</t>
  </si>
  <si>
    <t xml:space="preserve">AS  122            L 51937 A</t>
  </si>
  <si>
    <t xml:space="preserve">Saint Thomas Aquinas, by EÂ¿Â¿tienne Gilson ...</t>
  </si>
  <si>
    <t xml:space="preserve">Gilson, Etienne, 1884-1978.</t>
  </si>
  <si>
    <t xml:space="preserve">Saint Thomas Aquinas,</t>
  </si>
  <si>
    <t xml:space="preserve">(OCoLC)ocm12345971</t>
  </si>
  <si>
    <t xml:space="preserve">AS122 .L51937B</t>
  </si>
  <si>
    <t xml:space="preserve">AS  122            L 51937 B</t>
  </si>
  <si>
    <t xml:space="preserve">PRESIDENTIAL ADDRESS, JULY 1937</t>
  </si>
  <si>
    <t xml:space="preserve">Ross, W. D. (William David), 1877-</t>
  </si>
  <si>
    <t xml:space="preserve">se 00001610</t>
  </si>
  <si>
    <t xml:space="preserve">AS122 .L51937D</t>
  </si>
  <si>
    <t xml:space="preserve">AS  122            L 51937 D</t>
  </si>
  <si>
    <t xml:space="preserve">Hobbes, by G. P. Gooch.</t>
  </si>
  <si>
    <t xml:space="preserve">Gooch, G. P. (George Peabody), 1873-1968.</t>
  </si>
  <si>
    <t xml:space="preserve">Hobbes,</t>
  </si>
  <si>
    <t xml:space="preserve">(OCoLC)ocm03463036</t>
  </si>
  <si>
    <t xml:space="preserve">[1940]</t>
  </si>
  <si>
    <t xml:space="preserve">AS122 .L51940</t>
  </si>
  <si>
    <t xml:space="preserve">AS  122            L 51940</t>
  </si>
  <si>
    <t xml:space="preserve">Age of Tennyson, by G. M. Young.</t>
  </si>
  <si>
    <t xml:space="preserve">Young, G. M. (George Malcolm), 1882-1959.</t>
  </si>
  <si>
    <t xml:space="preserve">Age of Tennyson,</t>
  </si>
  <si>
    <t xml:space="preserve">(OCoLC)ocm00776282</t>
  </si>
  <si>
    <t xml:space="preserve">n.d.]</t>
  </si>
  <si>
    <t xml:space="preserve">AS122 .L51940A</t>
  </si>
  <si>
    <t xml:space="preserve">AS  122            L 51940 A</t>
  </si>
  <si>
    <t xml:space="preserve">Wordsworth and the seventeenth century, by J. Crofts ...</t>
  </si>
  <si>
    <t xml:space="preserve">Crofts, J. (John), 1887-</t>
  </si>
  <si>
    <t xml:space="preserve">Wordsworth and the seventeenth century,</t>
  </si>
  <si>
    <t xml:space="preserve">(OCoLC)ocm12365284</t>
  </si>
  <si>
    <t xml:space="preserve">AS122 .L51940B</t>
  </si>
  <si>
    <t xml:space="preserve">AS  122            L 51940 B</t>
  </si>
  <si>
    <t xml:space="preserve">Reason and intuition.</t>
  </si>
  <si>
    <t xml:space="preserve">Ewing, A. C. (Alfred Cyril), 1899-</t>
  </si>
  <si>
    <t xml:space="preserve">(OCoLC)ocm01546121</t>
  </si>
  <si>
    <t xml:space="preserve">1944]</t>
  </si>
  <si>
    <t xml:space="preserve">AS122 .L51941</t>
  </si>
  <si>
    <t xml:space="preserve">AS  122            L 51941</t>
  </si>
  <si>
    <t xml:space="preserve">Berkeley's argument about material substance, by C.D. Broad.</t>
  </si>
  <si>
    <t xml:space="preserve">Broad, C. D. (Charlie Dunbar), 1887-1971.</t>
  </si>
  <si>
    <t xml:space="preserve">Berkeley's argument about material substance,</t>
  </si>
  <si>
    <t xml:space="preserve">(OCoLC)ocm05183587</t>
  </si>
  <si>
    <t xml:space="preserve">AS122 .L51942</t>
  </si>
  <si>
    <t xml:space="preserve">AS  122            L 51942</t>
  </si>
  <si>
    <t xml:space="preserve">Hamlet: the prince or the poem? / by C.S. Lewis.</t>
  </si>
  <si>
    <t xml:space="preserve">Lewis, C. S. (Clive Staples), 1898-1963.</t>
  </si>
  <si>
    <t xml:space="preserve">Hamlet: the prince or the poem? /</t>
  </si>
  <si>
    <t xml:space="preserve">(OCoLC)ocm00352315</t>
  </si>
  <si>
    <t xml:space="preserve">AS122 .L51942A</t>
  </si>
  <si>
    <t xml:space="preserve">AS  122            L 51942 A</t>
  </si>
  <si>
    <t xml:space="preserve">Aspects of classical legend and history in Shakespeare, by F. S. Boas.</t>
  </si>
  <si>
    <t xml:space="preserve">Boas, Frederick S. (Frederick Samuel), 1862-1957.</t>
  </si>
  <si>
    <t xml:space="preserve">Aspects of classical legend and history in Shakespeare,</t>
  </si>
  <si>
    <t xml:space="preserve">(OCoLC)ocm04853136</t>
  </si>
  <si>
    <t xml:space="preserve">1943]</t>
  </si>
  <si>
    <t xml:space="preserve">AS122 .L51943</t>
  </si>
  <si>
    <t xml:space="preserve">AS  122            L 51943</t>
  </si>
  <si>
    <t xml:space="preserve">AS122 .L51943A</t>
  </si>
  <si>
    <t xml:space="preserve">AS  122            L 51943 A</t>
  </si>
  <si>
    <t xml:space="preserve">Shakespeare's punctuation.</t>
  </si>
  <si>
    <t xml:space="preserve">Alexander, Peter, 1893-</t>
  </si>
  <si>
    <t xml:space="preserve">(OCoLC)ocm00518941</t>
  </si>
  <si>
    <t xml:space="preserve">G. Cumberlege</t>
  </si>
  <si>
    <t xml:space="preserve">AS122 .L51945</t>
  </si>
  <si>
    <t xml:space="preserve">AS  122            L 51945</t>
  </si>
  <si>
    <t xml:space="preserve">Our knowledge of universals / by R.I. Aaron.</t>
  </si>
  <si>
    <t xml:space="preserve">Aaron, Richard I. (Richard Ithamar), 1901-</t>
  </si>
  <si>
    <t xml:space="preserve">Our knowledge of universals /</t>
  </si>
  <si>
    <t xml:space="preserve">(OCoLC)ocm01435631</t>
  </si>
  <si>
    <t xml:space="preserve">1945?]</t>
  </si>
  <si>
    <t xml:space="preserve">AS122 .L51945A</t>
  </si>
  <si>
    <t xml:space="preserve">AS  122            L 51945 A</t>
  </si>
  <si>
    <t xml:space="preserve">Burke.</t>
  </si>
  <si>
    <t xml:space="preserve">(OCoLC)ocm12128240</t>
  </si>
  <si>
    <t xml:space="preserve">AS122 .L51946</t>
  </si>
  <si>
    <t xml:space="preserve">AS  122            L 51946</t>
  </si>
  <si>
    <t xml:space="preserve">Poetry of Thomas Gray.</t>
  </si>
  <si>
    <t xml:space="preserve">Cecil, David, 1902-1986.</t>
  </si>
  <si>
    <t xml:space="preserve">(OCoLC)ocm03409996</t>
  </si>
  <si>
    <t xml:space="preserve">AS122 .L51946A</t>
  </si>
  <si>
    <t xml:space="preserve">AS  122            L 51946 A</t>
  </si>
  <si>
    <t xml:space="preserve">Coleridge on imagination and fancy.</t>
  </si>
  <si>
    <t xml:space="preserve">Willey, Basil, 1897-</t>
  </si>
  <si>
    <t xml:space="preserve">(OCoLC)ocm00293393</t>
  </si>
  <si>
    <t xml:space="preserve">G.Cumberlege,</t>
  </si>
  <si>
    <t xml:space="preserve">AS122 .L51946B</t>
  </si>
  <si>
    <t xml:space="preserve">AS  122            L 51946 B</t>
  </si>
  <si>
    <t xml:space="preserve">Thinking and representation / by H.H. Price.</t>
  </si>
  <si>
    <t xml:space="preserve">Price, H. H. (Henry Habberley), 1899-</t>
  </si>
  <si>
    <t xml:space="preserve">Thinking and representation /</t>
  </si>
  <si>
    <t xml:space="preserve">(OCoLC)ocm00225031</t>
  </si>
  <si>
    <t xml:space="preserve">s.n.] ,</t>
  </si>
  <si>
    <t xml:space="preserve">AS122 .L51946C</t>
  </si>
  <si>
    <t xml:space="preserve">AS  122            L 51946 C</t>
  </si>
  <si>
    <t xml:space="preserve">Immaterialism.</t>
  </si>
  <si>
    <t xml:space="preserve">Luce, Arthur Aston, 1882-</t>
  </si>
  <si>
    <t xml:space="preserve">(OCoLC)ocm12136407</t>
  </si>
  <si>
    <t xml:space="preserve">AS122 .L51947</t>
  </si>
  <si>
    <t xml:space="preserve">AS  122            L 51947</t>
  </si>
  <si>
    <t xml:space="preserve">Faerie queene.'</t>
  </si>
  <si>
    <t xml:space="preserve">Renwick, W. L. (William Lindsay), 1889-</t>
  </si>
  <si>
    <t xml:space="preserve">(OCoLC)ocm04921416</t>
  </si>
  <si>
    <t xml:space="preserve">[1947]</t>
  </si>
  <si>
    <t xml:space="preserve">AS122 .L51947B</t>
  </si>
  <si>
    <t xml:space="preserve">AS  122            L 51947 B</t>
  </si>
  <si>
    <t xml:space="preserve">Shakespeare and the termers.</t>
  </si>
  <si>
    <t xml:space="preserve">(OCoLC)ocm06388688</t>
  </si>
  <si>
    <t xml:space="preserve">AS122 .L51947C</t>
  </si>
  <si>
    <t xml:space="preserve">AS  122            L 51947 C</t>
  </si>
  <si>
    <t xml:space="preserve">Moral intuition and the principle of self-realization.</t>
  </si>
  <si>
    <t xml:space="preserve">Campbell, Charles Arthur, 1897-</t>
  </si>
  <si>
    <t xml:space="preserve">(OCoLC)ocm01888665</t>
  </si>
  <si>
    <t xml:space="preserve">[1952]</t>
  </si>
  <si>
    <t xml:space="preserve">AS122 .L51948</t>
  </si>
  <si>
    <t xml:space="preserve">AS  122            L 51948</t>
  </si>
  <si>
    <t xml:space="preserve">Shakespeare in Spain.</t>
  </si>
  <si>
    <t xml:space="preserve">Thomas, Henry, 1878-1946</t>
  </si>
  <si>
    <t xml:space="preserve">(OCoLC)ocm00355276</t>
  </si>
  <si>
    <t xml:space="preserve">G. Cumberlege]</t>
  </si>
  <si>
    <t xml:space="preserve">AS122 .L51949</t>
  </si>
  <si>
    <t xml:space="preserve">AS  122            L 51949</t>
  </si>
  <si>
    <t xml:space="preserve">Archbishop Thomas Becket; a character study, by M.D. Knowles.</t>
  </si>
  <si>
    <t xml:space="preserve">Knowles, David, 1896-</t>
  </si>
  <si>
    <t xml:space="preserve">Archbishop Thomas Becket; a character study,</t>
  </si>
  <si>
    <t xml:space="preserve">(OCoLC)ocm00398509</t>
  </si>
  <si>
    <t xml:space="preserve">AS122 .L51949C</t>
  </si>
  <si>
    <t xml:space="preserve">AS  122            L 51949 C</t>
  </si>
  <si>
    <t xml:space="preserve">8/27/2002</t>
  </si>
  <si>
    <t xml:space="preserve">PRESIDENTIAL ADDRESS, 13 JULY 1949</t>
  </si>
  <si>
    <t xml:space="preserve">Bell, H. Idris (Harold Idris), Sir, b. 1879.</t>
  </si>
  <si>
    <t xml:space="preserve">se 00001632</t>
  </si>
  <si>
    <t xml:space="preserve">AS122 .L51949D</t>
  </si>
  <si>
    <t xml:space="preserve">AS  122            L 51949 D</t>
  </si>
  <si>
    <t xml:space="preserve">Emergence of Shakespeare's tragedy / by H.V.D. Dyson.</t>
  </si>
  <si>
    <t xml:space="preserve">Dyson, H. V. D. (Henry Victor Dyson)</t>
  </si>
  <si>
    <t xml:space="preserve">Emergence of Shakespeare's tragedy /</t>
  </si>
  <si>
    <t xml:space="preserve">(OCoLC)ocm06283614</t>
  </si>
  <si>
    <t xml:space="preserve">[1950?]</t>
  </si>
  <si>
    <t xml:space="preserve">G. Cumberlege,</t>
  </si>
  <si>
    <t xml:space="preserve">AS122 .L51950</t>
  </si>
  <si>
    <t xml:space="preserve">AS  122            L 51950</t>
  </si>
  <si>
    <t xml:space="preserve">10/26/2006</t>
  </si>
  <si>
    <t xml:space="preserve">Wordsworth and Tennyson.</t>
  </si>
  <si>
    <t xml:space="preserve">James, David Gwilym, 1905-</t>
  </si>
  <si>
    <t xml:space="preserve">(OCoLC)ocm01889555</t>
  </si>
  <si>
    <t xml:space="preserve">AS122 .L51950A</t>
  </si>
  <si>
    <t xml:space="preserve">AS  122            L 51950 A</t>
  </si>
  <si>
    <t xml:space="preserve">Some reflections on Chaucer's 'art poetical' / by Dorothy Everett.</t>
  </si>
  <si>
    <t xml:space="preserve">Everett, Dorothy, 1894-1953.</t>
  </si>
  <si>
    <t xml:space="preserve">Some reflections on Chaucer's 'art poetical' /</t>
  </si>
  <si>
    <t xml:space="preserve">(OCoLC)ocm01342948</t>
  </si>
  <si>
    <t xml:space="preserve">[s.n.],</t>
  </si>
  <si>
    <t xml:space="preserve">AS122 .L51950B</t>
  </si>
  <si>
    <t xml:space="preserve">AS  122            L 51950 B</t>
  </si>
  <si>
    <t xml:space="preserve">Golden world of 'King Lear.'</t>
  </si>
  <si>
    <t xml:space="preserve">(OCoLC)ocm12271626</t>
  </si>
  <si>
    <t xml:space="preserve">AS122 .L51951</t>
  </si>
  <si>
    <t xml:space="preserve">AS  122            L 51951</t>
  </si>
  <si>
    <t xml:space="preserve">Elizabethan political scene.</t>
  </si>
  <si>
    <t xml:space="preserve">Neale, John Ernest, 1890-</t>
  </si>
  <si>
    <t xml:space="preserve">(OCoLC)ocm01888780</t>
  </si>
  <si>
    <t xml:space="preserve">AS122 .L51952</t>
  </si>
  <si>
    <t xml:space="preserve">AS  122            L 51952</t>
  </si>
  <si>
    <t xml:space="preserve">Co-operation in Shakespearian scholarship.</t>
  </si>
  <si>
    <t xml:space="preserve">Nicoll, Allardyce, 1894-</t>
  </si>
  <si>
    <t xml:space="preserve">(OCoLC)ocm00879500</t>
  </si>
  <si>
    <t xml:space="preserve">AS122 .L51952A</t>
  </si>
  <si>
    <t xml:space="preserve">AS  122            L 51952 A</t>
  </si>
  <si>
    <t xml:space="preserve">Shakespeare's poetic energy.</t>
  </si>
  <si>
    <t xml:space="preserve">Rylands, George, 1902-</t>
  </si>
  <si>
    <t xml:space="preserve">(OCoLC)ocm00879592</t>
  </si>
  <si>
    <t xml:space="preserve">AS122 .L51953</t>
  </si>
  <si>
    <t xml:space="preserve">AS  122            L 51953</t>
  </si>
  <si>
    <t xml:space="preserve">Mozart.</t>
  </si>
  <si>
    <t xml:space="preserve">Dent, Edward Joseph, 1876-1957</t>
  </si>
  <si>
    <t xml:space="preserve">(OCoLC)ocm01301389</t>
  </si>
  <si>
    <t xml:space="preserve">@@@@</t>
  </si>
  <si>
    <t xml:space="preserve">AS122 .L51954</t>
  </si>
  <si>
    <t xml:space="preserve">AS  122            L 51954</t>
  </si>
  <si>
    <t xml:space="preserve">5/19/2006</t>
  </si>
  <si>
    <t xml:space="preserve">Oldest Slavonic tradition of Byzantine music.</t>
  </si>
  <si>
    <t xml:space="preserve">HÂ¿Â¿eg, Carsten, 1896-</t>
  </si>
  <si>
    <t xml:space="preserve">(OCoLC)ocm01346348</t>
  </si>
  <si>
    <t xml:space="preserve">[1953]</t>
  </si>
  <si>
    <t xml:space="preserve">AS122 .L51954A</t>
  </si>
  <si>
    <t xml:space="preserve">AS  122            L 51954 A</t>
  </si>
  <si>
    <t xml:space="preserve">Philosophy of analysis.</t>
  </si>
  <si>
    <t xml:space="preserve">Blanshard, Brand, 1892-1987.</t>
  </si>
  <si>
    <t xml:space="preserve">(OCoLC)ocm01890270</t>
  </si>
  <si>
    <t xml:space="preserve">(1952)</t>
  </si>
  <si>
    <t xml:space="preserve">AS122 .L51954B</t>
  </si>
  <si>
    <t xml:space="preserve">AS  122            L 51954 B</t>
  </si>
  <si>
    <t xml:space="preserve">12/21/2004</t>
  </si>
  <si>
    <t xml:space="preserve">Cabinet Council, 1783-1835.</t>
  </si>
  <si>
    <t xml:space="preserve">Aspinall, Arthur, 1901-</t>
  </si>
  <si>
    <t xml:space="preserve">(OCoLC)ocm01890440</t>
  </si>
  <si>
    <t xml:space="preserve">(1954)</t>
  </si>
  <si>
    <t xml:space="preserve">AS122 .L51954C</t>
  </si>
  <si>
    <t xml:space="preserve">AS  122            L 51954 C</t>
  </si>
  <si>
    <t xml:space="preserve">Economic approach to prehistory.</t>
  </si>
  <si>
    <t xml:space="preserve">Clark, Grahame, 1907-</t>
  </si>
  <si>
    <t xml:space="preserve">(OCoLC)ocm01891288</t>
  </si>
  <si>
    <t xml:space="preserve">(1953)</t>
  </si>
  <si>
    <t xml:space="preserve">AS122 .L51954D</t>
  </si>
  <si>
    <t xml:space="preserve">AS  122            L 51954 D</t>
  </si>
  <si>
    <t xml:space="preserve">George Berkeley's Siris, the philosophy of the great chain of being and the alchemical theory.</t>
  </si>
  <si>
    <t xml:space="preserve">Ritchie, Arthur David, 1891-1967.</t>
  </si>
  <si>
    <t xml:space="preserve">(OCoLC)ocm14248948</t>
  </si>
  <si>
    <t xml:space="preserve">AS122 .L51955</t>
  </si>
  <si>
    <t xml:space="preserve">AS  122            L 51955</t>
  </si>
  <si>
    <t xml:space="preserve">9/16/2002</t>
  </si>
  <si>
    <t xml:space="preserve">British contribution to the neo-classical style in painting.</t>
  </si>
  <si>
    <t xml:space="preserve">Waterhouse, Ellis Kirkham, 1905-</t>
  </si>
  <si>
    <t xml:space="preserve">(OCoLC)ocm01891433</t>
  </si>
  <si>
    <t xml:space="preserve">[1955]</t>
  </si>
  <si>
    <t xml:space="preserve">[Oxford University Press],</t>
  </si>
  <si>
    <t xml:space="preserve">AS122 .L51955A</t>
  </si>
  <si>
    <t xml:space="preserve">AS  122            L 51955 A</t>
  </si>
  <si>
    <t xml:space="preserve">12/15/2005</t>
  </si>
  <si>
    <t xml:space="preserve">Noble Moor.</t>
  </si>
  <si>
    <t xml:space="preserve">Gardner, Helen Louise, Dame.</t>
  </si>
  <si>
    <t xml:space="preserve">(OCoLC)ocm01892215</t>
  </si>
  <si>
    <t xml:space="preserve">(1956)</t>
  </si>
  <si>
    <t xml:space="preserve">AS122 .L51955B</t>
  </si>
  <si>
    <t xml:space="preserve">AS  122            L 51955 B</t>
  </si>
  <si>
    <t xml:space="preserve">SHAKESPEARE'S POLITICS: WITH SOME REFLECTIONS ON THE NATURE OF TRADITION.</t>
  </si>
  <si>
    <t xml:space="preserve">Knights, L. C. (Lionel Charles), 1906-</t>
  </si>
  <si>
    <t xml:space="preserve">se 00001649</t>
  </si>
  <si>
    <t xml:space="preserve">AS122 .L51957A</t>
  </si>
  <si>
    <t xml:space="preserve">AS  122            L 51957 A</t>
  </si>
  <si>
    <t xml:space="preserve">Matthew Arnold and Carlyle.</t>
  </si>
  <si>
    <t xml:space="preserve">Tillotson, Kathleen Mary.</t>
  </si>
  <si>
    <t xml:space="preserve">(OCoLC)ocm01892827</t>
  </si>
  <si>
    <t xml:space="preserve">(1957)</t>
  </si>
  <si>
    <t xml:space="preserve">AS122 .L51957B</t>
  </si>
  <si>
    <t xml:space="preserve">AS  122            L 51957 B</t>
  </si>
  <si>
    <t xml:space="preserve">Shakespeare and the tragic pattern.</t>
  </si>
  <si>
    <t xml:space="preserve">Muir, Kenneth.</t>
  </si>
  <si>
    <t xml:space="preserve">0841459452 (lib. bdg.)</t>
  </si>
  <si>
    <t xml:space="preserve">(OCoLC)ocm00628402</t>
  </si>
  <si>
    <t xml:space="preserve">Folcroft Library Editions,</t>
  </si>
  <si>
    <t xml:space="preserve">AS122 .L51958</t>
  </si>
  <si>
    <t xml:space="preserve">AS  122            L 51958</t>
  </si>
  <si>
    <t xml:space="preserve">Charles Darwin.</t>
  </si>
  <si>
    <t xml:space="preserve">De Beer, Gavin, Sir, 1899-1972.</t>
  </si>
  <si>
    <t xml:space="preserve">(OCoLC)ocm01893666</t>
  </si>
  <si>
    <t xml:space="preserve">(1959)</t>
  </si>
  <si>
    <t xml:space="preserve">AS122 .L51958A</t>
  </si>
  <si>
    <t xml:space="preserve">AS  122            L 51958 A</t>
  </si>
  <si>
    <t xml:space="preserve">2/25/2009</t>
  </si>
  <si>
    <t xml:space="preserve">GERARD MANLEY HOPKINS</t>
  </si>
  <si>
    <t xml:space="preserve">Wain, John.</t>
  </si>
  <si>
    <t xml:space="preserve">se 00001653</t>
  </si>
  <si>
    <t xml:space="preserve">AS122 .L51960</t>
  </si>
  <si>
    <t xml:space="preserve">AS  122            L 51960</t>
  </si>
  <si>
    <t xml:space="preserve">Shakespeare's comic insight.</t>
  </si>
  <si>
    <t xml:space="preserve">Lascelles, Mary</t>
  </si>
  <si>
    <t xml:space="preserve">(OCoLC)ocm00879021</t>
  </si>
  <si>
    <t xml:space="preserve">AS122 .L51962</t>
  </si>
  <si>
    <t xml:space="preserve">AS  122            L 51962</t>
  </si>
  <si>
    <t xml:space="preserve">Saga and the myth of Sir Thomas More, by Professor R.W. Chambers ...</t>
  </si>
  <si>
    <t xml:space="preserve">Saga and the myth of Sir Thomas More,</t>
  </si>
  <si>
    <t xml:space="preserve">(OCoLC)ocm10740874</t>
  </si>
  <si>
    <t xml:space="preserve">196-?]</t>
  </si>
  <si>
    <t xml:space="preserve">AS122 .L51964</t>
  </si>
  <si>
    <t xml:space="preserve">AS  122            L 51964</t>
  </si>
  <si>
    <t xml:space="preserve">Journal of the Warburg and Courtauld Institutes.</t>
  </si>
  <si>
    <t xml:space="preserve">(OCoLC)ocm08364251</t>
  </si>
  <si>
    <t xml:space="preserve">1940-</t>
  </si>
  <si>
    <t xml:space="preserve">Warburg Institute, University of London,</t>
  </si>
  <si>
    <t xml:space="preserve">AS122 .L8515</t>
  </si>
  <si>
    <t xml:space="preserve">AS  122            L 8515</t>
  </si>
  <si>
    <t xml:space="preserve">ed. 1</t>
  </si>
  <si>
    <t xml:space="preserve">SERIAL NONCIRC</t>
  </si>
  <si>
    <t xml:space="preserve">6/7/2013</t>
  </si>
  <si>
    <t xml:space="preserve">v.74(2011)</t>
  </si>
  <si>
    <t xml:space="preserve">v.63(2000)</t>
  </si>
  <si>
    <t xml:space="preserve">v.62(1999)</t>
  </si>
  <si>
    <t xml:space="preserve">v.61(1998)</t>
  </si>
  <si>
    <t xml:space="preserve">v.60(1997)</t>
  </si>
  <si>
    <t xml:space="preserve">v.59(1996)</t>
  </si>
  <si>
    <t xml:space="preserve">v.58(1995)</t>
  </si>
  <si>
    <t xml:space="preserve">v.57(1994)</t>
  </si>
  <si>
    <t xml:space="preserve">v.56(1993)</t>
  </si>
  <si>
    <t xml:space="preserve">v.55(1992)</t>
  </si>
  <si>
    <t xml:space="preserve">v.54(1991)</t>
  </si>
  <si>
    <t xml:space="preserve">v.53(1990)</t>
  </si>
  <si>
    <t xml:space="preserve">v.52(1989)</t>
  </si>
  <si>
    <t xml:space="preserve">v.51(1988)</t>
  </si>
  <si>
    <t xml:space="preserve">v.50(1987)</t>
  </si>
  <si>
    <t xml:space="preserve">v.49(1986)</t>
  </si>
  <si>
    <t xml:space="preserve">v.48(1985)</t>
  </si>
  <si>
    <t xml:space="preserve">v.47(1984)</t>
  </si>
  <si>
    <t xml:space="preserve">v.46(1983)</t>
  </si>
  <si>
    <t xml:space="preserve">v.45(1982)</t>
  </si>
  <si>
    <t xml:space="preserve">v.44(1981)</t>
  </si>
  <si>
    <t xml:space="preserve">v.43(1980)</t>
  </si>
  <si>
    <t xml:space="preserve">v.42(1979)</t>
  </si>
  <si>
    <t xml:space="preserve">v.41(1978)</t>
  </si>
  <si>
    <t xml:space="preserve">v.40(1977)</t>
  </si>
  <si>
    <t xml:space="preserve">v.39(1976)</t>
  </si>
  <si>
    <t xml:space="preserve">v.38(1975)</t>
  </si>
  <si>
    <t xml:space="preserve">v.37(1974)</t>
  </si>
  <si>
    <t xml:space="preserve">v.36(1973)</t>
  </si>
  <si>
    <t xml:space="preserve">v.35(1972)</t>
  </si>
  <si>
    <t xml:space="preserve">v.34(1971)</t>
  </si>
  <si>
    <t xml:space="preserve">v.33(1970)</t>
  </si>
  <si>
    <t xml:space="preserve">v.32(1969)</t>
  </si>
  <si>
    <t xml:space="preserve">v.29(1966)</t>
  </si>
  <si>
    <t xml:space="preserve">v.28(1965)</t>
  </si>
  <si>
    <t xml:space="preserve">v.27(1964)</t>
  </si>
  <si>
    <t xml:space="preserve">v.26(1963)</t>
  </si>
  <si>
    <t xml:space="preserve">v.25(1962)</t>
  </si>
  <si>
    <t xml:space="preserve">7/11/2006</t>
  </si>
  <si>
    <t xml:space="preserve">v.24(1961)</t>
  </si>
  <si>
    <t xml:space="preserve">v.23(1960)</t>
  </si>
  <si>
    <t xml:space="preserve">v.22(1959)</t>
  </si>
  <si>
    <t xml:space="preserve">v.21(1958)</t>
  </si>
  <si>
    <t xml:space="preserve">v.20(1957)</t>
  </si>
  <si>
    <t xml:space="preserve">v.19(1956)</t>
  </si>
  <si>
    <t xml:space="preserve">v.18(1955)</t>
  </si>
  <si>
    <t xml:space="preserve">v.16-17(1953-1954)</t>
  </si>
  <si>
    <t xml:space="preserve">v.15(1952)</t>
  </si>
  <si>
    <t xml:space="preserve">v.13-14(1950-1951)</t>
  </si>
  <si>
    <t xml:space="preserve">9/8/2009</t>
  </si>
  <si>
    <t xml:space="preserve">v.11-12(1948-1949)</t>
  </si>
  <si>
    <t xml:space="preserve">v.9-10(1946-1947)</t>
  </si>
  <si>
    <t xml:space="preserve">v.7-8(1944-1945)</t>
  </si>
  <si>
    <t xml:space="preserve">v.5-6(1942-1943)</t>
  </si>
  <si>
    <t xml:space="preserve">6/11/2008</t>
  </si>
  <si>
    <t xml:space="preserve">v.3-4(1939-1941)</t>
  </si>
  <si>
    <t xml:space="preserve">v.1-2(1937-1939)</t>
  </si>
  <si>
    <t xml:space="preserve">v.64(2001)</t>
  </si>
  <si>
    <t xml:space="preserve">v.68(2005)</t>
  </si>
  <si>
    <t xml:space="preserve">v.69(2006)</t>
  </si>
  <si>
    <t xml:space="preserve">v.65(2002)</t>
  </si>
  <si>
    <t xml:space="preserve">v.66(2003)</t>
  </si>
  <si>
    <t xml:space="preserve">v.67(2004)</t>
  </si>
  <si>
    <t xml:space="preserve">v.70(2007)</t>
  </si>
  <si>
    <t xml:space="preserve">v.72(2009)</t>
  </si>
  <si>
    <t xml:space="preserve">Legal education in the seventies: an inaugural lecture delivered before the Queen's University of Belfast on 1 February 1967 [by] L. A. Sheridan.</t>
  </si>
  <si>
    <t xml:space="preserve">Sheridan, L. A. (Lionel Astor)</t>
  </si>
  <si>
    <t xml:space="preserve">Legal education in the seventies: an inaugural lecture delivered before the Queen's University of Belfast on 1 February 1967</t>
  </si>
  <si>
    <t xml:space="preserve">(OCoLC)ocm00459240</t>
  </si>
  <si>
    <t xml:space="preserve">Queen's University</t>
  </si>
  <si>
    <t xml:space="preserve">AS122.B4 A3NO.35</t>
  </si>
  <si>
    <t xml:space="preserve">AS  122            B 4   A 3 NO .35</t>
  </si>
  <si>
    <t xml:space="preserve">Author index and index of principal subjects : Journal of the Warburg and Courtauld Institutes / University of London, Warburg Institute ; compiled by J. Perkins.</t>
  </si>
  <si>
    <t xml:space="preserve">Perkins, J.</t>
  </si>
  <si>
    <t xml:space="preserve">Author index and index of principal subjects : Journal of the Warburg and Courtauld Institutes /</t>
  </si>
  <si>
    <t xml:space="preserve">(OCoLC)ocm36792491</t>
  </si>
  <si>
    <t xml:space="preserve">1975?]</t>
  </si>
  <si>
    <t xml:space="preserve">Warburg Institute,</t>
  </si>
  <si>
    <t xml:space="preserve">AS122.L8515 INDEXV.1-37</t>
  </si>
  <si>
    <t xml:space="preserve">AS  122            L 8515   INDEXV .1 37</t>
  </si>
  <si>
    <t xml:space="preserve">mul</t>
  </si>
  <si>
    <t xml:space="preserve">Ungarische kulturstaÂ¿Â¿tten. Foyers intellectuels en Hongrie. Hungarian educational institutions. Centri di cultura in Ungheria.</t>
  </si>
  <si>
    <t xml:space="preserve">TudomaÂ¿Â¿nyos taÂ¿Â¿rsulatok eÂ¿Â¿s inteÂ¿Â¿zmeÂ¿Â¿nyek orszaÂ¿Â¿gos szoÂ¿Â¿vetseÂ¿Â¿ge, Budapest.</t>
  </si>
  <si>
    <t xml:space="preserve">(OCoLC)ocm04536306</t>
  </si>
  <si>
    <t xml:space="preserve">Typographia Regiae Universitatis Hungaricae</t>
  </si>
  <si>
    <t xml:space="preserve">AS136.H8 T8</t>
  </si>
  <si>
    <t xml:space="preserve">AS  136            H 8   T 8</t>
  </si>
  <si>
    <t xml:space="preserve">Geschichte der Akademie der Wissenschaften in Wien, 1847-1947. Im Auftrage der Akademie verfasst.</t>
  </si>
  <si>
    <t xml:space="preserve">Meister, Richard, 1881-</t>
  </si>
  <si>
    <t xml:space="preserve">(OCoLC)ocm04843930</t>
  </si>
  <si>
    <t xml:space="preserve">A. Holzhausens,</t>
  </si>
  <si>
    <t xml:space="preserve">AS137.V5 M4</t>
  </si>
  <si>
    <t xml:space="preserve">AS  137            V 5   M 4</t>
  </si>
  <si>
    <t xml:space="preserve">cze</t>
  </si>
  <si>
    <t xml:space="preserve">PriÂ¿Â¿speÂ¿Â¿vky k deÂ¿Â¿jinaÂ¿Â¿m umeÂ¿Â¿ni. [UsporÂ¿Â¿adal JaromiÂ¿Â¿r Neumann]</t>
  </si>
  <si>
    <t xml:space="preserve">PriÂ¿Â¿speÂ¿Â¿vky k deÂ¿Â¿jinaÂ¿Â¿m umeÂ¿Â¿ni.</t>
  </si>
  <si>
    <t xml:space="preserve">(OCoLC)ocm11411228</t>
  </si>
  <si>
    <t xml:space="preserve">AS141.A521960 NO.3</t>
  </si>
  <si>
    <t xml:space="preserve">AS  141            A 521960   NO .3</t>
  </si>
  <si>
    <t xml:space="preserve">Entwicklung und Reformen des oÂ¿Â¿sterreichischen Studienwesens. Vorgelegt in der Sitzung am 13. JaÂ¿Â¿nner, 1961.</t>
  </si>
  <si>
    <t xml:space="preserve">(OCoLC)ocm13242988</t>
  </si>
  <si>
    <t xml:space="preserve">H. BoÂ¿Â¿hlhaus Nachf., Kommissionsverlag der OÂ¿Â¿sterreichischen Akademie der Wissenschaften,</t>
  </si>
  <si>
    <t xml:space="preserve">AS142 .V31BD.239ABH.1</t>
  </si>
  <si>
    <t xml:space="preserve">AS  142            V 31 BD .239 ABH .1</t>
  </si>
  <si>
    <t xml:space="preserve">Scientific, technical, and related societies of the United States.</t>
  </si>
  <si>
    <t xml:space="preserve">(OCoLC)ocm01039746</t>
  </si>
  <si>
    <t xml:space="preserve">1927-</t>
  </si>
  <si>
    <t xml:space="preserve">National Academy of Sciences, National Research Council,</t>
  </si>
  <si>
    <t xml:space="preserve">AS15 .H3</t>
  </si>
  <si>
    <t xml:space="preserve">AS   15            H 3</t>
  </si>
  <si>
    <t xml:space="preserve">8th ed.(1968)</t>
  </si>
  <si>
    <t xml:space="preserve">7th ed.(1961)</t>
  </si>
  <si>
    <t xml:space="preserve">5th ed.(1948)</t>
  </si>
  <si>
    <t xml:space="preserve">Marcel Proust, par Paulette Fourcade et Serge BeÂ¿Â¿har.</t>
  </si>
  <si>
    <t xml:space="preserve">LAFOURCADE, PAULETTE.</t>
  </si>
  <si>
    <t xml:space="preserve">Marcel Proust,</t>
  </si>
  <si>
    <t xml:space="preserve">(OCoLC)ocm00836026</t>
  </si>
  <si>
    <t xml:space="preserve">1972]</t>
  </si>
  <si>
    <t xml:space="preserve">Cercle parisien de la Ligue francÂ¿Â¿aise de l'enseignement,</t>
  </si>
  <si>
    <t xml:space="preserve">AS161.C24 NO.130</t>
  </si>
  <si>
    <t xml:space="preserve">AS  161            C 24   NO .130</t>
  </si>
  <si>
    <t xml:space="preserve">LeÂ¿Â¿gende arthurienne, eÂ¿Â¿tudes et documents. PremieÂ¿Â¿re partie: Les plus anciens textes.</t>
  </si>
  <si>
    <t xml:space="preserve">Faral, Edmond, 1882-1958.</t>
  </si>
  <si>
    <t xml:space="preserve">(OCoLC)ocm02757140</t>
  </si>
  <si>
    <t xml:space="preserve">H. Champion,</t>
  </si>
  <si>
    <t xml:space="preserve">AS162 .B6 fasc.</t>
  </si>
  <si>
    <t xml:space="preserve">AS  162            B 6   FASC</t>
  </si>
  <si>
    <t xml:space="preserve">255 (t.1)</t>
  </si>
  <si>
    <t xml:space="preserve">256 (t.2)</t>
  </si>
  <si>
    <t xml:space="preserve">257 (t.3)</t>
  </si>
  <si>
    <t xml:space="preserve">Annales de l'AcadeÂ¿Â¿mie de MaÂ¿Â¿con / SocieÂ¿Â¿teÂ¿Â¿ des arts, sciences, belles-lettres, et agriculture de SaoÂ¿Â¿ne-et-Loire.</t>
  </si>
  <si>
    <t xml:space="preserve">AcadeÂ¿Â¿mie de MaÂ¿Â¿con. SocieÂ¿Â¿teÂ¿Â¿ des arts, sciences, belles-lettres, et agriculture de SaoÂ¿Â¿ne-et-Loire.</t>
  </si>
  <si>
    <t xml:space="preserve">Annales de l'AcadeÂ¿Â¿mie de MaÂ¿Â¿con /</t>
  </si>
  <si>
    <t xml:space="preserve">(OCoLC)ocm01775603</t>
  </si>
  <si>
    <t xml:space="preserve">1851-</t>
  </si>
  <si>
    <t xml:space="preserve">L'AcadeÂ¿Â¿mie,</t>
  </si>
  <si>
    <t xml:space="preserve">AS162 .M23</t>
  </si>
  <si>
    <t xml:space="preserve">AS  162            M 23</t>
  </si>
  <si>
    <t xml:space="preserve">v.48(1966-1967)</t>
  </si>
  <si>
    <t xml:space="preserve">v.47(1964-1965)</t>
  </si>
  <si>
    <t xml:space="preserve">v.46(1962-1963)</t>
  </si>
  <si>
    <t xml:space="preserve">v.44(1958-1959)</t>
  </si>
  <si>
    <t xml:space="preserve">v.39(1948-1949)</t>
  </si>
  <si>
    <t xml:space="preserve">v.38(1946-1947)</t>
  </si>
  <si>
    <t xml:space="preserve">v.37(1944-1945)</t>
  </si>
  <si>
    <t xml:space="preserve">v.36(1942-1943)</t>
  </si>
  <si>
    <t xml:space="preserve">v.34(1939)</t>
  </si>
  <si>
    <t xml:space="preserve">v.33(1938)</t>
  </si>
  <si>
    <t xml:space="preserve">v.14(1909)</t>
  </si>
  <si>
    <t xml:space="preserve">v.11(1906)</t>
  </si>
  <si>
    <t xml:space="preserve">Culture et loisir dans la civilisation du XXe sieÂ¿Â¿cle.</t>
  </si>
  <si>
    <t xml:space="preserve">(OCoLC)ocm16746254</t>
  </si>
  <si>
    <t xml:space="preserve">Les Belles Lettres,</t>
  </si>
  <si>
    <t xml:space="preserve">AS162 .N52 no.16</t>
  </si>
  <si>
    <t xml:space="preserve">AS  162            N 52   NO .16</t>
  </si>
  <si>
    <t xml:space="preserve">DeÂ¿Â¿mographie meÂ¿Â¿dieÂ¿Â¿vale : sources et meÂ¿Â¿thodes : actes du CongreÂ¿Â¿s de l'Association des historiens meÂ¿Â¿dieÂ¿Â¿vistes de l'enseignement supeÂ¿Â¿rieur public, Nice, 15-16 mai 1970.</t>
  </si>
  <si>
    <t xml:space="preserve">CongreÂ¿Â¿s des meÂ¿Â¿dieÂ¿Â¿vistes de l'enseignement supeÂ¿Â¿rieur (1st : 1970 : Nice, France)</t>
  </si>
  <si>
    <t xml:space="preserve">DeÂ¿Â¿mographie meÂ¿Â¿dieÂ¿Â¿vale : sources et meÂ¿Â¿thodes : actes du CongreÂ¿Â¿s de l'Association des historiens meÂ¿Â¿dieÂ¿Â¿vistes de l'enseignement supeÂ¿Â¿rieur</t>
  </si>
  <si>
    <t xml:space="preserve">(OCoLC)ocm23940377</t>
  </si>
  <si>
    <t xml:space="preserve">Belles lettres,</t>
  </si>
  <si>
    <t xml:space="preserve">AS162 .N52 no.17</t>
  </si>
  <si>
    <t xml:space="preserve">AS  162            N 52   NO .17</t>
  </si>
  <si>
    <t xml:space="preserve">EÂ¿Â¿tudes anglo-americaines.</t>
  </si>
  <si>
    <t xml:space="preserve">(OCoLC)ocm02718220</t>
  </si>
  <si>
    <t xml:space="preserve">Les Belles lettres,</t>
  </si>
  <si>
    <t xml:space="preserve">AS162 .N52 no.18</t>
  </si>
  <si>
    <t xml:space="preserve">AS  162            N 52   NO .18</t>
  </si>
  <si>
    <t xml:space="preserve">Aspects de Nice du XVIIIe au XXe sieÂ¿Â¿cles.</t>
  </si>
  <si>
    <t xml:space="preserve">(OCoLC)ocm00876464</t>
  </si>
  <si>
    <t xml:space="preserve">AS162 .N52 no.19</t>
  </si>
  <si>
    <t xml:space="preserve">AS  162            N 52   NO .19</t>
  </si>
  <si>
    <t xml:space="preserve">EÂ¿Â¿tudes philosophiques.</t>
  </si>
  <si>
    <t xml:space="preserve">(OCoLC)ocm00962544</t>
  </si>
  <si>
    <t xml:space="preserve">Les Belles lettres</t>
  </si>
  <si>
    <t xml:space="preserve">AS162 .N52 no.20</t>
  </si>
  <si>
    <t xml:space="preserve">AS  162            N 52   NO .20</t>
  </si>
  <si>
    <t xml:space="preserve">Hommage aÂ¿Â¿ Pierre Fargues : philologie, litteÂ¿Â¿ratures et histoire anciennes.</t>
  </si>
  <si>
    <t xml:space="preserve">(OCoLC)ocm01450243</t>
  </si>
  <si>
    <t xml:space="preserve">AS162 .N52 no.21</t>
  </si>
  <si>
    <t xml:space="preserve">AS  162            N 52   NO .21</t>
  </si>
  <si>
    <t xml:space="preserve">EÂ¿Â¿tudes et recherches de litteÂ¿Â¿rature geÂ¿Â¿neÂ¿Â¿rale et compareÂ¿Â¿e.</t>
  </si>
  <si>
    <t xml:space="preserve">(OCoLC)ocm03052180</t>
  </si>
  <si>
    <t xml:space="preserve">AS162 .N52 no.22</t>
  </si>
  <si>
    <t xml:space="preserve">AS  162            N 52   NO .22</t>
  </si>
  <si>
    <t xml:space="preserve">Hommage aÂ¿Â¿ AndreÂ¿Â¿ Joucla Ruau.</t>
  </si>
  <si>
    <t xml:space="preserve">(OCoLC)ocm02894081</t>
  </si>
  <si>
    <t xml:space="preserve">[1975]</t>
  </si>
  <si>
    <t xml:space="preserve">AS162 .N52 no.23</t>
  </si>
  <si>
    <t xml:space="preserve">AS  162            N 52   NO .23</t>
  </si>
  <si>
    <t xml:space="preserve">Loisir, environnement et qualiteÂ¿Â¿ de la vie sur la CoÂ¿Â¿te d'Azur / ADAC [Association d'animation et de diffusion artistique et culturelle de la CoÂ¿Â¿te d'Azur], GIRU [Groupe interdisciplinaire de recherches urbaines de l'UniversiteÂ¿Â¿ de Nice].</t>
  </si>
  <si>
    <t xml:space="preserve">Loisir, environnement et qualiteÂ¿Â¿ de la vie sur la CoÂ¿Â¿te d'Azur /</t>
  </si>
  <si>
    <t xml:space="preserve">(OCoLC)ocm03629299</t>
  </si>
  <si>
    <t xml:space="preserve">les Belles lettres,</t>
  </si>
  <si>
    <t xml:space="preserve">AS162 .N52 no.24</t>
  </si>
  <si>
    <t xml:space="preserve">AS  162            N 52   NO .24</t>
  </si>
  <si>
    <t xml:space="preserve">Villes du littoral.</t>
  </si>
  <si>
    <t xml:space="preserve">(OCoLC)ocm02318915</t>
  </si>
  <si>
    <t xml:space="preserve">Belles Lettres,</t>
  </si>
  <si>
    <t xml:space="preserve">AS162 .N52 no.25</t>
  </si>
  <si>
    <t xml:space="preserve">AS  162            N 52   NO .25</t>
  </si>
  <si>
    <t xml:space="preserve">Urbanisation, deÂ¿Â¿veloppement reÂ¿Â¿gional et pouvoir politique.</t>
  </si>
  <si>
    <t xml:space="preserve">(OCoLC)ocm02508886</t>
  </si>
  <si>
    <t xml:space="preserve">AS162 .N52 no.26</t>
  </si>
  <si>
    <t xml:space="preserve">AS  162            N 52   NO .26</t>
  </si>
  <si>
    <t xml:space="preserve">Etudes anglo-ameÂ¿Â¿ricaines.</t>
  </si>
  <si>
    <t xml:space="preserve">(OCoLC)ocm13327666</t>
  </si>
  <si>
    <t xml:space="preserve">AS162 .N52 no.27</t>
  </si>
  <si>
    <t xml:space="preserve">AS  162            N 52   NO .27</t>
  </si>
  <si>
    <t xml:space="preserve">EÂ¿Â¿tudes de linguistique.</t>
  </si>
  <si>
    <t xml:space="preserve">(OCoLC)ocm03837606</t>
  </si>
  <si>
    <t xml:space="preserve">AS162 .N52 no.28</t>
  </si>
  <si>
    <t xml:space="preserve">AS  162            N 52   NO .28</t>
  </si>
  <si>
    <t xml:space="preserve">Hommage aÂ¿Â¿ Pierre Nardin : philologie et litteÂ¿Â¿rature francÂ¿Â¿aises.</t>
  </si>
  <si>
    <t xml:space="preserve">(OCoLC)ocm03519412</t>
  </si>
  <si>
    <t xml:space="preserve">AS162 .N52 no.29</t>
  </si>
  <si>
    <t xml:space="preserve">AS  162            N 52   NO .29</t>
  </si>
  <si>
    <t xml:space="preserve">em</t>
  </si>
  <si>
    <t xml:space="preserve">Histoire et civilisations ibeÂ¿Â¿riques.</t>
  </si>
  <si>
    <t xml:space="preserve">(OCoLC)ocm06145780</t>
  </si>
  <si>
    <t xml:space="preserve">AS162 .N52 no.30</t>
  </si>
  <si>
    <t xml:space="preserve">AS  162            N 52   NO .30</t>
  </si>
  <si>
    <t xml:space="preserve">Psychologie, science de l'homme.</t>
  </si>
  <si>
    <t xml:space="preserve">(OCoLC)ocm05740238</t>
  </si>
  <si>
    <t xml:space="preserve">AS162 .N52 no.31</t>
  </si>
  <si>
    <t xml:space="preserve">AS  162            N 52   NO .31</t>
  </si>
  <si>
    <t xml:space="preserve">Savoir philosophique.</t>
  </si>
  <si>
    <t xml:space="preserve">(OCoLC)ocm04780927</t>
  </si>
  <si>
    <t xml:space="preserve">AS162 .N52 no.32</t>
  </si>
  <si>
    <t xml:space="preserve">AS  162            N 52   NO .32</t>
  </si>
  <si>
    <t xml:space="preserve">EÂ¿Â¿tudes allemandes et autrichiennes / reÂ¿Â¿unies par Richard Thieberger.</t>
  </si>
  <si>
    <t xml:space="preserve">EÂ¿Â¿tudes allemandes et autrichiennes /</t>
  </si>
  <si>
    <t xml:space="preserve">(OCoLC)ocm06555751</t>
  </si>
  <si>
    <t xml:space="preserve">AS162 .N52 no.33</t>
  </si>
  <si>
    <t xml:space="preserve">AS  162            N 52   NO .33</t>
  </si>
  <si>
    <t xml:space="preserve">Hommage aÂ¿Â¿ Emile Gasquet, 1920-1977.</t>
  </si>
  <si>
    <t xml:space="preserve">(OCoLC)ocm05840319</t>
  </si>
  <si>
    <t xml:space="preserve">[1978]</t>
  </si>
  <si>
    <t xml:space="preserve">AS162 .N52 no.34</t>
  </si>
  <si>
    <t xml:space="preserve">AS  162            N 52   NO .34</t>
  </si>
  <si>
    <t xml:space="preserve">Philologie, litteÂ¿Â¿ratures et histoire anciennes.</t>
  </si>
  <si>
    <t xml:space="preserve">2251621350 :</t>
  </si>
  <si>
    <t xml:space="preserve">(OCoLC)ocm05965415</t>
  </si>
  <si>
    <t xml:space="preserve">AS162 .N52 no.35</t>
  </si>
  <si>
    <t xml:space="preserve">AS  162            N 52   NO .35</t>
  </si>
  <si>
    <t xml:space="preserve">Langues vivantes dans l'enseignement supeÂ¿Â¿rieur : eÂ¿Â¿tudes didactiques / reÂ¿Â¿unies par Richard Thieberger.</t>
  </si>
  <si>
    <t xml:space="preserve">Langues vivantes dans l'enseignement supeÂ¿Â¿rieur : eÂ¿Â¿tudes didactiques /</t>
  </si>
  <si>
    <t xml:space="preserve">(OCoLC)ocm06996391</t>
  </si>
  <si>
    <t xml:space="preserve">AS162 .N52 no.36</t>
  </si>
  <si>
    <t xml:space="preserve">AS  162            N 52   NO .36</t>
  </si>
  <si>
    <t xml:space="preserve">Histoire dans ses variantes : travaux et recherches des enseignants d'histoire.</t>
  </si>
  <si>
    <t xml:space="preserve">(OCoLC)ocm07604046</t>
  </si>
  <si>
    <t xml:space="preserve">AS162 .N52 no.37</t>
  </si>
  <si>
    <t xml:space="preserve">AS  162            N 52   NO .37</t>
  </si>
  <si>
    <t xml:space="preserve">Hommage aÂ¿Â¿ Jean Onimus / ouvrage publieÂ¿Â¿ avec le concours du ComiteÂ¿Â¿ Doyen-Jean-Lepine de la Ville de Nice.</t>
  </si>
  <si>
    <t xml:space="preserve">Hommage aÂ¿Â¿ Jean Onimus /</t>
  </si>
  <si>
    <t xml:space="preserve">(OCoLC)ocm06983240</t>
  </si>
  <si>
    <t xml:space="preserve">Belles-Lettres,</t>
  </si>
  <si>
    <t xml:space="preserve">AS162 .N52 no.38</t>
  </si>
  <si>
    <t xml:space="preserve">AS  162            N 52   NO .38</t>
  </si>
  <si>
    <t xml:space="preserve">MeÂ¿Â¿langes Jean Larmat : regards sur le Moyen Age et la Renaissance :(histoire, langue et litteÂ¿Â¿rature).</t>
  </si>
  <si>
    <t xml:space="preserve">(OCoLC)ocm11044475</t>
  </si>
  <si>
    <t xml:space="preserve">[1982 i.e. 1983]</t>
  </si>
  <si>
    <t xml:space="preserve">AS162 .N52 no.39</t>
  </si>
  <si>
    <t xml:space="preserve">AS  162            N 52   NO .39</t>
  </si>
  <si>
    <t xml:space="preserve">Lettres grecques modernes, slaves et hongroises.</t>
  </si>
  <si>
    <t xml:space="preserve">(OCoLC)ocm08534988</t>
  </si>
  <si>
    <t xml:space="preserve">AS162 .N52 no.41</t>
  </si>
  <si>
    <t xml:space="preserve">AS  162            N 52   NO .41</t>
  </si>
  <si>
    <t xml:space="preserve">Hommage aÂ¿Â¿ Louise Cohen : langue et litteÂ¿Â¿rature italiennes.</t>
  </si>
  <si>
    <t xml:space="preserve">2251621423 :</t>
  </si>
  <si>
    <t xml:space="preserve">(OCoLC)ocm09687266</t>
  </si>
  <si>
    <t xml:space="preserve">AS162 .N52 no.42</t>
  </si>
  <si>
    <t xml:space="preserve">AS  162            N 52   NO .42</t>
  </si>
  <si>
    <t xml:space="preserve">EÂ¿Â¿tudes anglo-ameÂ¿Â¿ricaines.</t>
  </si>
  <si>
    <t xml:space="preserve">(OCoLC)ocm08535048</t>
  </si>
  <si>
    <t xml:space="preserve">AS162 .N52 no.43</t>
  </si>
  <si>
    <t xml:space="preserve">AS  162            N 52   NO .43</t>
  </si>
  <si>
    <t xml:space="preserve">FrancÂ¿Â¿ais Langue eÂ¿Â¿trangeÂ¿Â¿re.</t>
  </si>
  <si>
    <t xml:space="preserve">(OCoLC)ocm10842000</t>
  </si>
  <si>
    <t xml:space="preserve">AS162 .N52 no.44</t>
  </si>
  <si>
    <t xml:space="preserve">AS  162            N 52   NO .44</t>
  </si>
  <si>
    <t xml:space="preserve">Hommage aÂ¿Â¿ Maurice Bordes, preÂ¿Â¿sident de l'Association culturelle du Gers : travaux d'histoire.</t>
  </si>
  <si>
    <t xml:space="preserve">(OCoLC)ocm22764416</t>
  </si>
  <si>
    <t xml:space="preserve">AS162 .N52 no.45</t>
  </si>
  <si>
    <t xml:space="preserve">AS  162            N 52   NO .45</t>
  </si>
  <si>
    <t xml:space="preserve">Espagnes meÂ¿Â¿dieÂ¿Â¿vales : aspects economiques et siciaux : meÂ¿Â¿langes offerta aÂ¿Â¿ Jean Gautier DalcheÂ¿Â¿.</t>
  </si>
  <si>
    <t xml:space="preserve">(OCoLC)ocm10837171</t>
  </si>
  <si>
    <t xml:space="preserve">Les Belles Letters,</t>
  </si>
  <si>
    <t xml:space="preserve">AS162 .N52 no.46</t>
  </si>
  <si>
    <t xml:space="preserve">AS  162            N 52   NO .46</t>
  </si>
  <si>
    <t xml:space="preserve">Psychologie des possibles : hommage a Alesandre Vexliard.</t>
  </si>
  <si>
    <t xml:space="preserve">(OCoLC)ocm10669869</t>
  </si>
  <si>
    <t xml:space="preserve">AS162 .N52 no.47</t>
  </si>
  <si>
    <t xml:space="preserve">AS  162            N 52   NO .47</t>
  </si>
  <si>
    <t xml:space="preserve">MeÂ¿Â¿langes de langue et de litteÂ¿Â¿rature meÂ¿Â¿dieÂ¿Â¿vales offerts aÂ¿Â¿ Alice Planche.</t>
  </si>
  <si>
    <t xml:space="preserve">2251621482 (set)</t>
  </si>
  <si>
    <t xml:space="preserve">(OCoLC)ocm12162376</t>
  </si>
  <si>
    <t xml:space="preserve">AS162 .N52 no.48</t>
  </si>
  <si>
    <t xml:space="preserve">AS  162            N 52   NO .48</t>
  </si>
  <si>
    <t xml:space="preserve">3/1/2012</t>
  </si>
  <si>
    <t xml:space="preserve">12/8/2011</t>
  </si>
  <si>
    <t xml:space="preserve">Philosophie contemporaine : Arendt, Bataille, Deleuze, Heidegger, Klossowski, Levinas, Marcuse, La nouvelle communication, Sartre, Eric Weil.</t>
  </si>
  <si>
    <t xml:space="preserve">(OCoLC)ocm14241369</t>
  </si>
  <si>
    <t xml:space="preserve">[1985]</t>
  </si>
  <si>
    <t xml:space="preserve">Publications de la FaculteÂ¿Â¿ des lettres et sciences humaines de Nice ; Diffusion, Les Belles Lettres,</t>
  </si>
  <si>
    <t xml:space="preserve">AS162 .N52 no.49</t>
  </si>
  <si>
    <t xml:space="preserve">AS  162            N 52   NO .49</t>
  </si>
  <si>
    <t xml:space="preserve">Hommage aÂ¿Â¿ Jean Granarolo : philologie, litteÂ¿Â¿ratures et histoire anciennes / textes reÂ¿Â¿unis par ReneÂ¿Â¿ Braun.</t>
  </si>
  <si>
    <t xml:space="preserve">Hommage aÂ¿Â¿ Jean Granarolo : philologie, litteÂ¿Â¿ratures et histoire anciennes /</t>
  </si>
  <si>
    <t xml:space="preserve">(OCoLC)ocm13535565</t>
  </si>
  <si>
    <t xml:space="preserve">AS162 .N52 no.50</t>
  </si>
  <si>
    <t xml:space="preserve">AS  162            N 52   NO .50</t>
  </si>
  <si>
    <t xml:space="preserve">Hommage aÂ¿Â¿ Jean Richer.</t>
  </si>
  <si>
    <t xml:space="preserve">(OCoLC)ocm12674579</t>
  </si>
  <si>
    <t xml:space="preserve">AS162 .N52 no.51</t>
  </si>
  <si>
    <t xml:space="preserve">AS  162            N 52   NO .51</t>
  </si>
  <si>
    <t xml:space="preserve">Hommage aÂ¿Â¿ Pierre Guiraud.</t>
  </si>
  <si>
    <t xml:space="preserve">(OCoLC)ocm12655442</t>
  </si>
  <si>
    <t xml:space="preserve">AS162 .N52 no.52</t>
  </si>
  <si>
    <t xml:space="preserve">AS  162            N 52   NO .52</t>
  </si>
  <si>
    <t xml:space="preserve">Arts poÂ¿Â¿etiques du XIIe et du XIIIe sieÂ¿Â¿cle; recherches et documents sur la technique litteÂ¿Â¿raire du moyen age.</t>
  </si>
  <si>
    <t xml:space="preserve">(OCoLC)ocm00279844</t>
  </si>
  <si>
    <t xml:space="preserve">Librairie HonoreÂ¿Â¿ Champion,</t>
  </si>
  <si>
    <t xml:space="preserve">AS162.B6 FASC.238</t>
  </si>
  <si>
    <t xml:space="preserve">AS  162            B 6   FASC .238</t>
  </si>
  <si>
    <t xml:space="preserve">EÂ¿Â¿tude sur le Lancelot en prose / par Ferdinand Lot ; augmenteÂ¿Â¿ d'un septieÂ¿Â¿me appendice du a Myrrha Lot-Borodine.</t>
  </si>
  <si>
    <t xml:space="preserve">Lot, Ferdinand, 1866-</t>
  </si>
  <si>
    <t xml:space="preserve">EÂ¿Â¿tude sur le Lancelot en prose /</t>
  </si>
  <si>
    <t xml:space="preserve">(OCoLC)ocm02167598</t>
  </si>
  <si>
    <t xml:space="preserve">1954 [1918]</t>
  </si>
  <si>
    <t xml:space="preserve">EÂ¿Â¿. Champion,</t>
  </si>
  <si>
    <t xml:space="preserve">AS162.B61918 RFASC.226</t>
  </si>
  <si>
    <t xml:space="preserve">AS  162            B 61918   RFASC .226</t>
  </si>
  <si>
    <t xml:space="preserve">Ronsard et l'humanisme. Avec un portrait de Jean Dorat en un autographe de Ronsard.</t>
  </si>
  <si>
    <t xml:space="preserve">Nolhac, Pierre de, 1859-1936.</t>
  </si>
  <si>
    <t xml:space="preserve">Ronsard et l'humanisme.</t>
  </si>
  <si>
    <t xml:space="preserve">(OCoLC)ocm01982985</t>
  </si>
  <si>
    <t xml:space="preserve">AS162.B61921 RFASC.227</t>
  </si>
  <si>
    <t xml:space="preserve">AS  162            B 61921   RFASC .227</t>
  </si>
  <si>
    <t xml:space="preserve">Trois sieÂ¿Â¿cles de l'AcadeÂ¿Â¿mie francÂ¿Â¿aise, par les Quarante.</t>
  </si>
  <si>
    <t xml:space="preserve">ACADEMIE FRANCAISE, PARIS.</t>
  </si>
  <si>
    <t xml:space="preserve">Trois sieÂ¿Â¿cles de l'AcadeÂ¿Â¿mie francÂ¿Â¿aise,</t>
  </si>
  <si>
    <t xml:space="preserve">(OCoLC)ocm01462757</t>
  </si>
  <si>
    <t xml:space="preserve">[1935]</t>
  </si>
  <si>
    <t xml:space="preserve">Firmin-Didot et cie</t>
  </si>
  <si>
    <t xml:space="preserve">AS162.P281 A31635-1935</t>
  </si>
  <si>
    <t xml:space="preserve">AS  162            P 281   A 31635 1935</t>
  </si>
  <si>
    <t xml:space="preserve">11/7/2007</t>
  </si>
  <si>
    <t xml:space="preserve">Veritas, justitia, libertas; Festschrift zur 200-Jahrfeier der Columbia University, New York, uÂ¿Â¿berreicht von der Freien UniversitaÂ¿Â¿t Berlin und der Deutschen Hochschule fuÂ¿Â¿r Politik Berlin.</t>
  </si>
  <si>
    <t xml:space="preserve">Freie UniversitaÂ¿Â¿t Berlin.</t>
  </si>
  <si>
    <t xml:space="preserve">Veritas, justitia, libertas; Festschrift zur 200-Jahrfeier der Columbia University, New York,</t>
  </si>
  <si>
    <t xml:space="preserve">(OCoLC)ocm05295761</t>
  </si>
  <si>
    <t xml:space="preserve">Colloquium-Verlag</t>
  </si>
  <si>
    <t xml:space="preserve">AS182 .B7153</t>
  </si>
  <si>
    <t xml:space="preserve">AS  182            B 7153</t>
  </si>
  <si>
    <t xml:space="preserve">Jahrbuch Akademie der Wissenschaften und der Literatur.</t>
  </si>
  <si>
    <t xml:space="preserve">Akademie der Wissenschaften und der Literatur (Germany)</t>
  </si>
  <si>
    <t xml:space="preserve">Jahrbuch</t>
  </si>
  <si>
    <t xml:space="preserve">(OCoLC)ocm01478739</t>
  </si>
  <si>
    <t xml:space="preserve">1950-</t>
  </si>
  <si>
    <t xml:space="preserve">F. Steiner Verlag,</t>
  </si>
  <si>
    <t xml:space="preserve">AS182 .M233</t>
  </si>
  <si>
    <t xml:space="preserve">AS  182            M 233</t>
  </si>
  <si>
    <t xml:space="preserve">ReziprozitaÂ¿Â¿tstheorem fuÂ¿Â¿r eine Klasse pseudoholomorpher Funktionen mehrerer komplexer Variabler.</t>
  </si>
  <si>
    <t xml:space="preserve">Tutschke, Wolfgang</t>
  </si>
  <si>
    <t xml:space="preserve">(OCoLC)ocm04826723</t>
  </si>
  <si>
    <t xml:space="preserve">Akademie-Verlag,</t>
  </si>
  <si>
    <t xml:space="preserve">AS182 .S214VOL.108PT.5</t>
  </si>
  <si>
    <t xml:space="preserve">AS  182            S 214 VOL .108 PT .5</t>
  </si>
  <si>
    <t xml:space="preserve">Kompositionstafeln quaternaÂ¿Â¿rer quadratischer Formen.</t>
  </si>
  <si>
    <t xml:space="preserve">INTRAU, OSKAR.</t>
  </si>
  <si>
    <t xml:space="preserve">(OCoLC)ocm04820006</t>
  </si>
  <si>
    <t xml:space="preserve">Akademie-Verl.,</t>
  </si>
  <si>
    <t xml:space="preserve">AS182 .S21VOL.50PT.2</t>
  </si>
  <si>
    <t xml:space="preserve">AS  182            S 21 VOL .50 PT .2</t>
  </si>
  <si>
    <t xml:space="preserve">Problem of Uganda; a study in acculturation.</t>
  </si>
  <si>
    <t xml:space="preserve">Mukherjee, Ramkrishna.</t>
  </si>
  <si>
    <t xml:space="preserve">(OCoLC)ocm02097419</t>
  </si>
  <si>
    <t xml:space="preserve">AS182.B33271955 NR.2</t>
  </si>
  <si>
    <t xml:space="preserve">AS  182            B 33271955   NR .2</t>
  </si>
  <si>
    <t xml:space="preserve">BuÂ¿Â¿rgschaft im irischen Recht / von Rudolf Thurneysen.</t>
  </si>
  <si>
    <t xml:space="preserve">Thurneysen, Rudolf, 1857-1940</t>
  </si>
  <si>
    <t xml:space="preserve">BuÂ¿Â¿rgschaft im irischen Recht /</t>
  </si>
  <si>
    <t xml:space="preserve">(OCoLC)ocm03063819</t>
  </si>
  <si>
    <t xml:space="preserve">Verlag der Akademie der wissenschaften, in Kommission bei W. de Gruyter,</t>
  </si>
  <si>
    <t xml:space="preserve">AS182.B341928 NR.2</t>
  </si>
  <si>
    <t xml:space="preserve">AS  182            B 341928   NR .2</t>
  </si>
  <si>
    <t xml:space="preserve">Hittite hieroglyphs and Luwian : new evidence for the connection / J. D. Hawkins, Anna Morpurgo-Davies, GuÂ¿Â¿nter Neumann.</t>
  </si>
  <si>
    <t xml:space="preserve">Hawkins, John David.</t>
  </si>
  <si>
    <t xml:space="preserve">Hittite hieroglyphs and Luwian : new evidence for the connection /</t>
  </si>
  <si>
    <t xml:space="preserve">(OCoLC)ocm01859286</t>
  </si>
  <si>
    <t xml:space="preserve">Vandenhoeck &amp; Ruprecht,</t>
  </si>
  <si>
    <t xml:space="preserve">AS182.G823 JAHRG.1NR.6</t>
  </si>
  <si>
    <t xml:space="preserve">AS  182            G 823   JAHRG .1 NR .6</t>
  </si>
  <si>
    <t xml:space="preserve">7/13/2011</t>
  </si>
  <si>
    <t xml:space="preserve">NachtraÂ¿Â¿ge zu den Briefen Leopold Rankes an KoÂ¿Â¿nig Maximilian II, von Bayern; Hrsg. von Karl Alexander von MuÂ¿Â¿ller.</t>
  </si>
  <si>
    <t xml:space="preserve">Ranke, Leopold von, 1795-1886.</t>
  </si>
  <si>
    <t xml:space="preserve">NachtraÂ¿Â¿ge zu den Briefen Leopold Rankes an KoÂ¿Â¿nig Maximilian II, von Bayern;</t>
  </si>
  <si>
    <t xml:space="preserve">(OCoLC)ocm07943537</t>
  </si>
  <si>
    <t xml:space="preserve">Verlag der Bayerischen Akademie der Wissenschaften,</t>
  </si>
  <si>
    <t xml:space="preserve">AS182.M8231939 HEFT10</t>
  </si>
  <si>
    <t xml:space="preserve">AS  182            M 8231939   HEFT 10</t>
  </si>
  <si>
    <t xml:space="preserve">Flussname Themse und seine Sippe; Studien zur Anglisierung keltischer Eigennamen und zur Lautchronologie des Altbritischen.</t>
  </si>
  <si>
    <t xml:space="preserve">FoÂ¿Â¿rster, Max, 1869-</t>
  </si>
  <si>
    <t xml:space="preserve">(OCoLC)ocm03049068</t>
  </si>
  <si>
    <t xml:space="preserve">In Kommission bei C. H. Beck,</t>
  </si>
  <si>
    <t xml:space="preserve">AS182.M8231941 HEFT1</t>
  </si>
  <si>
    <t xml:space="preserve">AS  182            M 8231941   HEFT 1</t>
  </si>
  <si>
    <t xml:space="preserve">2/11/2008</t>
  </si>
  <si>
    <t xml:space="preserve">PARZIVAL-STUDIEN</t>
  </si>
  <si>
    <t xml:space="preserve">Schneider, Hermann, 1886-1961</t>
  </si>
  <si>
    <t xml:space="preserve">se 00001686</t>
  </si>
  <si>
    <t xml:space="preserve">AS182.M8231944/46 HEFT4</t>
  </si>
  <si>
    <t xml:space="preserve">AS  182            M 8231944 46   HEFT 4</t>
  </si>
  <si>
    <t xml:space="preserve">Internationalization of scholarship and scholarly societies / American Council of Learned Societies.</t>
  </si>
  <si>
    <t xml:space="preserve">Internationalization of scholarship and scholarly societies /</t>
  </si>
  <si>
    <t xml:space="preserve">(OCoLC)ocm32710568</t>
  </si>
  <si>
    <t xml:space="preserve">The Council,</t>
  </si>
  <si>
    <t xml:space="preserve">AS2.5 .I581995</t>
  </si>
  <si>
    <t xml:space="preserve">AS    25           I 581995</t>
  </si>
  <si>
    <t xml:space="preserve">Principles of cultural co-operation.</t>
  </si>
  <si>
    <t xml:space="preserve">Lewis, Sulwyn.</t>
  </si>
  <si>
    <t xml:space="preserve">(OCoLC)ocm00202051</t>
  </si>
  <si>
    <t xml:space="preserve">[1971]</t>
  </si>
  <si>
    <t xml:space="preserve">Unesco</t>
  </si>
  <si>
    <t xml:space="preserve">AS2.5 .L48</t>
  </si>
  <si>
    <t xml:space="preserve">AS    25           L 48</t>
  </si>
  <si>
    <t xml:space="preserve">New connections for scholars : the changing missions of a learned society in an era of digital networks / Douglas C. Bennett.</t>
  </si>
  <si>
    <t xml:space="preserve">Bennett, Douglas C., 1946-</t>
  </si>
  <si>
    <t xml:space="preserve">New connections for scholars : the changing missions of a learned society in an era of digital networks /</t>
  </si>
  <si>
    <t xml:space="preserve">(OCoLC)ocm36810455</t>
  </si>
  <si>
    <t xml:space="preserve">c1997.</t>
  </si>
  <si>
    <t xml:space="preserve">American Council of Learned Societies,</t>
  </si>
  <si>
    <t xml:space="preserve">AS2.5 .N491997</t>
  </si>
  <si>
    <t xml:space="preserve">AS    25           N 491997</t>
  </si>
  <si>
    <t xml:space="preserve">Towards world community. Edited by John Nef.</t>
  </si>
  <si>
    <t xml:space="preserve">Towards world community.</t>
  </si>
  <si>
    <t xml:space="preserve">(OCoLC)ocm00027675</t>
  </si>
  <si>
    <t xml:space="preserve">W. Junk,</t>
  </si>
  <si>
    <t xml:space="preserve">AS2.5 .T63</t>
  </si>
  <si>
    <t xml:space="preserve">AS    25           T 63</t>
  </si>
  <si>
    <t xml:space="preserve">Tradition and enlightenment in the Tuscan academies, 1690-1800 / by Eric W. Cochrane.</t>
  </si>
  <si>
    <t xml:space="preserve">Cochrane, Eric W.</t>
  </si>
  <si>
    <t xml:space="preserve">Tradition and enlightenment in the Tuscan academies, 1690-1800 /</t>
  </si>
  <si>
    <t xml:space="preserve">(OCoLC)ocm14621544</t>
  </si>
  <si>
    <t xml:space="preserve">AS216.T8 C61961</t>
  </si>
  <si>
    <t xml:space="preserve">AS  216            T 8   C 61961</t>
  </si>
  <si>
    <t xml:space="preserve">11/26/2006</t>
  </si>
  <si>
    <t xml:space="preserve">ita</t>
  </si>
  <si>
    <t xml:space="preserve">Gerusalemme liberata nella Inghilterra di Spenser / Alberto Castelli.</t>
  </si>
  <si>
    <t xml:space="preserve">Castelli, Alberto, 1907-</t>
  </si>
  <si>
    <t xml:space="preserve">Gerusalemme liberata nella Inghilterra di Spenser /</t>
  </si>
  <si>
    <t xml:space="preserve">(OCoLC)ocm08173222</t>
  </si>
  <si>
    <t xml:space="preserve">Vita e pensiero,</t>
  </si>
  <si>
    <t xml:space="preserve">AS222 .M63SER.4VOL.201936A</t>
  </si>
  <si>
    <t xml:space="preserve">AS  222            M 63 SER .4 VOL .201936 A</t>
  </si>
  <si>
    <t xml:space="preserve">Giordano Bruno.</t>
  </si>
  <si>
    <t xml:space="preserve">Cicuttini, Luigi.</t>
  </si>
  <si>
    <t xml:space="preserve">(OCoLC)ocm03794358</t>
  </si>
  <si>
    <t xml:space="preserve">[1950]</t>
  </si>
  <si>
    <t xml:space="preserve">Vita e pensiero</t>
  </si>
  <si>
    <t xml:space="preserve">AS222.M63 N.S.VOL.31</t>
  </si>
  <si>
    <t xml:space="preserve">AS  222            M 63   N S VOL .31</t>
  </si>
  <si>
    <t xml:space="preserve">Knowledge explosion : liberation and limitation / edited by Francis Sweeney.</t>
  </si>
  <si>
    <t xml:space="preserve">Boston College Centennial Colloquium (1963)</t>
  </si>
  <si>
    <t xml:space="preserve">Knowledge explosion : liberation and limitation /</t>
  </si>
  <si>
    <t xml:space="preserve">(OCoLC)ocm01087192</t>
  </si>
  <si>
    <t xml:space="preserve">Farrar, Straus &amp; Giroux,</t>
  </si>
  <si>
    <t xml:space="preserve">AS23 .B61963C</t>
  </si>
  <si>
    <t xml:space="preserve">AS   23            B 61963 C</t>
  </si>
  <si>
    <t xml:space="preserve">Liste des socieÂ¿Â¿teÂ¿Â¿s savantes et litteÂ¿Â¿raires de Belgique.</t>
  </si>
  <si>
    <t xml:space="preserve">Belgium. Service des eÂ¿Â¿changes internationaux.</t>
  </si>
  <si>
    <t xml:space="preserve">(OCoLC)ocm02689799</t>
  </si>
  <si>
    <t xml:space="preserve">AS238 .A5</t>
  </si>
  <si>
    <t xml:space="preserve">AS  238            A 5</t>
  </si>
  <si>
    <t xml:space="preserve">Confrontation and learned societies / Edited and with an introd. by John Voss [and] Paul L. Ward.</t>
  </si>
  <si>
    <t xml:space="preserve">American Council of Learned Societies Devoted to Humanistic Studies. Conference of the Secretaries of Constituent Societies.</t>
  </si>
  <si>
    <t xml:space="preserve">Confrontation and learned societies /</t>
  </si>
  <si>
    <t xml:space="preserve">(OCoLC)ocm00126873</t>
  </si>
  <si>
    <t xml:space="preserve">New York University Press,</t>
  </si>
  <si>
    <t xml:space="preserve">AS24 .A65</t>
  </si>
  <si>
    <t xml:space="preserve">AS   24            A 65</t>
  </si>
  <si>
    <t xml:space="preserve">dut</t>
  </si>
  <si>
    <t xml:space="preserve">Jaarboek.</t>
  </si>
  <si>
    <t xml:space="preserve">Koninklijke Nederlandse Akademie van Wetenschappen.</t>
  </si>
  <si>
    <t xml:space="preserve">(OCoLC)ocm01478747</t>
  </si>
  <si>
    <t xml:space="preserve">Noord-Hollandsche Uitgevers Maatschappij.</t>
  </si>
  <si>
    <t xml:space="preserve">AS244 .A54</t>
  </si>
  <si>
    <t xml:space="preserve">AS  244            A 54</t>
  </si>
  <si>
    <t xml:space="preserve">1961/62</t>
  </si>
  <si>
    <t xml:space="preserve">1955/56</t>
  </si>
  <si>
    <t xml:space="preserve">Semantic construction of intuitionistic logic / by E. W. Beth.</t>
  </si>
  <si>
    <t xml:space="preserve">Beth, Evert Willem.</t>
  </si>
  <si>
    <t xml:space="preserve">Semantic construction of intuitionistic logic /</t>
  </si>
  <si>
    <t xml:space="preserve">(OCoLC)ocm02557617</t>
  </si>
  <si>
    <t xml:space="preserve">Noord-Hollandsche Uitg. Mij.,</t>
  </si>
  <si>
    <t xml:space="preserve">AS244.A51 N.R.DEEL19NO.11</t>
  </si>
  <si>
    <t xml:space="preserve">AS  244            A 51   N R DEEL 19 NO .11</t>
  </si>
  <si>
    <t xml:space="preserve">HET HUIDIGE NEGERHOLLANDSCH</t>
  </si>
  <si>
    <t xml:space="preserve">JOSSELIN DE JONG, JAN PETRUS BENJAMIN DE, 1886-</t>
  </si>
  <si>
    <t xml:space="preserve">se 00001695</t>
  </si>
  <si>
    <t xml:space="preserve">AS244.A52 N.R.DEEL26NO.1</t>
  </si>
  <si>
    <t xml:space="preserve">AS  244            A 52   N R DEEL 26 NO .1</t>
  </si>
  <si>
    <t xml:space="preserve">Encyclopaedie der KaraiÂ¿Â¿ben, behelzend taal, zeden en gewoonten dezer Indianen, door W. Ahlbrinck. GeiÂ¿Â¿llustreerd door E. La Rose.</t>
  </si>
  <si>
    <t xml:space="preserve">AHLBRINCK, W.</t>
  </si>
  <si>
    <t xml:space="preserve">Encyclopaedie der KaraiÂ¿Â¿ben, behelzend taal, zeden en gewoonten dezer Indianen,</t>
  </si>
  <si>
    <t xml:space="preserve">(OCoLC)ocm04839400</t>
  </si>
  <si>
    <t xml:space="preserve">Koninklijke Akademie van Wetenschappen,</t>
  </si>
  <si>
    <t xml:space="preserve">AS244.A52 N.S.VOL.27NO.1</t>
  </si>
  <si>
    <t xml:space="preserve">AS  244            A 52   N S VOL .27 NO .1</t>
  </si>
  <si>
    <t xml:space="preserve">American learned societies in transition: the impact of dissent and recession, by Harland G. Bloland and Sue M. Bloland.</t>
  </si>
  <si>
    <t xml:space="preserve">Bloland, Harland G.</t>
  </si>
  <si>
    <t xml:space="preserve">American learned societies in transition: the impact of dissent and recession,</t>
  </si>
  <si>
    <t xml:space="preserve">(OCoLC)ocm00811067</t>
  </si>
  <si>
    <t xml:space="preserve">AS25 .B57</t>
  </si>
  <si>
    <t xml:space="preserve">AS   25            B 57</t>
  </si>
  <si>
    <t xml:space="preserve">American learned societies.</t>
  </si>
  <si>
    <t xml:space="preserve">Kiger, Joseph Charles.</t>
  </si>
  <si>
    <t xml:space="preserve">(OCoLC)ocm00699683</t>
  </si>
  <si>
    <t xml:space="preserve">Public Affairs Press</t>
  </si>
  <si>
    <t xml:space="preserve">AS25 .K5</t>
  </si>
  <si>
    <t xml:space="preserve">AS   25            K 5</t>
  </si>
  <si>
    <t xml:space="preserve">Pursuit of knowledge in the early American Republic : American scientific and learned societies from colonial times to the Civil War / edited by Alexandra Oleson and Sanborn C. Brown.</t>
  </si>
  <si>
    <t xml:space="preserve">Pursuit of knowledge in the early American Republic : American scientific and learned societies from colonial times to the Civil War /</t>
  </si>
  <si>
    <t xml:space="preserve">(OCoLC)ocm01958213</t>
  </si>
  <si>
    <t xml:space="preserve">Johns Hopkins University Press,</t>
  </si>
  <si>
    <t xml:space="preserve">AS25 .P87</t>
  </si>
  <si>
    <t xml:space="preserve">AS   25            P 87</t>
  </si>
  <si>
    <t xml:space="preserve">Polish institutions of higher learning.</t>
  </si>
  <si>
    <t xml:space="preserve">Wepsiec, Jan, 1909-</t>
  </si>
  <si>
    <t xml:space="preserve">(OCoLC)ocm02872215</t>
  </si>
  <si>
    <t xml:space="preserve">Polish Institute of Arts and Sciences in America,</t>
  </si>
  <si>
    <t xml:space="preserve">AS258 .W4</t>
  </si>
  <si>
    <t xml:space="preserve">AS  258            W 4</t>
  </si>
  <si>
    <t xml:space="preserve">American humour in England before Mark Twain.</t>
  </si>
  <si>
    <t xml:space="preserve">Enkvist, Nils Erik.</t>
  </si>
  <si>
    <t xml:space="preserve">(OCoLC)ocm04843544</t>
  </si>
  <si>
    <t xml:space="preserve">Abo akademi,</t>
  </si>
  <si>
    <t xml:space="preserve">AS262 .A3VOL.21NO.3</t>
  </si>
  <si>
    <t xml:space="preserve">AS  262            A 3 VOL .21 NO .3</t>
  </si>
  <si>
    <t xml:space="preserve">Pythagorean texts of the Hellenistic period.</t>
  </si>
  <si>
    <t xml:space="preserve">Thesleff, Holger.</t>
  </si>
  <si>
    <t xml:space="preserve">(OCoLC)ocm01084692</t>
  </si>
  <si>
    <t xml:space="preserve">AÂ¿Â¿bo Akademi,</t>
  </si>
  <si>
    <t xml:space="preserve">AS262 .A3VOL.30NR.1</t>
  </si>
  <si>
    <t xml:space="preserve">AS  262            A 3 VOL .30 NR .1</t>
  </si>
  <si>
    <t xml:space="preserve">12/4/2012</t>
  </si>
  <si>
    <t xml:space="preserve">Toba Indians of the Bolivian Gran Chaco.</t>
  </si>
  <si>
    <t xml:space="preserve">Karsten, Rafael, 1879-1956.</t>
  </si>
  <si>
    <t xml:space="preserve">(OCoLC)ocm01108629</t>
  </si>
  <si>
    <t xml:space="preserve">Anthropological Publications,</t>
  </si>
  <si>
    <t xml:space="preserve">AS262 .A3VOL.4NO.41967</t>
  </si>
  <si>
    <t xml:space="preserve">AS  262            A 3 VOL .4 NO .41967</t>
  </si>
  <si>
    <t xml:space="preserve">Soviet Academy of Sciences [by] Alexander Vucinich.</t>
  </si>
  <si>
    <t xml:space="preserve">Vucinich, Alexander, 1914-</t>
  </si>
  <si>
    <t xml:space="preserve">Soviet Academy of Sciences</t>
  </si>
  <si>
    <t xml:space="preserve">(OCoLC)ocm00778569</t>
  </si>
  <si>
    <t xml:space="preserve">Stanford University Press,</t>
  </si>
  <si>
    <t xml:space="preserve">AS262.A68 V8</t>
  </si>
  <si>
    <t xml:space="preserve">AS  262            A 68   V 8</t>
  </si>
  <si>
    <t xml:space="preserve">dan</t>
  </si>
  <si>
    <t xml:space="preserve">Historisk-filosofiske meddelelser / utgivet af Det Kgl. Danske videnskabernes selskab.</t>
  </si>
  <si>
    <t xml:space="preserve">Historisk-filosofiske meddelelser /</t>
  </si>
  <si>
    <t xml:space="preserve">(OCoLC)ocm06665593</t>
  </si>
  <si>
    <t xml:space="preserve">1957-</t>
  </si>
  <si>
    <t xml:space="preserve">AS281 .D214</t>
  </si>
  <si>
    <t xml:space="preserve">AS  281            D 214</t>
  </si>
  <si>
    <t xml:space="preserve">v.47(1973-1974)</t>
  </si>
  <si>
    <t xml:space="preserve">v.46(1973)</t>
  </si>
  <si>
    <t xml:space="preserve">v.45(1971)</t>
  </si>
  <si>
    <t xml:space="preserve">v.44(1969-1971)</t>
  </si>
  <si>
    <t xml:space="preserve">v.43(1969)</t>
  </si>
  <si>
    <t xml:space="preserve">v.42(1966-1968)</t>
  </si>
  <si>
    <t xml:space="preserve">v.41(1965-1966)</t>
  </si>
  <si>
    <t xml:space="preserve">ETHICS AND EPISTEMOLOGY IN JOHN LOCKE'S ESSAY CONCERNING HUMAN UNDERSTANDING.</t>
  </si>
  <si>
    <t xml:space="preserve">PetzaÂ¿Â¿ll, AÂ¿Â¿ke, 1901-</t>
  </si>
  <si>
    <t xml:space="preserve">se 00001710</t>
  </si>
  <si>
    <t xml:space="preserve">AS284 .G6VOL.43NO.21937R</t>
  </si>
  <si>
    <t xml:space="preserve">AS  284            G 6 VOL .43 NO .21937 R</t>
  </si>
  <si>
    <t xml:space="preserve">Darwin and the general reader : the reception of Darwin's theory of evolution in the British periodical press, 1859-1872 / by Alvar Ellegard.</t>
  </si>
  <si>
    <t xml:space="preserve">EllegaÂ¿Â¿rd, Alvar.</t>
  </si>
  <si>
    <t xml:space="preserve">Darwin and the general reader : the reception of Darwin's theory of evolution in the British periodical press, 1859-1872 /</t>
  </si>
  <si>
    <t xml:space="preserve">(OCoLC)ocm00372563</t>
  </si>
  <si>
    <t xml:space="preserve">[Distr.: Almqvist &amp; Wiksell, Stockholm]</t>
  </si>
  <si>
    <t xml:space="preserve">AS284 .G6VOL.64NO.7</t>
  </si>
  <si>
    <t xml:space="preserve">AS  284            G 6 VOL .64 NO .7</t>
  </si>
  <si>
    <t xml:space="preserve">Apomixis in higher plants.</t>
  </si>
  <si>
    <t xml:space="preserve">Gustafsson, AÂ¿Â¿ke, 1908-</t>
  </si>
  <si>
    <t xml:space="preserve">(OCoLC)ocm03139049</t>
  </si>
  <si>
    <t xml:space="preserve">[1946-</t>
  </si>
  <si>
    <t xml:space="preserve">C. W. K. Gleerup</t>
  </si>
  <si>
    <t xml:space="preserve">AS284 .L82</t>
  </si>
  <si>
    <t xml:space="preserve">AS  284            L 82</t>
  </si>
  <si>
    <t xml:space="preserve">Bd.42 Nr.3 Bd.43 Nr.2 Bd.43 Nr.12</t>
  </si>
  <si>
    <t xml:space="preserve">Mountain fauna of the Virihaure area in Swedish Lapland, by Per Brinck and Karl Georg Wingstrand, with contributions by I. Agrell [and others]</t>
  </si>
  <si>
    <t xml:space="preserve">Brinck, Per, 1919-</t>
  </si>
  <si>
    <t xml:space="preserve">Mountain fauna of the Virihaure area in Swedish Lapland,</t>
  </si>
  <si>
    <t xml:space="preserve">(OCoLC)ocm12918350</t>
  </si>
  <si>
    <t xml:space="preserve">[1949-</t>
  </si>
  <si>
    <t xml:space="preserve">C.W.K. Gleerup</t>
  </si>
  <si>
    <t xml:space="preserve">Bd.45:Nr.2</t>
  </si>
  <si>
    <t xml:space="preserve">Bd.46:Nr.2</t>
  </si>
  <si>
    <t xml:space="preserve">English hundred-names, by Olof S. Anderson.</t>
  </si>
  <si>
    <t xml:space="preserve">Arngart, O.S. (Olof Sigfrid), 1905-</t>
  </si>
  <si>
    <t xml:space="preserve">English hundred-names,</t>
  </si>
  <si>
    <t xml:space="preserve">(OCoLC)ocm01967565</t>
  </si>
  <si>
    <t xml:space="preserve">Printed by H. Ohlsson,</t>
  </si>
  <si>
    <t xml:space="preserve">AS284 .L8BD.30NR.1</t>
  </si>
  <si>
    <t xml:space="preserve">AS  284            L 8 BD .30 NR .1</t>
  </si>
  <si>
    <t xml:space="preserve">English hundred-names;</t>
  </si>
  <si>
    <t xml:space="preserve">(OCoLC)ocm29077189</t>
  </si>
  <si>
    <t xml:space="preserve">[etc., etc., 1939].</t>
  </si>
  <si>
    <t xml:space="preserve">C. W. K. Cleerup;</t>
  </si>
  <si>
    <t xml:space="preserve">AS284 .L8BD.35NR.5</t>
  </si>
  <si>
    <t xml:space="preserve">AS  284            L 8 BD .35 NR .5</t>
  </si>
  <si>
    <t xml:space="preserve">Some types of narrative in ChaucersÂ¿Â¿ poetry.</t>
  </si>
  <si>
    <t xml:space="preserve">Schaar, Claes.</t>
  </si>
  <si>
    <t xml:space="preserve">(OCoLC)ocm00871396</t>
  </si>
  <si>
    <t xml:space="preserve">AS284 .L8BD.50NR.8</t>
  </si>
  <si>
    <t xml:space="preserve">AS  284            L 8 BD .50 NR .8</t>
  </si>
  <si>
    <t xml:space="preserve">Middle English word studies.</t>
  </si>
  <si>
    <t xml:space="preserve">Zettersten, Arne.</t>
  </si>
  <si>
    <t xml:space="preserve">(OCoLC)ocm02634572</t>
  </si>
  <si>
    <t xml:space="preserve">CWK Gleerup,</t>
  </si>
  <si>
    <t xml:space="preserve">AS284 .L8BD.56,NR.1</t>
  </si>
  <si>
    <t xml:space="preserve">AS  284            L 8 BD .56 , NR .1</t>
  </si>
  <si>
    <t xml:space="preserve">Logic of nonsense.</t>
  </si>
  <si>
    <t xml:space="preserve">HalldeÂ¿Â¿n, SoÂ¿Â¿ren.</t>
  </si>
  <si>
    <t xml:space="preserve">(OCoLC)ocm00625343</t>
  </si>
  <si>
    <t xml:space="preserve">[1949]</t>
  </si>
  <si>
    <t xml:space="preserve">Lundequistska Bokhandeln</t>
  </si>
  <si>
    <t xml:space="preserve">AS284.U71949 NO.9</t>
  </si>
  <si>
    <t xml:space="preserve">AS  284            U 71949   NO .9</t>
  </si>
  <si>
    <t xml:space="preserve">7/7/2003</t>
  </si>
  <si>
    <t xml:space="preserve">International university lectures, delivered by the most distinguished representatives of the greatest universities of the world, at the Congress of arts and science, Universal exposition, St. Louis ...</t>
  </si>
  <si>
    <t xml:space="preserve">Congress of Arts and Science (1904 : Saint Louis, Mo.)</t>
  </si>
  <si>
    <t xml:space="preserve">International university lectures, delivered by the most distinguished representatives of the greatest universities of the world, at the Congress of a</t>
  </si>
  <si>
    <t xml:space="preserve">[Cambridge ed.]</t>
  </si>
  <si>
    <t xml:space="preserve">(OCoLC)ocm12249604</t>
  </si>
  <si>
    <t xml:space="preserve">University Alliance, Inc.,</t>
  </si>
  <si>
    <t xml:space="preserve">AS3 1904u</t>
  </si>
  <si>
    <t xml:space="preserve">AS3 1904U</t>
  </si>
  <si>
    <t xml:space="preserve">3/2/2012</t>
  </si>
  <si>
    <t xml:space="preserve">Brigham Young University studies.</t>
  </si>
  <si>
    <t xml:space="preserve">Brigham Young University.</t>
  </si>
  <si>
    <t xml:space="preserve">(OCoLC)ocm01537085</t>
  </si>
  <si>
    <t xml:space="preserve">Brigham Young University]</t>
  </si>
  <si>
    <t xml:space="preserve">AS30 .B7</t>
  </si>
  <si>
    <t xml:space="preserve">AS   30            B 7</t>
  </si>
  <si>
    <t xml:space="preserve">vol. 24, no. 3</t>
  </si>
  <si>
    <t xml:space="preserve">5/11/2004</t>
  </si>
  <si>
    <t xml:space="preserve">aa</t>
  </si>
  <si>
    <t xml:space="preserve">Mormon Trail network in Nebraska, 1846-1868 : a new look / Stanley B. Kimball</t>
  </si>
  <si>
    <t xml:space="preserve">Kimball, Stanley Buchholz.</t>
  </si>
  <si>
    <t xml:space="preserve">(OCoLC)ocm55118634</t>
  </si>
  <si>
    <t xml:space="preserve">1984?]</t>
  </si>
  <si>
    <t xml:space="preserve">Brigham Young University Press,</t>
  </si>
  <si>
    <t xml:space="preserve">Wingspread lectures in the humanities.</t>
  </si>
  <si>
    <t xml:space="preserve">(OCoLC)ocm01746474</t>
  </si>
  <si>
    <t xml:space="preserve">c1966-</t>
  </si>
  <si>
    <t xml:space="preserve">The Johnson Foundation,</t>
  </si>
  <si>
    <t xml:space="preserve">AS30 .W5</t>
  </si>
  <si>
    <t xml:space="preserve">AS   30            W 5</t>
  </si>
  <si>
    <t xml:space="preserve">Ohio University review; contributions in the humanities.</t>
  </si>
  <si>
    <t xml:space="preserve">(OCoLC)ocm01696785</t>
  </si>
  <si>
    <t xml:space="preserve">Ohio University.</t>
  </si>
  <si>
    <t xml:space="preserve">AS30.O4 A2</t>
  </si>
  <si>
    <t xml:space="preserve">AS   30            O 4   A 2</t>
  </si>
  <si>
    <t xml:space="preserve">Index 1959-1971 (v.1-12)</t>
  </si>
  <si>
    <t xml:space="preserve">1970 (v.12)</t>
  </si>
  <si>
    <t xml:space="preserve">1969 (v.11)</t>
  </si>
  <si>
    <t xml:space="preserve">1968 (v.10)</t>
  </si>
  <si>
    <t xml:space="preserve">1967 (v.9)</t>
  </si>
  <si>
    <t xml:space="preserve">1966 (v.8)</t>
  </si>
  <si>
    <t xml:space="preserve">1965 (v.7)</t>
  </si>
  <si>
    <t xml:space="preserve">1964 (v.6)</t>
  </si>
  <si>
    <t xml:space="preserve">Guide book to the ruins of Quirigua / by Sylvanus G. Morley.</t>
  </si>
  <si>
    <t xml:space="preserve">Morley, Sylvanus Griswold, 1883-1948.</t>
  </si>
  <si>
    <t xml:space="preserve">Guide book to the ruins of Quirigua /</t>
  </si>
  <si>
    <t xml:space="preserve">(OCoLC)ocm01843467</t>
  </si>
  <si>
    <t xml:space="preserve">Carnegie institution of Washington,</t>
  </si>
  <si>
    <t xml:space="preserve">AS32.A513 NO.16</t>
  </si>
  <si>
    <t xml:space="preserve">AS   32            A 513   NO .16</t>
  </si>
  <si>
    <t xml:space="preserve">10/9/2007</t>
  </si>
  <si>
    <t xml:space="preserve">KontinuitaÂ¿Â¿t-DiskontinuitaÂ¿Â¿t in den Geisteswissenschaften. Hrsg. u. eingel. v. Hans TruÂ¿Â¿mpy.</t>
  </si>
  <si>
    <t xml:space="preserve">KontinuitaÂ¿Â¿t-DiskontinuitaÂ¿Â¿t in den Geisteswissenschaften.</t>
  </si>
  <si>
    <t xml:space="preserve">(OCoLC)ocm00881698</t>
  </si>
  <si>
    <t xml:space="preserve">Wissenschaftliche Buchgesellschaft,</t>
  </si>
  <si>
    <t xml:space="preserve">AS322.S38 K66</t>
  </si>
  <si>
    <t xml:space="preserve">AS  322            S 38   K 66</t>
  </si>
  <si>
    <t xml:space="preserve">Resumes des travaux publies par l'Academie des sciences de Bulgarie en ...</t>
  </si>
  <si>
    <t xml:space="preserve">(OCoLC)ocm29779877</t>
  </si>
  <si>
    <t xml:space="preserve">AS343 .S6134</t>
  </si>
  <si>
    <t xml:space="preserve">AS  343            S 6134</t>
  </si>
  <si>
    <t xml:space="preserve">1944-1950</t>
  </si>
  <si>
    <t xml:space="preserve">1951-1952</t>
  </si>
  <si>
    <t xml:space="preserve">1953-1955</t>
  </si>
  <si>
    <t xml:space="preserve">1956-1957</t>
  </si>
  <si>
    <t xml:space="preserve">STO GODNI BULGARSKA AKADEMIIA</t>
  </si>
  <si>
    <t xml:space="preserve">BuÂ¿Â¿lgarska akademiiÂ¿Â¿Â¿aÂ¿Â¿Â¿ na naukite. TÂ¿Â¿Â¿SÂ¿Â¿Â¿entralna biblioteka.</t>
  </si>
  <si>
    <t xml:space="preserve">se 00001719</t>
  </si>
  <si>
    <t xml:space="preserve">AS343 .S6174</t>
  </si>
  <si>
    <t xml:space="preserve">AS  343            S 6174</t>
  </si>
  <si>
    <t xml:space="preserve">BULGARSKA AKADEMIIA NA NAUKITE.</t>
  </si>
  <si>
    <t xml:space="preserve">Bozhkov, StoiÂ¿Â¿ko</t>
  </si>
  <si>
    <t xml:space="preserve">se 00001720</t>
  </si>
  <si>
    <t xml:space="preserve">AS343 .S6182</t>
  </si>
  <si>
    <t xml:space="preserve">AS  343            S 6182</t>
  </si>
  <si>
    <t xml:space="preserve">Excellence and equity : the National Endowment for the Humanities / Stephen Miller.</t>
  </si>
  <si>
    <t xml:space="preserve">Miller, Stephen, 1941-</t>
  </si>
  <si>
    <t xml:space="preserve">Excellence and equity : the National Endowment for the Humanities /</t>
  </si>
  <si>
    <t xml:space="preserve">0813115043 :</t>
  </si>
  <si>
    <t xml:space="preserve">(OCoLC)ocm10072650</t>
  </si>
  <si>
    <t xml:space="preserve">University Press of Kentucky,</t>
  </si>
  <si>
    <t xml:space="preserve">AS35 .M551984</t>
  </si>
  <si>
    <t xml:space="preserve">AS   35            M 551984</t>
  </si>
  <si>
    <t xml:space="preserve">Bulletin American Council of Learned Societies.</t>
  </si>
  <si>
    <t xml:space="preserve">American Council of Learned Societies.</t>
  </si>
  <si>
    <t xml:space="preserve">Bulletin</t>
  </si>
  <si>
    <t xml:space="preserve">(OCoLC)ocm01479720</t>
  </si>
  <si>
    <t xml:space="preserve">1920-1957.</t>
  </si>
  <si>
    <t xml:space="preserve">Institute of International Education,</t>
  </si>
  <si>
    <t xml:space="preserve">AS36 .A4855</t>
  </si>
  <si>
    <t xml:space="preserve">AS   36            A 4855</t>
  </si>
  <si>
    <t xml:space="preserve">v.48</t>
  </si>
  <si>
    <t xml:space="preserve">v.36-40</t>
  </si>
  <si>
    <t xml:space="preserve">v.29-35</t>
  </si>
  <si>
    <t xml:space="preserve">v.26-28</t>
  </si>
  <si>
    <t xml:space="preserve">v.21-25</t>
  </si>
  <si>
    <t xml:space="preserve">v.11-15</t>
  </si>
  <si>
    <t xml:space="preserve">v.1-10</t>
  </si>
  <si>
    <t xml:space="preserve">PROCEEDINGS</t>
  </si>
  <si>
    <t xml:space="preserve">ARKANSAS ACADEMY OF SCIENCE</t>
  </si>
  <si>
    <t xml:space="preserve">se 01011399</t>
  </si>
  <si>
    <t xml:space="preserve">AS36 .A78</t>
  </si>
  <si>
    <t xml:space="preserve">AS   36            A 78</t>
  </si>
  <si>
    <t xml:space="preserve">v.7-8</t>
  </si>
  <si>
    <t xml:space="preserve">STUDIES IN ARTICULATION OF HIGH SCHOOL AND COLLEGE, WITH SPECIAL REFERENCE TO THE SUPERIOR STUDENT.</t>
  </si>
  <si>
    <t xml:space="preserve">Jones, Edward S. (Edward Safford), 1888-</t>
  </si>
  <si>
    <t xml:space="preserve">se 01011401</t>
  </si>
  <si>
    <t xml:space="preserve">AS36 .B95VOL.9</t>
  </si>
  <si>
    <t xml:space="preserve">AS   36            B 95 VOL .9</t>
  </si>
  <si>
    <t xml:space="preserve">Economics of the Iroquois, by Sara Henry Stites.</t>
  </si>
  <si>
    <t xml:space="preserve">Stites, Sara Henry, 1877-</t>
  </si>
  <si>
    <t xml:space="preserve">Economics of the Iroquois,</t>
  </si>
  <si>
    <t xml:space="preserve">(OCoLC)ocm02922216</t>
  </si>
  <si>
    <t xml:space="preserve">AS36 .B9VOL.1NO.3</t>
  </si>
  <si>
    <t xml:space="preserve">AS   36            B 9 VOL .1 NO .3</t>
  </si>
  <si>
    <t xml:space="preserve">5/25/2006</t>
  </si>
  <si>
    <t xml:space="preserve">Quest of American life, by George Norlin.</t>
  </si>
  <si>
    <t xml:space="preserve">Norlin, George, 1871-1942.</t>
  </si>
  <si>
    <t xml:space="preserve">Quest of American life,</t>
  </si>
  <si>
    <t xml:space="preserve">(OCoLC)ocm02462682</t>
  </si>
  <si>
    <t xml:space="preserve">AS36 .C63VOL.2NO.3</t>
  </si>
  <si>
    <t xml:space="preserve">AS   36            C 63 VOL .2 NO .3</t>
  </si>
  <si>
    <t xml:space="preserve">Elizabethan studies and other essays in honor of George F. Reynolds.</t>
  </si>
  <si>
    <t xml:space="preserve">(OCoLC)ocm02723345</t>
  </si>
  <si>
    <t xml:space="preserve">AS36 .C63VOL.2NO4</t>
  </si>
  <si>
    <t xml:space="preserve">AS   36            C 63 VOL .2 NO 4</t>
  </si>
  <si>
    <t xml:space="preserve">Emporia State research studies / Kansas State Teachers College.</t>
  </si>
  <si>
    <t xml:space="preserve">Emporia State research studies /</t>
  </si>
  <si>
    <t xml:space="preserve">(OCoLC)ocm01567844</t>
  </si>
  <si>
    <t xml:space="preserve">1952-</t>
  </si>
  <si>
    <t xml:space="preserve">Graduate Division of the Kansas State Teachers College,</t>
  </si>
  <si>
    <t xml:space="preserve">AS36 .E55</t>
  </si>
  <si>
    <t xml:space="preserve">AS   36            E 55</t>
  </si>
  <si>
    <t xml:space="preserve">v.31:no.1(1982 Summer)</t>
  </si>
  <si>
    <t xml:space="preserve">v.30:no.4(1982 Spring)</t>
  </si>
  <si>
    <t xml:space="preserve">v.30:no.3(1982 Winter)</t>
  </si>
  <si>
    <t xml:space="preserve">v.30:no.2(1981 Fall)</t>
  </si>
  <si>
    <t xml:space="preserve">v.30:no.1(1981 Summer)</t>
  </si>
  <si>
    <t xml:space="preserve">v.29:no.4(1981 Spring)</t>
  </si>
  <si>
    <t xml:space="preserve">v.29:no.3(1981 Winter)</t>
  </si>
  <si>
    <t xml:space="preserve">v.29:no.2(1980 Fall)</t>
  </si>
  <si>
    <t xml:space="preserve">v.29:no.1(1980 Summer)</t>
  </si>
  <si>
    <t xml:space="preserve">v.28:no.4(1980 Spring)</t>
  </si>
  <si>
    <t xml:space="preserve">v.28:no.3(1980 Winter)</t>
  </si>
  <si>
    <t xml:space="preserve">v.28:no.1(1979 Summer)</t>
  </si>
  <si>
    <t xml:space="preserve">v.27:no.4(1979 Spring)</t>
  </si>
  <si>
    <t xml:space="preserve">v.27:no.3(1979 Winter)</t>
  </si>
  <si>
    <t xml:space="preserve">v.27:no.2(1978 Fall)</t>
  </si>
  <si>
    <t xml:space="preserve">v.27:no.1(1978 Summer)</t>
  </si>
  <si>
    <t xml:space="preserve">v.26:no.4(1978 Spring)</t>
  </si>
  <si>
    <t xml:space="preserve">v.26:no.3(1978 Winter)</t>
  </si>
  <si>
    <t xml:space="preserve">v.26:no.2(1977 Fall)</t>
  </si>
  <si>
    <t xml:space="preserve">v.26:no.1(1977 Summer)</t>
  </si>
  <si>
    <t xml:space="preserve">v.25:no.4(1977 Spring)</t>
  </si>
  <si>
    <t xml:space="preserve">v.25:no.3(1977 Winter)</t>
  </si>
  <si>
    <t xml:space="preserve">v.25:no.2(1976 Fall)</t>
  </si>
  <si>
    <t xml:space="preserve">v.25:no.1(1976 Summer)</t>
  </si>
  <si>
    <t xml:space="preserve">v.24:no.4(1976 Spring)</t>
  </si>
  <si>
    <t xml:space="preserve">v.24:no.3(1976 Winter)</t>
  </si>
  <si>
    <t xml:space="preserve">v.24:no.2(1975 Fall)</t>
  </si>
  <si>
    <t xml:space="preserve">v.24:no.1(1975 Summer)</t>
  </si>
  <si>
    <t xml:space="preserve">v.23:no.4(1975 Spring)</t>
  </si>
  <si>
    <t xml:space="preserve">v.23:no.3(1975 Winter)</t>
  </si>
  <si>
    <t xml:space="preserve">v.23:no.2(1974 Fall)</t>
  </si>
  <si>
    <t xml:space="preserve">v.23:no.1(1974 Summer)</t>
  </si>
  <si>
    <t xml:space="preserve">v.22:no.4(1974 Spring)</t>
  </si>
  <si>
    <t xml:space="preserve">v.22:no.3(1974 Winter)</t>
  </si>
  <si>
    <t xml:space="preserve">v.22:no.2(1973 Fall)</t>
  </si>
  <si>
    <t xml:space="preserve">v.22:no.1(1973 Summer)</t>
  </si>
  <si>
    <t xml:space="preserve">v.21:no.4(1973 Spring)</t>
  </si>
  <si>
    <t xml:space="preserve">v.21:no.3(1973 Winter)</t>
  </si>
  <si>
    <t xml:space="preserve">v.21:no.2(1972 Fall)</t>
  </si>
  <si>
    <t xml:space="preserve">v.21:no.1(1972 Summer)</t>
  </si>
  <si>
    <t xml:space="preserve">v.20:no.4(1972 Jun)</t>
  </si>
  <si>
    <t xml:space="preserve">v.20:no.3(1972 Mar)</t>
  </si>
  <si>
    <t xml:space="preserve">v.20:no.2(1972 Dec)</t>
  </si>
  <si>
    <t xml:space="preserve">v.20:no.1(1971 Sep)</t>
  </si>
  <si>
    <t xml:space="preserve">v.19:no.4(1971 Jun)</t>
  </si>
  <si>
    <t xml:space="preserve">v.19:no.3(1971 Mar)</t>
  </si>
  <si>
    <t xml:space="preserve">v.19:no.1(1970 Sep)</t>
  </si>
  <si>
    <t xml:space="preserve">v.18:no.4(1970 Jun)</t>
  </si>
  <si>
    <t xml:space="preserve">v.18:no.3(1970 Mar)</t>
  </si>
  <si>
    <t xml:space="preserve">v.18:no.2(1969 Dec)</t>
  </si>
  <si>
    <t xml:space="preserve">v.18:no.1(1969 Sep)</t>
  </si>
  <si>
    <t xml:space="preserve">v.17:no.3(1969 Mar)</t>
  </si>
  <si>
    <t xml:space="preserve">v.17:no.2(1968 Dec)</t>
  </si>
  <si>
    <t xml:space="preserve">v.17:no.1(1968 Sep)</t>
  </si>
  <si>
    <t xml:space="preserve">v.13:no.3(1965 Mar)</t>
  </si>
  <si>
    <t xml:space="preserve">v.13:no.2(1964 Dec)</t>
  </si>
  <si>
    <t xml:space="preserve">v.12:no.1(1963 Sep)</t>
  </si>
  <si>
    <t xml:space="preserve">v.39:no.1(1992 Fall)</t>
  </si>
  <si>
    <t xml:space="preserve">v.38:no.3(1992 Summer)</t>
  </si>
  <si>
    <t xml:space="preserve">v.38:no.2(1992 Spring)</t>
  </si>
  <si>
    <t xml:space="preserve">v.38:no.1(1989 Summer)</t>
  </si>
  <si>
    <t xml:space="preserve">v.37:no.4(1989 Spring)</t>
  </si>
  <si>
    <t xml:space="preserve">v.37:no.3(1989 Winter)</t>
  </si>
  <si>
    <t xml:space="preserve">v.37:no.2(1988 Fall)</t>
  </si>
  <si>
    <t xml:space="preserve">v.37:no.1(1988 Summer)</t>
  </si>
  <si>
    <t xml:space="preserve">v.36:no.4(1988 Spring)</t>
  </si>
  <si>
    <t xml:space="preserve">v.36:no.3(1988 Winter)</t>
  </si>
  <si>
    <t xml:space="preserve">v.36:no.2(1987 Fall)</t>
  </si>
  <si>
    <t xml:space="preserve">v.36:no.1(1987 Summer)</t>
  </si>
  <si>
    <t xml:space="preserve">v.35:no.4(1987 Spring)</t>
  </si>
  <si>
    <t xml:space="preserve">v.35:no.3(1987 Winter)</t>
  </si>
  <si>
    <t xml:space="preserve">v.35:no.2(1986 Fall)</t>
  </si>
  <si>
    <t xml:space="preserve">v.35:no.1(1986 Summer)</t>
  </si>
  <si>
    <t xml:space="preserve">v.34:no.4(1986 Spring)</t>
  </si>
  <si>
    <t xml:space="preserve">v.34:no.2-3(1985 Fall)</t>
  </si>
  <si>
    <t xml:space="preserve">v.34:no.1(1985 Summer)</t>
  </si>
  <si>
    <t xml:space="preserve">v.33:no.4(1985 Spring)</t>
  </si>
  <si>
    <t xml:space="preserve">v.33:no.3(1985 Winter)</t>
  </si>
  <si>
    <t xml:space="preserve">v.33:no.2(1984 Fall)</t>
  </si>
  <si>
    <t xml:space="preserve">v.32:no.4(1984 Spring)</t>
  </si>
  <si>
    <t xml:space="preserve">v.32:no.3(1984 Winter)</t>
  </si>
  <si>
    <t xml:space="preserve">v.32:no.2(1983 Fall)</t>
  </si>
  <si>
    <t xml:space="preserve">v.32:no.1(1983 Summer)</t>
  </si>
  <si>
    <t xml:space="preserve">v.31:no.4(1983 Spring)</t>
  </si>
  <si>
    <t xml:space="preserve">v.31:no.3(1983 Winter)</t>
  </si>
  <si>
    <t xml:space="preserve">v.31:no.2(1982 Fall)</t>
  </si>
  <si>
    <t xml:space="preserve">Emporia State research studies.</t>
  </si>
  <si>
    <t xml:space="preserve">(OCoLC)ocm44417088</t>
  </si>
  <si>
    <t xml:space="preserve">1999-</t>
  </si>
  <si>
    <t xml:space="preserve">Office of Graduate Studies, The University,</t>
  </si>
  <si>
    <t xml:space="preserve">v.41(1999)</t>
  </si>
  <si>
    <t xml:space="preserve">Independence, convergence, and borrowing in institutions, thought, and art.</t>
  </si>
  <si>
    <t xml:space="preserve">Harvard Tercentenary Conference of Arts and Sciences (1936 : Cambridge, Mass.)</t>
  </si>
  <si>
    <t xml:space="preserve">(OCoLC)ocm00068237</t>
  </si>
  <si>
    <t xml:space="preserve">[1970, c1964]</t>
  </si>
  <si>
    <t xml:space="preserve">Russell &amp; Russell</t>
  </si>
  <si>
    <t xml:space="preserve">AS36 .H251936G</t>
  </si>
  <si>
    <t xml:space="preserve">AS   36            H 251936 G</t>
  </si>
  <si>
    <t xml:space="preserve">Defoe in the pillory, and other studies.</t>
  </si>
  <si>
    <t xml:space="preserve">Moore, John Robert, 1890-1973.</t>
  </si>
  <si>
    <t xml:space="preserve">(OCoLC)ocm00703954</t>
  </si>
  <si>
    <t xml:space="preserve">1973 [c1939]</t>
  </si>
  <si>
    <t xml:space="preserve">Octagon Books,</t>
  </si>
  <si>
    <t xml:space="preserve">AS36 .I385 no.1 1939r</t>
  </si>
  <si>
    <t xml:space="preserve">AS   36            I 385   NO .1   1939 R</t>
  </si>
  <si>
    <t xml:space="preserve">Studies in Theodor Storm, by Elmer Otto Wooley ...</t>
  </si>
  <si>
    <t xml:space="preserve">Wooley, Elmer Otto, 1883-</t>
  </si>
  <si>
    <t xml:space="preserve">Studies in Theodor Storm,</t>
  </si>
  <si>
    <t xml:space="preserve">(OCoLC)ocm02322444</t>
  </si>
  <si>
    <t xml:space="preserve">[1943]</t>
  </si>
  <si>
    <t xml:space="preserve">Indiana University,</t>
  </si>
  <si>
    <t xml:space="preserve">AS36 .I385 no.10</t>
  </si>
  <si>
    <t xml:space="preserve">AS   36            I 385   NO .10</t>
  </si>
  <si>
    <t xml:space="preserve">11/28/2006</t>
  </si>
  <si>
    <t xml:space="preserve">Peter Hausted, playwright, poet, and preacher, by Laurens J. Mills.</t>
  </si>
  <si>
    <t xml:space="preserve">Mills, Laurens Joseph.</t>
  </si>
  <si>
    <t xml:space="preserve">Peter Hausted, playwright, poet, and preacher,</t>
  </si>
  <si>
    <t xml:space="preserve">(OCoLC)ocm00854760</t>
  </si>
  <si>
    <t xml:space="preserve">[1944]</t>
  </si>
  <si>
    <t xml:space="preserve">Indiana university</t>
  </si>
  <si>
    <t xml:space="preserve">AS36 .I385 no.12</t>
  </si>
  <si>
    <t xml:space="preserve">AS   36            I 385   NO .12</t>
  </si>
  <si>
    <t xml:space="preserve">Modernization of Robert Henryson's Testament of Cresseid, with an introduction and notes by Marshall W. Stearns.</t>
  </si>
  <si>
    <t xml:space="preserve">Henryson, Robert, 1430?-1506?</t>
  </si>
  <si>
    <t xml:space="preserve">Modernization of Robert Henryson's Testament of Cresseid,</t>
  </si>
  <si>
    <t xml:space="preserve">(OCoLC)ocm00857741</t>
  </si>
  <si>
    <t xml:space="preserve">AS36 .I385 no.13</t>
  </si>
  <si>
    <t xml:space="preserve">AS   36            I 385   NO .13</t>
  </si>
  <si>
    <t xml:space="preserve">Paul Hervieu and French classicism, by Hulet H. Cook.</t>
  </si>
  <si>
    <t xml:space="preserve">Cook, Hulet Hall, 1894-</t>
  </si>
  <si>
    <t xml:space="preserve">Paul Hervieu and French classicism,</t>
  </si>
  <si>
    <t xml:space="preserve">(OCoLC)ocm00857840</t>
  </si>
  <si>
    <t xml:space="preserve">AS36 .I385 no.14</t>
  </si>
  <si>
    <t xml:space="preserve">AS   36            I 385   NO .14</t>
  </si>
  <si>
    <t xml:space="preserve">Napoleon; or, The man of the world. With introd. and notes by Frank Davidson.</t>
  </si>
  <si>
    <t xml:space="preserve">Emerson, Ralph Waldo, 1803-1882.</t>
  </si>
  <si>
    <t xml:space="preserve">Napoleon; or, The man of the world.</t>
  </si>
  <si>
    <t xml:space="preserve">(OCoLC)ocm00192908</t>
  </si>
  <si>
    <t xml:space="preserve">Indiana Univ.</t>
  </si>
  <si>
    <t xml:space="preserve">AS36 .I385 no.16</t>
  </si>
  <si>
    <t xml:space="preserve">AS   36            I 385   NO .16</t>
  </si>
  <si>
    <t xml:space="preserve">2/11/2009</t>
  </si>
  <si>
    <t xml:space="preserve">Measured and the not-yet-measured, the seer, by William Lowe Bryan.</t>
  </si>
  <si>
    <t xml:space="preserve">Bryan, William Lowe, 1860-1955</t>
  </si>
  <si>
    <t xml:space="preserve">Measured and the not-yet-measured, the seer,</t>
  </si>
  <si>
    <t xml:space="preserve">(OCoLC)ocm00860547</t>
  </si>
  <si>
    <t xml:space="preserve">AS36 .I385 no.17</t>
  </si>
  <si>
    <t xml:space="preserve">AS   36            I 385   NO .17</t>
  </si>
  <si>
    <t xml:space="preserve">Thomas Watts, archdeacon of Middlesex (and Edmund Spenser) by Alexander Corbin Judson ...</t>
  </si>
  <si>
    <t xml:space="preserve">Judson, Alexander Corbin, 1883-</t>
  </si>
  <si>
    <t xml:space="preserve">Thomas Watts, archdeacon of Middlesex (and Edmund Spenser)</t>
  </si>
  <si>
    <t xml:space="preserve">(OCoLC)ocm01870529</t>
  </si>
  <si>
    <t xml:space="preserve">[1939]</t>
  </si>
  <si>
    <t xml:space="preserve">AS36 .I385 no.2</t>
  </si>
  <si>
    <t xml:space="preserve">AS   36            I 385   NO .2</t>
  </si>
  <si>
    <t xml:space="preserve">Notes on the life of Edmund Spenser.</t>
  </si>
  <si>
    <t xml:space="preserve">(OCoLC)ocm00857671</t>
  </si>
  <si>
    <t xml:space="preserve">Indiana University</t>
  </si>
  <si>
    <t xml:space="preserve">AS36 .I385 no.20</t>
  </si>
  <si>
    <t xml:space="preserve">AS   36            I 385   NO .20</t>
  </si>
  <si>
    <t xml:space="preserve">Goethe bicentennial studies by members of the faculty of Indiana University; edited by H. J Meessen.</t>
  </si>
  <si>
    <t xml:space="preserve">Indiana University.</t>
  </si>
  <si>
    <t xml:space="preserve">Goethe bicentennial studies by members of the faculty of Indiana University;</t>
  </si>
  <si>
    <t xml:space="preserve">(OCoLC)ocm00857891</t>
  </si>
  <si>
    <t xml:space="preserve">AS36 .I385 no.22</t>
  </si>
  <si>
    <t xml:space="preserve">AS   36            I 385   NO .22</t>
  </si>
  <si>
    <t xml:space="preserve">Age of Pirandello.</t>
  </si>
  <si>
    <t xml:space="preserve">MacClintock, Lander, 1889-</t>
  </si>
  <si>
    <t xml:space="preserve">(OCoLC)ocm00857984</t>
  </si>
  <si>
    <t xml:space="preserve">AS36 .I385 no.25 1968</t>
  </si>
  <si>
    <t xml:space="preserve">AS   36            I 385   NO .25   1968</t>
  </si>
  <si>
    <t xml:space="preserve">Whitman and Rolleston : a correspondence, edited with an introd. and notes by Horst Frenz.</t>
  </si>
  <si>
    <t xml:space="preserve">Whitman, Walt, 1819-1892.</t>
  </si>
  <si>
    <t xml:space="preserve">Whitman and Rolleston : a correspondence,</t>
  </si>
  <si>
    <t xml:space="preserve">(OCoLC)ocm00813531</t>
  </si>
  <si>
    <t xml:space="preserve">AS36 .I385 no.26</t>
  </si>
  <si>
    <t xml:space="preserve">AS   36            I 385   NO .26</t>
  </si>
  <si>
    <t xml:space="preserve">Senilis amor, edited and translated by Laurens J. Mills.</t>
  </si>
  <si>
    <t xml:space="preserve">Senilis amor,</t>
  </si>
  <si>
    <t xml:space="preserve">(OCoLC)ocm00860476</t>
  </si>
  <si>
    <t xml:space="preserve">AS36 .I385 no.27</t>
  </si>
  <si>
    <t xml:space="preserve">AS   36            I 385   NO .27</t>
  </si>
  <si>
    <t xml:space="preserve">Plato's mathematical imagination; the mathematical passages in the dialogues and their interpretation.</t>
  </si>
  <si>
    <t xml:space="preserve">Brumbaugh, Robert Sherrick, 1918-</t>
  </si>
  <si>
    <t xml:space="preserve">(OCoLC)ocm00424392</t>
  </si>
  <si>
    <t xml:space="preserve">Kraus Reprint Corp.,</t>
  </si>
  <si>
    <t xml:space="preserve">AS36 .I385 no.29 1968</t>
  </si>
  <si>
    <t xml:space="preserve">AS   36            I 385   NO .29   1968</t>
  </si>
  <si>
    <t xml:space="preserve">Plato's mathematical imagination : the mathematical passages in the dialogues and their interpretation / by Robert S. Brumbaugh.</t>
  </si>
  <si>
    <t xml:space="preserve">Plato's mathematical imagination : the mathematical passages in the dialogues and their interpretation /</t>
  </si>
  <si>
    <t xml:space="preserve">(OCoLC)ocm03059494</t>
  </si>
  <si>
    <t xml:space="preserve">Kraus Reprint,</t>
  </si>
  <si>
    <t xml:space="preserve">AS36 .I385 no.29 1977</t>
  </si>
  <si>
    <t xml:space="preserve">AS   36            I 385   NO .29   1977</t>
  </si>
  <si>
    <t xml:space="preserve">10/10/2005</t>
  </si>
  <si>
    <t xml:space="preserve">Geoffrey Fenton's Histoire of Guicciardin, by Rudolf B. Gottfried ...</t>
  </si>
  <si>
    <t xml:space="preserve">Gottfried, Rudolf Brand.</t>
  </si>
  <si>
    <t xml:space="preserve">Geoffrey Fenton's Histoire of Guicciardin,</t>
  </si>
  <si>
    <t xml:space="preserve">(OCoLC)ocm01062073</t>
  </si>
  <si>
    <t xml:space="preserve">AS36 .I385 no.3</t>
  </si>
  <si>
    <t xml:space="preserve">AS   36            I 385   NO .3</t>
  </si>
  <si>
    <t xml:space="preserve">Gli Asolani / translated by Rudolf B. Gottfried.</t>
  </si>
  <si>
    <t xml:space="preserve">Bembo, Pietro, 1470-1547.</t>
  </si>
  <si>
    <t xml:space="preserve">Gli Asolani /</t>
  </si>
  <si>
    <t xml:space="preserve">(OCoLC)ocm32494999</t>
  </si>
  <si>
    <t xml:space="preserve">Indiana University Press,</t>
  </si>
  <si>
    <t xml:space="preserve">AS36 .I385 no.31</t>
  </si>
  <si>
    <t xml:space="preserve">AS   36            I 385   NO .31</t>
  </si>
  <si>
    <t xml:space="preserve">PriÂ¿Â¿ncipe despenÂ¿Â¿ado : a critical and annotated edition of the autograph manuscript / by Henry W. Hoge.</t>
  </si>
  <si>
    <t xml:space="preserve">Vega, Lope de, 1562-1635.</t>
  </si>
  <si>
    <t xml:space="preserve">PriÂ¿Â¿ncipe despenÂ¿Â¿ado : a critical and annotated edition of the autograph manuscript /</t>
  </si>
  <si>
    <t xml:space="preserve">(OCoLC)ocm00859993</t>
  </si>
  <si>
    <t xml:space="preserve">AS36 .I385 no.33</t>
  </si>
  <si>
    <t xml:space="preserve">AS   36            I 385   NO .33</t>
  </si>
  <si>
    <t xml:space="preserve">Enquiry into the behavior of the Queen's last ministry. Edited by Irvin Ehrenpreis.</t>
  </si>
  <si>
    <t xml:space="preserve">Swift, Jonathan, 1667-1745.</t>
  </si>
  <si>
    <t xml:space="preserve">Enquiry into the behavior of the Queen's last ministry.</t>
  </si>
  <si>
    <t xml:space="preserve">(OCoLC)ocm00829985</t>
  </si>
  <si>
    <t xml:space="preserve">Indiana University Press</t>
  </si>
  <si>
    <t xml:space="preserve">AS36 .I385 no.36</t>
  </si>
  <si>
    <t xml:space="preserve">AS   36            I 385   NO .36</t>
  </si>
  <si>
    <t xml:space="preserve">Mexican corrido as a source for interpretive study of modern Mexico, 1870-1950 / Merle Edwin Simmons.</t>
  </si>
  <si>
    <t xml:space="preserve">Simmons, Merle Edwin, 1918-</t>
  </si>
  <si>
    <t xml:space="preserve">Mexican corrido as a source for interpretive study of modern Mexico, 1870-1950 /</t>
  </si>
  <si>
    <t xml:space="preserve">(OCoLC)ocm07334214</t>
  </si>
  <si>
    <t xml:space="preserve">AS36 .I385 no.38 1969</t>
  </si>
  <si>
    <t xml:space="preserve">AS   36            I 385   NO .38   1969</t>
  </si>
  <si>
    <t xml:space="preserve">Lloyd-Manning letters. Edited by Frederick L. Beaty.</t>
  </si>
  <si>
    <t xml:space="preserve">Lloyd, Charles, 1775-1839.</t>
  </si>
  <si>
    <t xml:space="preserve">Lloyd-Manning letters.</t>
  </si>
  <si>
    <t xml:space="preserve">(OCoLC)ocm00861097</t>
  </si>
  <si>
    <t xml:space="preserve">AS36 .I385 no.39</t>
  </si>
  <si>
    <t xml:space="preserve">AS   36            I 385   NO .39</t>
  </si>
  <si>
    <t xml:space="preserve">Stages on Sartre's way, 1938-52.</t>
  </si>
  <si>
    <t xml:space="preserve">Champigny, Robert, 1922-</t>
  </si>
  <si>
    <t xml:space="preserve">(OCoLC)ocm00407871</t>
  </si>
  <si>
    <t xml:space="preserve">AS36 .I385 no.42 1968</t>
  </si>
  <si>
    <t xml:space="preserve">AS   36            I 385   NO .42   1968</t>
  </si>
  <si>
    <t xml:space="preserve">On the threshold of liberty; journal of a Frenchman's tour of the American Colonies in 1777. Translated from the original ms. by Edward D. Seeber.</t>
  </si>
  <si>
    <t xml:space="preserve">On the threshold of liberty; journal of a Frenchman's tour of the American Colonies in 1777.</t>
  </si>
  <si>
    <t xml:space="preserve">(OCoLC)ocm00371472</t>
  </si>
  <si>
    <t xml:space="preserve">AS36 .I385 no.43</t>
  </si>
  <si>
    <t xml:space="preserve">AS   36            I 385   NO .43</t>
  </si>
  <si>
    <t xml:space="preserve">Dictionary of Middle English musical terms. [Edited by George B. Gerhard and others]</t>
  </si>
  <si>
    <t xml:space="preserve">Carter, Henry Holland, 1884-</t>
  </si>
  <si>
    <t xml:space="preserve">Dictionary of Middle English musical terms.</t>
  </si>
  <si>
    <t xml:space="preserve">(OCoLC)ocm00860075</t>
  </si>
  <si>
    <t xml:space="preserve">AS36 .I385 no.45 1961r</t>
  </si>
  <si>
    <t xml:space="preserve">AS   36            I 385   NO .45   1961 R</t>
  </si>
  <si>
    <t xml:space="preserve">Apology for the middle class; the dramatic novels of Thomas Deloney.</t>
  </si>
  <si>
    <t xml:space="preserve">Lawlis, Merritt E., 1918-</t>
  </si>
  <si>
    <t xml:space="preserve">(OCoLC)ocm00371469</t>
  </si>
  <si>
    <t xml:space="preserve">AS36 .I385 no.46</t>
  </si>
  <si>
    <t xml:space="preserve">AS   36            I 385   NO .46</t>
  </si>
  <si>
    <t xml:space="preserve">Checklist of the writings of Daniel Defoe.</t>
  </si>
  <si>
    <t xml:space="preserve">Moore, John Robert, 1890-</t>
  </si>
  <si>
    <t xml:space="preserve">(OCoLC)ocm00371468</t>
  </si>
  <si>
    <t xml:space="preserve">AS36 .I385 no.47</t>
  </si>
  <si>
    <t xml:space="preserve">AS   36            I 385   NO .47</t>
  </si>
  <si>
    <t xml:space="preserve">Instructed vision; Scottish common sense philosophy and the origins of American fiction.</t>
  </si>
  <si>
    <t xml:space="preserve">Martin, Terence</t>
  </si>
  <si>
    <t xml:space="preserve">(OCoLC)ocm00857975</t>
  </si>
  <si>
    <t xml:space="preserve">AS36 .I385 no.48</t>
  </si>
  <si>
    <t xml:space="preserve">AS   36            I 385   NO .48</t>
  </si>
  <si>
    <t xml:space="preserve">Epistulae: a critical edition, by Selatie Edgar Stout.</t>
  </si>
  <si>
    <t xml:space="preserve">Pliny, the Younger.</t>
  </si>
  <si>
    <t xml:space="preserve">Epistulae: a critical edition,</t>
  </si>
  <si>
    <t xml:space="preserve">(OCoLC)ocm00845244</t>
  </si>
  <si>
    <t xml:space="preserve">AS36 .I385 no.49</t>
  </si>
  <si>
    <t xml:space="preserve">AS   36            I 385   NO .49</t>
  </si>
  <si>
    <t xml:space="preserve">Wordsworth and Jeffrey in controversy / by Russell Noyes.</t>
  </si>
  <si>
    <t xml:space="preserve">Noyes, Russell, 1901-</t>
  </si>
  <si>
    <t xml:space="preserve">Wordsworth and Jeffrey in controversy /</t>
  </si>
  <si>
    <t xml:space="preserve">(OCoLC)ocm00285810</t>
  </si>
  <si>
    <t xml:space="preserve">[1941?]</t>
  </si>
  <si>
    <t xml:space="preserve">AS36 .I385 no.5</t>
  </si>
  <si>
    <t xml:space="preserve">AS   36            I 385   NO .5</t>
  </si>
  <si>
    <t xml:space="preserve">Voltaire &amp; D'Alembert.</t>
  </si>
  <si>
    <t xml:space="preserve">Pappas, John N. (John Nicholas), 1921-</t>
  </si>
  <si>
    <t xml:space="preserve">(OCoLC)ocm00610864</t>
  </si>
  <si>
    <t xml:space="preserve">AS36 .I385 no.50</t>
  </si>
  <si>
    <t xml:space="preserve">AS   36            I 385   NO .50</t>
  </si>
  <si>
    <t xml:space="preserve">Saint-Evremond; the honneÂ¿Â¿te homme as critic.</t>
  </si>
  <si>
    <t xml:space="preserve">Hope, Quentin M. (Quentin Manning)</t>
  </si>
  <si>
    <t xml:space="preserve">(OCoLC)ocm00872210</t>
  </si>
  <si>
    <t xml:space="preserve">AS36 .I385 no.51</t>
  </si>
  <si>
    <t xml:space="preserve">AS   36            I 385   NO .51</t>
  </si>
  <si>
    <t xml:space="preserve">Cult of optimism.</t>
  </si>
  <si>
    <t xml:space="preserve">Vickery, Walter N., 1921-</t>
  </si>
  <si>
    <t xml:space="preserve">(OCoLC)ocm00371467</t>
  </si>
  <si>
    <t xml:space="preserve">AS36 .I385 no.52</t>
  </si>
  <si>
    <t xml:space="preserve">AS   36            I 385   NO .52</t>
  </si>
  <si>
    <t xml:space="preserve">Charles Lamb: the evolution of Elia.</t>
  </si>
  <si>
    <t xml:space="preserve">Barnett, George Leonard.</t>
  </si>
  <si>
    <t xml:space="preserve">(OCoLC)ocm00371465</t>
  </si>
  <si>
    <t xml:space="preserve">AS36 .I385 no.53</t>
  </si>
  <si>
    <t xml:space="preserve">AS   36            I 385   NO .53</t>
  </si>
  <si>
    <t xml:space="preserve">Drama and commitment; politics in the American theatre of the thirties.</t>
  </si>
  <si>
    <t xml:space="preserve">Rabkin, Gerald,</t>
  </si>
  <si>
    <t xml:space="preserve">(OCoLC)ocm00861726</t>
  </si>
  <si>
    <t xml:space="preserve">AS36 .I385 no.54</t>
  </si>
  <si>
    <t xml:space="preserve">AS   36            I 385   NO .54</t>
  </si>
  <si>
    <t xml:space="preserve">Quest for certitude in E.M. Forster's fiction.</t>
  </si>
  <si>
    <t xml:space="preserve">Shusterman, David</t>
  </si>
  <si>
    <t xml:space="preserve">(OCoLC)ocm00371475</t>
  </si>
  <si>
    <t xml:space="preserve">AS36 .I385 no.58</t>
  </si>
  <si>
    <t xml:space="preserve">AS   36            I 385   NO .58</t>
  </si>
  <si>
    <t xml:space="preserve">Ensayo de una bibliografiÂ¿Â¿a de las leyendas troyanas en la literatura espanÂ¿Â¿ola, por Agapito Rey y Antonio GarciÂ¿Â¿a Solalinde.</t>
  </si>
  <si>
    <t xml:space="preserve">Rey, Agapito,</t>
  </si>
  <si>
    <t xml:space="preserve">Ensayo de una bibliografiÂ¿Â¿a de las leyendas troyanas en la literatura espanÂ¿Â¿ola,</t>
  </si>
  <si>
    <t xml:space="preserve">(OCoLC)ocm00853675</t>
  </si>
  <si>
    <t xml:space="preserve">[1942]</t>
  </si>
  <si>
    <t xml:space="preserve">AS36 .I385 no.6</t>
  </si>
  <si>
    <t xml:space="preserve">AS   36            I 385   NO .6</t>
  </si>
  <si>
    <t xml:space="preserve">Musical notations of the Orient; notational systems of Continental, East, South and Central Asia.</t>
  </si>
  <si>
    <t xml:space="preserve">Kaufmann, Walter, 1907-</t>
  </si>
  <si>
    <t xml:space="preserve">(OCoLC)ocm00862266</t>
  </si>
  <si>
    <t xml:space="preserve">AS36 .I385 no.60</t>
  </si>
  <si>
    <t xml:space="preserve">AS   36            I 385   NO .60</t>
  </si>
  <si>
    <t xml:space="preserve">John Bunyan in America, by David E. Smith.</t>
  </si>
  <si>
    <t xml:space="preserve">Smith, David E.</t>
  </si>
  <si>
    <t xml:space="preserve">John Bunyan in America,</t>
  </si>
  <si>
    <t xml:space="preserve">(OCoLC)ocm00371477</t>
  </si>
  <si>
    <t xml:space="preserve">AS36 .I385 no.61</t>
  </si>
  <si>
    <t xml:space="preserve">AS   36            I 385   NO .61</t>
  </si>
  <si>
    <t xml:space="preserve">Langdon Warner through his letters, edited by Theodore Bowie.</t>
  </si>
  <si>
    <t xml:space="preserve">Bowie, Theodore Robert.</t>
  </si>
  <si>
    <t xml:space="preserve">Langdon Warner through his letters,</t>
  </si>
  <si>
    <t xml:space="preserve">(OCoLC)ocm00163537</t>
  </si>
  <si>
    <t xml:space="preserve">AS36 .I385 no.62</t>
  </si>
  <si>
    <t xml:space="preserve">AS   36            I 385   NO .62</t>
  </si>
  <si>
    <t xml:space="preserve">Matthew Arnold; a study of the aesthetic temperament in Victorian England, by William A. Madden.</t>
  </si>
  <si>
    <t xml:space="preserve">Madden, William Anthony, 1923-</t>
  </si>
  <si>
    <t xml:space="preserve">Matthew Arnold; a study of the aesthetic temperament in Victorian England,</t>
  </si>
  <si>
    <t xml:space="preserve">(OCoLC)ocm00594688</t>
  </si>
  <si>
    <t xml:space="preserve">AS36 .I385 no.63</t>
  </si>
  <si>
    <t xml:space="preserve">AS   36            I 385   NO .63</t>
  </si>
  <si>
    <t xml:space="preserve">Keys to Lolita [by] Carl R. Proffer.</t>
  </si>
  <si>
    <t xml:space="preserve">Proffer, Carl R.</t>
  </si>
  <si>
    <t xml:space="preserve">Keys to Lolita</t>
  </si>
  <si>
    <t xml:space="preserve">(OCoLC)ocm00036288</t>
  </si>
  <si>
    <t xml:space="preserve">AS36 .I385 no.64</t>
  </si>
  <si>
    <t xml:space="preserve">AS   36            I 385   NO .64</t>
  </si>
  <si>
    <t xml:space="preserve">3/21/2005</t>
  </si>
  <si>
    <t xml:space="preserve">3/29/2006</t>
  </si>
  <si>
    <t xml:space="preserve">Wordsworth and the art of landscape.</t>
  </si>
  <si>
    <t xml:space="preserve">Noyes, Russell.</t>
  </si>
  <si>
    <t xml:space="preserve">(OCoLC)ocm00872135</t>
  </si>
  <si>
    <t xml:space="preserve">AS36 .I385 no.65</t>
  </si>
  <si>
    <t xml:space="preserve">AS   36            I 385   NO .65</t>
  </si>
  <si>
    <t xml:space="preserve">Prince of publishers; a study of the work and career of Jacob Tonson [by] Harry M. Geduld.</t>
  </si>
  <si>
    <t xml:space="preserve">Geduld, Harry M.</t>
  </si>
  <si>
    <t xml:space="preserve">Prince of publishers; a study of the work and career of Jacob Tonson</t>
  </si>
  <si>
    <t xml:space="preserve">(OCoLC)ocm00046347</t>
  </si>
  <si>
    <t xml:space="preserve">AS36 .I385 no.66</t>
  </si>
  <si>
    <t xml:space="preserve">AS   36            I 385   NO .66</t>
  </si>
  <si>
    <t xml:space="preserve">William Williams: novelist and painter of colonial America, 1727-1791.</t>
  </si>
  <si>
    <t xml:space="preserve">Dickason, David Howard.</t>
  </si>
  <si>
    <t xml:space="preserve">(OCoLC)ocm00115753</t>
  </si>
  <si>
    <t xml:space="preserve">AS36 .I385 no.67</t>
  </si>
  <si>
    <t xml:space="preserve">AS   36            I 385   NO .67</t>
  </si>
  <si>
    <t xml:space="preserve">T. S. Eliot; the literary and social criticism.</t>
  </si>
  <si>
    <t xml:space="preserve">Austin, Allen, 1922-</t>
  </si>
  <si>
    <t xml:space="preserve">(OCoLC)ocm00278860</t>
  </si>
  <si>
    <t xml:space="preserve">AS36 .I385 no.68</t>
  </si>
  <si>
    <t xml:space="preserve">AS   36            I 385   NO .68</t>
  </si>
  <si>
    <t xml:space="preserve">Unhappy few; a psychological study of the novels of Stendhal, by Gilbert D. Chaitin.</t>
  </si>
  <si>
    <t xml:space="preserve">Chaitin, Gilbert D.</t>
  </si>
  <si>
    <t xml:space="preserve">Unhappy few; a psychological study of the novels of Stendhal,</t>
  </si>
  <si>
    <t xml:space="preserve">(OCoLC)ocm00403148</t>
  </si>
  <si>
    <t xml:space="preserve">[1972]</t>
  </si>
  <si>
    <t xml:space="preserve">AS36 .I385 no.69</t>
  </si>
  <si>
    <t xml:space="preserve">AS   36            I 385   NO .69</t>
  </si>
  <si>
    <t xml:space="preserve">Tibetan Buddhist chant : musical notations and interpretations of a song book by the Bkah Brgyud Pa and Sa Skya Pa sects / Walter Kaufmann ; translations from the Tibetan by Thubten Jigme Norbu.</t>
  </si>
  <si>
    <t xml:space="preserve">Tibetan Buddhist chant : musical notations and interpretations of a song book by the Bkah Brgyud Pa and Sa Skya Pa sects /</t>
  </si>
  <si>
    <t xml:space="preserve">025336017X</t>
  </si>
  <si>
    <t xml:space="preserve">(OCoLC)ocm01253800</t>
  </si>
  <si>
    <t xml:space="preserve">AS36 .I385 no.70</t>
  </si>
  <si>
    <t xml:space="preserve">AS   36            I 385   NO .70</t>
  </si>
  <si>
    <t xml:space="preserve">Historia destructionis Troiae. Translated with an introd. and notes, by Mary Elizabeth Meek.</t>
  </si>
  <si>
    <t xml:space="preserve">Colonne, Guido delle, 13th cent.</t>
  </si>
  <si>
    <t xml:space="preserve">Historia destructionis Troiae.</t>
  </si>
  <si>
    <t xml:space="preserve">(OCoLC)ocm00858107</t>
  </si>
  <si>
    <t xml:space="preserve">AS36 .I385 no.71</t>
  </si>
  <si>
    <t xml:space="preserve">AS   36            I 385   NO .71</t>
  </si>
  <si>
    <t xml:space="preserve">10/23/2011</t>
  </si>
  <si>
    <t xml:space="preserve">Ontological reduction.</t>
  </si>
  <si>
    <t xml:space="preserve">Grossmann, Reinhardt, 1931-</t>
  </si>
  <si>
    <t xml:space="preserve">(OCoLC)ocm00802739</t>
  </si>
  <si>
    <t xml:space="preserve">AS36 .I385 no.72</t>
  </si>
  <si>
    <t xml:space="preserve">AS   36            I 385   NO .72</t>
  </si>
  <si>
    <t xml:space="preserve">Nature and necessity; an essay in physical ontology.</t>
  </si>
  <si>
    <t xml:space="preserve">Fisk, Milton</t>
  </si>
  <si>
    <t xml:space="preserve">(OCoLC)ocm00864605</t>
  </si>
  <si>
    <t xml:space="preserve">[1974, c1973]</t>
  </si>
  <si>
    <t xml:space="preserve">AS36 .I385 no.73</t>
  </si>
  <si>
    <t xml:space="preserve">AS   36            I 385   NO .73</t>
  </si>
  <si>
    <t xml:space="preserve">Defoe's sources for Robert Drury's journal, by John Robert Moore.</t>
  </si>
  <si>
    <t xml:space="preserve">Defoe's sources for Robert Drury's journal,</t>
  </si>
  <si>
    <t xml:space="preserve">(OCoLC)ocm01746601</t>
  </si>
  <si>
    <t xml:space="preserve">AS36 .I385 no.9</t>
  </si>
  <si>
    <t xml:space="preserve">AS   36            I 385   NO .9</t>
  </si>
  <si>
    <t xml:space="preserve">Illinois Constitutional convention of 1862, by O. M. Dickerson ...</t>
  </si>
  <si>
    <t xml:space="preserve">Dickerson, Oliver Morton, 1875-</t>
  </si>
  <si>
    <t xml:space="preserve">Illinois Constitutional convention of 1862,</t>
  </si>
  <si>
    <t xml:space="preserve">(OCoLC)ocm01870472</t>
  </si>
  <si>
    <t xml:space="preserve">University press,</t>
  </si>
  <si>
    <t xml:space="preserve">AS36 .I3VOL.1NO.9</t>
  </si>
  <si>
    <t xml:space="preserve">AS   36            I 3 VOL .1 NO .9</t>
  </si>
  <si>
    <t xml:space="preserve">Illinois libraries, by Katharine L. Sharp.</t>
  </si>
  <si>
    <t xml:space="preserve">Sharp, Katharine L. (Katharine Lucinda), 1865-1914</t>
  </si>
  <si>
    <t xml:space="preserve">Illinois libraries,</t>
  </si>
  <si>
    <t xml:space="preserve">(OCoLC)ocm02455480</t>
  </si>
  <si>
    <t xml:space="preserve">1906-08.</t>
  </si>
  <si>
    <t xml:space="preserve">University of Illinois,</t>
  </si>
  <si>
    <t xml:space="preserve">AS36 .I3VOL.2NO.136-8</t>
  </si>
  <si>
    <t xml:space="preserve">AS   36            I 3 VOL .2 NO .136 8</t>
  </si>
  <si>
    <t xml:space="preserve">Studies from the Geological department.</t>
  </si>
  <si>
    <t xml:space="preserve">University of Illinois (Urbana-Champaign campus). Dept. of Geology and Geography.</t>
  </si>
  <si>
    <t xml:space="preserve">(OCoLC)ocm02462396</t>
  </si>
  <si>
    <t xml:space="preserve">[1909]</t>
  </si>
  <si>
    <t xml:space="preserve">University press</t>
  </si>
  <si>
    <t xml:space="preserve">AS36 .I3VOL.3NO.2</t>
  </si>
  <si>
    <t xml:space="preserve">AS   36            I 3 VOL .3 NO .2</t>
  </si>
  <si>
    <t xml:space="preserve">Systematic and biological study of the Acarina of Illinois, by H.E. Ewing.</t>
  </si>
  <si>
    <t xml:space="preserve">Ewing, Henry Ellsworth, 1883-</t>
  </si>
  <si>
    <t xml:space="preserve">Systematic and biological study of the Acarina of Illinois,</t>
  </si>
  <si>
    <t xml:space="preserve">(OCoLC)ocm02462386</t>
  </si>
  <si>
    <t xml:space="preserve">[c1910]</t>
  </si>
  <si>
    <t xml:space="preserve">AS36 .I3VOL.3NO.6</t>
  </si>
  <si>
    <t xml:space="preserve">AS   36            I 3 VOL .3 NO .6</t>
  </si>
  <si>
    <t xml:space="preserve">ORIGIN OF THE LAND GRANT ACT OF 1862</t>
  </si>
  <si>
    <t xml:space="preserve">James, Edmund J. (Edmund Janes), 1855-1925.</t>
  </si>
  <si>
    <t xml:space="preserve">se 01011422</t>
  </si>
  <si>
    <t xml:space="preserve">AS36 .I3VOL.4NO.1</t>
  </si>
  <si>
    <t xml:space="preserve">AS   36            I 3 VOL .4 NO .1</t>
  </si>
  <si>
    <t xml:space="preserve">Gall wasp genus Cynips; a study in the origin of species, by Alfred C. Kinsey ...</t>
  </si>
  <si>
    <t xml:space="preserve">Kinsey, Alfred C. (Alfred Charles), 1894-1956.</t>
  </si>
  <si>
    <t xml:space="preserve">Gall wasp genus Cynips; a study in the origin of species,</t>
  </si>
  <si>
    <t xml:space="preserve">(OCoLC)ocm01870860</t>
  </si>
  <si>
    <t xml:space="preserve">1930]</t>
  </si>
  <si>
    <t xml:space="preserve">AS36 .I4VOL.16NO.84-86</t>
  </si>
  <si>
    <t xml:space="preserve">AS   36            I 4 VOL .16 NO .84 86</t>
  </si>
  <si>
    <t xml:space="preserve">Allocation of economic resources; essays in honor of Bernard Francis Haley, by Moses Abromovitz [and others]</t>
  </si>
  <si>
    <t xml:space="preserve">Allocation of economic resources; essays in honor of Bernard Francis Haley,</t>
  </si>
  <si>
    <t xml:space="preserve">(OCoLC)ocm00287348</t>
  </si>
  <si>
    <t xml:space="preserve">[1959]</t>
  </si>
  <si>
    <t xml:space="preserve">Stanford University Press</t>
  </si>
  <si>
    <t xml:space="preserve">AS36 .L54VOL.171964</t>
  </si>
  <si>
    <t xml:space="preserve">AS   36            L 54 VOL .171964</t>
  </si>
  <si>
    <t xml:space="preserve">Saints in arms; puritanism and democracy in Cromwell's army.</t>
  </si>
  <si>
    <t xml:space="preserve">Solt, Leo Frank, 1921-</t>
  </si>
  <si>
    <t xml:space="preserve">(OCoLC)ocm00203894</t>
  </si>
  <si>
    <t xml:space="preserve">AS36 .L54VOL.18</t>
  </si>
  <si>
    <t xml:space="preserve">AS   36            L 54 VOL .18</t>
  </si>
  <si>
    <t xml:space="preserve">Huang Hsing and the Chinese revolution / ChuÂ¿Â¿n-tu HsuÂ¿Â¿eh.</t>
  </si>
  <si>
    <t xml:space="preserve">HsuÂ¿Â¿eh, ChuÂ¿Â¿n-tu, 1922-</t>
  </si>
  <si>
    <t xml:space="preserve">Huang Hsing and the Chinese revolution /</t>
  </si>
  <si>
    <t xml:space="preserve">(OCoLC)ocm00411957</t>
  </si>
  <si>
    <t xml:space="preserve">c1961.</t>
  </si>
  <si>
    <t xml:space="preserve">AS36 .L54VOL.20</t>
  </si>
  <si>
    <t xml:space="preserve">AS   36            L 54 VOL .20</t>
  </si>
  <si>
    <t xml:space="preserve">Diplomacy and Indian gifts; Anglo-French rivalry along the Ohio and Northwest frontiers, 1748-1763.</t>
  </si>
  <si>
    <t xml:space="preserve">Jacobs, Wilbur R.</t>
  </si>
  <si>
    <t xml:space="preserve">(OCoLC)ocm00371498</t>
  </si>
  <si>
    <t xml:space="preserve">AS36 .L54VOL.6NO.2</t>
  </si>
  <si>
    <t xml:space="preserve">AS   36            L 54 VOL .6 NO .2</t>
  </si>
  <si>
    <t xml:space="preserve">Religion and art of William Hale White (Mark Rutherford) / Wilfred Healey Stone</t>
  </si>
  <si>
    <t xml:space="preserve">Stone, Wilfred Healey, 1917-</t>
  </si>
  <si>
    <t xml:space="preserve">Religion and art of William Hale White (Mark Rutherford) /</t>
  </si>
  <si>
    <t xml:space="preserve">(OCoLC)ocm14338985</t>
  </si>
  <si>
    <t xml:space="preserve">Stanford University Press ; G. Cumberlege, Oxford University Press,</t>
  </si>
  <si>
    <t xml:space="preserve">AS36 .L55VOL.12</t>
  </si>
  <si>
    <t xml:space="preserve">AS   36            L 55 VOL .12</t>
  </si>
  <si>
    <t xml:space="preserve">Smollett's hoax: Don Quixote in English.</t>
  </si>
  <si>
    <t xml:space="preserve">Linsalata, Carmine Rocco.</t>
  </si>
  <si>
    <t xml:space="preserve">(OCoLC)ocm00371526</t>
  </si>
  <si>
    <t xml:space="preserve">AS36 .L55VOL.14</t>
  </si>
  <si>
    <t xml:space="preserve">AS   36            L 55 VOL .14</t>
  </si>
  <si>
    <t xml:space="preserve">Quest for the Holy Grail; a literary study of a thirteenth-century French romance.</t>
  </si>
  <si>
    <t xml:space="preserve">Locke, Frederick W.</t>
  </si>
  <si>
    <t xml:space="preserve">(OCoLC)ocm00802016</t>
  </si>
  <si>
    <t xml:space="preserve">AS36 .L55VOL.21</t>
  </si>
  <si>
    <t xml:space="preserve">AS   36            L 55 VOL .21</t>
  </si>
  <si>
    <t xml:space="preserve">1/23/2004</t>
  </si>
  <si>
    <t xml:space="preserve">Anthology of critical prefaces to the nineteenth-century French novel [by] Herbert S. Gershman and Kernan B. Whitworth, Jr.</t>
  </si>
  <si>
    <t xml:space="preserve">Gershman, Herbert S.</t>
  </si>
  <si>
    <t xml:space="preserve">Anthology of critical prefaces to the nineteenth-century French novel</t>
  </si>
  <si>
    <t xml:space="preserve">(OCoLC)ocm00330199</t>
  </si>
  <si>
    <t xml:space="preserve">[1962]</t>
  </si>
  <si>
    <t xml:space="preserve">University of Missouri Press</t>
  </si>
  <si>
    <t xml:space="preserve">AS36 .M32V.67</t>
  </si>
  <si>
    <t xml:space="preserve">AS   36            M 32 V .67</t>
  </si>
  <si>
    <t xml:space="preserve">Isoelectric point for plant tissue and its importance in absorption and toxicity / by William J. Robbins. Parasitic and wood-destroying fungi of Boone County, Missouri / by Willis E. Maneval.</t>
  </si>
  <si>
    <t xml:space="preserve">Robbins, William Jacob, 1890-</t>
  </si>
  <si>
    <t xml:space="preserve">Isoelectric point for plant tissue and its importance in absorption and toxicity /</t>
  </si>
  <si>
    <t xml:space="preserve">(OCoLC)ocm02495255</t>
  </si>
  <si>
    <t xml:space="preserve">University of Missouri,</t>
  </si>
  <si>
    <t xml:space="preserve">AS36 .M82 vol.1</t>
  </si>
  <si>
    <t xml:space="preserve">AS   36            M 82   VOL .1</t>
  </si>
  <si>
    <t xml:space="preserve">9/8/2003</t>
  </si>
  <si>
    <t xml:space="preserve">Transformation of the Euler condition in the calculus of variations / by Lee Horace McFarlan. An extension of the theory of envelopes [by] Finis Omer Duncan.</t>
  </si>
  <si>
    <t xml:space="preserve">McFarlan, Lee Horace, 1895-</t>
  </si>
  <si>
    <t xml:space="preserve">Transformation of the Euler condition in the calculus of variations /</t>
  </si>
  <si>
    <t xml:space="preserve">(OCoLC)ocm01948903</t>
  </si>
  <si>
    <t xml:space="preserve">Origin of chert and flint, by William Arthur Tarr.</t>
  </si>
  <si>
    <t xml:space="preserve">Tarr, William Arthur, 1881-1939.</t>
  </si>
  <si>
    <t xml:space="preserve">Origin of chert and flint,</t>
  </si>
  <si>
    <t xml:space="preserve">(OCoLC)ocm01284550</t>
  </si>
  <si>
    <t xml:space="preserve">The University of Missouri,</t>
  </si>
  <si>
    <t xml:space="preserve">Geography of the St. Francis basin, by Samuel Tilden Bratton.</t>
  </si>
  <si>
    <t xml:space="preserve">BRATTON, SAMUEL TILDEN.</t>
  </si>
  <si>
    <t xml:space="preserve">Geography of the St. Francis basin,</t>
  </si>
  <si>
    <t xml:space="preserve">(OCoLC)ocm02495752</t>
  </si>
  <si>
    <t xml:space="preserve">Public arbitration in Athenian law / by Hansen Carmine Harrell.</t>
  </si>
  <si>
    <t xml:space="preserve">Harrell, Hansen Carmine, 1907-</t>
  </si>
  <si>
    <t xml:space="preserve">Public arbitration in Athenian law /</t>
  </si>
  <si>
    <t xml:space="preserve">(OCoLC)ocm01240002</t>
  </si>
  <si>
    <t xml:space="preserve">AS36 .M82 vol.11</t>
  </si>
  <si>
    <t xml:space="preserve">AS   36            M 82   VOL .11</t>
  </si>
  <si>
    <t xml:space="preserve">Township organization in Missouri, 1936.</t>
  </si>
  <si>
    <t xml:space="preserve">Bradshaw, William Leonard, 1896-</t>
  </si>
  <si>
    <t xml:space="preserve">Township organization in Missouri,</t>
  </si>
  <si>
    <t xml:space="preserve">(OCoLC)ocm02498740</t>
  </si>
  <si>
    <t xml:space="preserve">Philological studies in honor of Walter Miller, edited by Rodney Potter Robinson.</t>
  </si>
  <si>
    <t xml:space="preserve">Philological studies in honor of Walter Miller,</t>
  </si>
  <si>
    <t xml:space="preserve">(OCoLC)ocm01387417</t>
  </si>
  <si>
    <t xml:space="preserve">Diplomatic history of the Bagdad railroad by John B. Wolf.</t>
  </si>
  <si>
    <t xml:space="preserve">Wolf, John Baptist, 1907-</t>
  </si>
  <si>
    <t xml:space="preserve">Diplomatic history of the Bagdad railroad</t>
  </si>
  <si>
    <t xml:space="preserve">(OCoLC)ocm02495942</t>
  </si>
  <si>
    <t xml:space="preserve">Survey of the resident game and fur-bearers of Missouri, by Rudolf Bennitt and Werner O. Nagel.</t>
  </si>
  <si>
    <t xml:space="preserve">Bennitt, Rudolf, 1898-</t>
  </si>
  <si>
    <t xml:space="preserve">Survey of the resident game and fur-bearers of Missouri,</t>
  </si>
  <si>
    <t xml:space="preserve">(OCoLC)ocm02503372</t>
  </si>
  <si>
    <t xml:space="preserve">AS36 .M82 vol.12</t>
  </si>
  <si>
    <t xml:space="preserve">AS   36            M 82   VOL .12</t>
  </si>
  <si>
    <t xml:space="preserve">List of Missouri fungi; with special reference to plant pathogens and wood-destroying species.</t>
  </si>
  <si>
    <t xml:space="preserve">Maneval, Willis Edgar, 1877-</t>
  </si>
  <si>
    <t xml:space="preserve">(OCoLC)ocm02496010</t>
  </si>
  <si>
    <t xml:space="preserve">Shakespeare and the arts of design (architecture, sculpture, and painting).</t>
  </si>
  <si>
    <t xml:space="preserve">Fairchild, Arthur Henry Rolph, 1875-</t>
  </si>
  <si>
    <t xml:space="preserve">(OCoLC)ocm02503362</t>
  </si>
  <si>
    <t xml:space="preserve">Administration of public printing in the states / by Estal E. Sparlin...</t>
  </si>
  <si>
    <t xml:space="preserve">Sparlin, Estal Earnest.</t>
  </si>
  <si>
    <t xml:space="preserve">Administration of public printing in the states /</t>
  </si>
  <si>
    <t xml:space="preserve">(OCoLC)ocm20435288</t>
  </si>
  <si>
    <t xml:space="preserve">Distance geometries; a study of the development of abstract metrics [by] Leonard M. Blumenthal. With an introduction by Karl Menger.</t>
  </si>
  <si>
    <t xml:space="preserve">Blumenthal, Leonard M. (Leonard Mascot), 1901-</t>
  </si>
  <si>
    <t xml:space="preserve">Distance geometries; a study of the development of abstract metrics</t>
  </si>
  <si>
    <t xml:space="preserve">(OCoLC)ocm01314827</t>
  </si>
  <si>
    <t xml:space="preserve">AS36 .M82 vol.13</t>
  </si>
  <si>
    <t xml:space="preserve">AS   36            M 82   VOL .13</t>
  </si>
  <si>
    <t xml:space="preserve">3/10/2006</t>
  </si>
  <si>
    <t xml:space="preserve">Mark Twain lexicon, by Robert L. Ramsay and Frances Guthrie Emberson.</t>
  </si>
  <si>
    <t xml:space="preserve">Ramsay, Robert Lee, 1880-1953.</t>
  </si>
  <si>
    <t xml:space="preserve">Mark Twain lexicon,</t>
  </si>
  <si>
    <t xml:space="preserve">(OCoLC)ocm01065587</t>
  </si>
  <si>
    <t xml:space="preserve">Stratigraphy and paleontology of the Lower Mississippian of Missouri.</t>
  </si>
  <si>
    <t xml:space="preserve">Branson, Edwin Bayer, 1877-</t>
  </si>
  <si>
    <t xml:space="preserve">(OCoLC)ocm00424944</t>
  </si>
  <si>
    <t xml:space="preserve">Ballads and songs collected by the Missouri folk-lore society, edited by H. M. Belden ...</t>
  </si>
  <si>
    <t xml:space="preserve">Belden, Henry Marvin, 1865-</t>
  </si>
  <si>
    <t xml:space="preserve">Ballads and songs collected by the Missouri folk-lore society,</t>
  </si>
  <si>
    <t xml:space="preserve">(OCoLC)ocm01572952</t>
  </si>
  <si>
    <t xml:space="preserve">AS36 .M82 vol.15</t>
  </si>
  <si>
    <t xml:space="preserve">AS   36            M 82   VOL .15</t>
  </si>
  <si>
    <t xml:space="preserve">Lewis and Clark: linguistic pioneers, by Elijah Harry Criswell.</t>
  </si>
  <si>
    <t xml:space="preserve">Criswell, Elijah Harry.</t>
  </si>
  <si>
    <t xml:space="preserve">Lewis and Clark: linguistic pioneers,</t>
  </si>
  <si>
    <t xml:space="preserve">(OCoLC)ocm01725877</t>
  </si>
  <si>
    <t xml:space="preserve">The University of Missouri</t>
  </si>
  <si>
    <t xml:space="preserve">Secret societies: a cultural study of fraternalism in the United States, by Noel P. Gist ... Foreword by Melville J. Herskovits ...</t>
  </si>
  <si>
    <t xml:space="preserve">Gist, Noel Pitts, 1899-</t>
  </si>
  <si>
    <t xml:space="preserve">Secret societies: a cultural study of fraternalism in the United States,</t>
  </si>
  <si>
    <t xml:space="preserve">(OCoLC)ocm02498747</t>
  </si>
  <si>
    <t xml:space="preserve">Effect of exercise on the recovery of motor function in the rat / by G. Hamilton Crook.</t>
  </si>
  <si>
    <t xml:space="preserve">Crook, G. Hamilton (Guy Hamilton)</t>
  </si>
  <si>
    <t xml:space="preserve">Effect of exercise on the recovery of motor function in the rat /</t>
  </si>
  <si>
    <t xml:space="preserve">(OCoLC)ocm02487854</t>
  </si>
  <si>
    <t xml:space="preserve">Catullian influence in English lyric poetry, circa 1600-1650.</t>
  </si>
  <si>
    <t xml:space="preserve">Emperor, John Bernard.</t>
  </si>
  <si>
    <t xml:space="preserve">(OCoLC)ocm02495779</t>
  </si>
  <si>
    <t xml:space="preserve">AS36 .M82 vol.3</t>
  </si>
  <si>
    <t xml:space="preserve">AS   36            M 82   VOL .3</t>
  </si>
  <si>
    <t xml:space="preserve">Studies in the physico-chemical behavior of bacteria / by Allen E. Stearn and Esther Wagner Stearn.</t>
  </si>
  <si>
    <t xml:space="preserve">Stearn, Allen E. (Allen Edwin), 1894-</t>
  </si>
  <si>
    <t xml:space="preserve">Studies in the physico-chemical behavior of bacteria /</t>
  </si>
  <si>
    <t xml:space="preserve">(OCoLC)ocm02495303</t>
  </si>
  <si>
    <t xml:space="preserve">Modern dramatic structure, by Dorothy Juanita Kaucher ...</t>
  </si>
  <si>
    <t xml:space="preserve">Kaucher, Dorothy, 1892-</t>
  </si>
  <si>
    <t xml:space="preserve">Modern dramatic structure,</t>
  </si>
  <si>
    <t xml:space="preserve">(OCoLC)ocm28163879</t>
  </si>
  <si>
    <t xml:space="preserve">Pseudopalatus pristinus, a new genus and species of phytosaurs from Arizona, by M.G. Mehl. Some observations on the geography and geology of middle-eastern Costa Rica, by E.B. Branson.</t>
  </si>
  <si>
    <t xml:space="preserve">Mehl, Maurice Goldsmith, 1887-</t>
  </si>
  <si>
    <t xml:space="preserve">Pseudopalatus pristinus, a new genus and species of phytosaurs from Arizona,</t>
  </si>
  <si>
    <t xml:space="preserve">(OCoLC)ocm02490788</t>
  </si>
  <si>
    <t xml:space="preserve">List of Algae from Columbia, Mo., by Francis Drouet ... Common bryophytes of the vicinity of Columbia, Mo., by R. E. Zirkle ... J. W. Cunningham, and H. W. Rickett ...</t>
  </si>
  <si>
    <t xml:space="preserve">Drouet, Francis, 1907-</t>
  </si>
  <si>
    <t xml:space="preserve">List of Algae from Columbia, Mo.,</t>
  </si>
  <si>
    <t xml:space="preserve">(OCoLC)ocm01443886</t>
  </si>
  <si>
    <t xml:space="preserve">AS36 .M82 vol.5</t>
  </si>
  <si>
    <t xml:space="preserve">AS   36            M 82   VOL .5</t>
  </si>
  <si>
    <t xml:space="preserve">2/24/2010</t>
  </si>
  <si>
    <t xml:space="preserve">Cappadocia as a Roman procuratorial province, William Emmett Gwatkin, jr. ...</t>
  </si>
  <si>
    <t xml:space="preserve">GWATKIN, WILLIAM EMMETT, 1900-</t>
  </si>
  <si>
    <t xml:space="preserve">Cappadocia as a Roman procuratorial province,</t>
  </si>
  <si>
    <t xml:space="preserve">(OCoLC)ocm02498779</t>
  </si>
  <si>
    <t xml:space="preserve">Construction of object pronouns in the works of modern Spanish writers, by Mary Evaline Buffum.</t>
  </si>
  <si>
    <t xml:space="preserve">BUFFUM, MARY EVALINE.</t>
  </si>
  <si>
    <t xml:space="preserve">Construction of object pronouns in the works of modern Spanish writers,</t>
  </si>
  <si>
    <t xml:space="preserve">(OCoLC)ocm00560311</t>
  </si>
  <si>
    <t xml:space="preserve">Paleontology and stratigraphy of the Phosphoria formation.</t>
  </si>
  <si>
    <t xml:space="preserve">Branson, Carl C. (Carl Colton), 1906-</t>
  </si>
  <si>
    <t xml:space="preserve">(OCoLC)ocm02498775</t>
  </si>
  <si>
    <t xml:space="preserve">Conodont studies ... by E. B. Branson ... and M. G. Mehl.</t>
  </si>
  <si>
    <t xml:space="preserve">Conodont studies ...</t>
  </si>
  <si>
    <t xml:space="preserve">(OCoLC)ocm05823055</t>
  </si>
  <si>
    <t xml:space="preserve">1933-</t>
  </si>
  <si>
    <t xml:space="preserve">AS36 .M82 vol.8-9</t>
  </si>
  <si>
    <t xml:space="preserve">AS   36            M 82   VOL .8 9</t>
  </si>
  <si>
    <t xml:space="preserve">Public utility franchise in Missouri; the relation of the short-term franchise as an instrument of public utility regulation to the issue of centralization versus decentralization in state administration, by J. Rhodes Foster ...</t>
  </si>
  <si>
    <t xml:space="preserve">Foster, Jay Rhoads, 1906-</t>
  </si>
  <si>
    <t xml:space="preserve">Public utility franchise in Missouri; the relation of the short-term franchise as an instrument of public utility regulation to the issue of centraliz</t>
  </si>
  <si>
    <t xml:space="preserve">(OCoLC)ocm01878603</t>
  </si>
  <si>
    <t xml:space="preserve">Introduction to a survey of Missouri place-names, by Robert L. Ramsey, Allen Walker Read and Esther Gladys Leech.</t>
  </si>
  <si>
    <t xml:space="preserve">Ramsay, Robert Lee, 1880-</t>
  </si>
  <si>
    <t xml:space="preserve">Introduction to a survey of Missouri place-names,</t>
  </si>
  <si>
    <t xml:space="preserve">(OCoLC)ocm02495872</t>
  </si>
  <si>
    <t xml:space="preserve">Fitting into a silent world; the first six years of life, by Max F. Meyer.</t>
  </si>
  <si>
    <t xml:space="preserve">Meyer, Max F. (Max Friedrich), 1873-1967</t>
  </si>
  <si>
    <t xml:space="preserve">Fitting into a silent world; the first six years of life,</t>
  </si>
  <si>
    <t xml:space="preserve">(OCoLC)ocm02495849</t>
  </si>
  <si>
    <t xml:space="preserve">Doctrine of "rebus sic stantibus" in international law, by Chesney Hill.</t>
  </si>
  <si>
    <t xml:space="preserve">Hill, Chesney, 1905-</t>
  </si>
  <si>
    <t xml:space="preserve">Doctrine of "rebus sic stantibus" in international law,</t>
  </si>
  <si>
    <t xml:space="preserve">(OCoLC)ocm01876470</t>
  </si>
  <si>
    <t xml:space="preserve">Neosho, Missouri, under the impact of army camp construction: a dynamic situation, by Lucille T. Kohler.</t>
  </si>
  <si>
    <t xml:space="preserve">Kohler, Lucille Tremlet.</t>
  </si>
  <si>
    <t xml:space="preserve">Neosho, Missouri, under the impact of army camp construction: a dynamic situation,</t>
  </si>
  <si>
    <t xml:space="preserve">(OCoLC)ocm01435690</t>
  </si>
  <si>
    <t xml:space="preserve">AS36 .M82VOL.19NO.4</t>
  </si>
  <si>
    <t xml:space="preserve">AS   36            M 82 VOL .19 NO .4</t>
  </si>
  <si>
    <t xml:space="preserve">French Revolution and the American man of letters / by Esther E, Brown.</t>
  </si>
  <si>
    <t xml:space="preserve">Brown, Esther Ernestine, 1907-</t>
  </si>
  <si>
    <t xml:space="preserve">French Revolution and the American man of letters /</t>
  </si>
  <si>
    <t xml:space="preserve">(OCoLC)ocm00371507</t>
  </si>
  <si>
    <t xml:space="preserve">Curators of the University of Missouri,</t>
  </si>
  <si>
    <t xml:space="preserve">AS36 .M82VOL.24NO.1</t>
  </si>
  <si>
    <t xml:space="preserve">AS   36            M 82 VOL .24 NO .1</t>
  </si>
  <si>
    <t xml:space="preserve">Geography of the Northern Ozark border region in Missouri.</t>
  </si>
  <si>
    <t xml:space="preserve">Collier, James E.</t>
  </si>
  <si>
    <t xml:space="preserve">(OCoLC)ocm00562504</t>
  </si>
  <si>
    <t xml:space="preserve">AS36 .M82VOL.26NO.1</t>
  </si>
  <si>
    <t xml:space="preserve">AS   36            M 82 VOL .26 NO .1</t>
  </si>
  <si>
    <t xml:space="preserve">Romantic novel in Mexico.</t>
  </si>
  <si>
    <t xml:space="preserve">Brushwood, John Stubbs, 1920-</t>
  </si>
  <si>
    <t xml:space="preserve">(OCoLC)ocm01543596</t>
  </si>
  <si>
    <t xml:space="preserve">University of Missouri Studies,</t>
  </si>
  <si>
    <t xml:space="preserve">AS36 .M82VOL.26NO.4</t>
  </si>
  <si>
    <t xml:space="preserve">AS   36            M 82 VOL .26 NO .4</t>
  </si>
  <si>
    <t xml:space="preserve">Grasses of Missouri.</t>
  </si>
  <si>
    <t xml:space="preserve">Kucera, Clair L.</t>
  </si>
  <si>
    <t xml:space="preserve">(OCoLC)ocm00689141</t>
  </si>
  <si>
    <t xml:space="preserve">AS36 .M82VOL.35</t>
  </si>
  <si>
    <t xml:space="preserve">AS   36            M 82 VOL .35</t>
  </si>
  <si>
    <t xml:space="preserve">Land reform in relation to social development, Egypt / Saad M. Gadalla.</t>
  </si>
  <si>
    <t xml:space="preserve">Gadalla, Saad M.</t>
  </si>
  <si>
    <t xml:space="preserve">Land reform in relation to social development, Egypt /</t>
  </si>
  <si>
    <t xml:space="preserve">Reprint ed.</t>
  </si>
  <si>
    <t xml:space="preserve">(OCoLC)ocm00358803</t>
  </si>
  <si>
    <t xml:space="preserve">1970, c1962.</t>
  </si>
  <si>
    <t xml:space="preserve">University of Missouri Press,</t>
  </si>
  <si>
    <t xml:space="preserve">AS36 .M82VOL.39</t>
  </si>
  <si>
    <t xml:space="preserve">AS   36            M 82 VOL .39</t>
  </si>
  <si>
    <t xml:space="preserve">Concordance of JosÂ¿Â¿e HernaÂ¿Â¿ndez' MartiÂ¿Â¿n Fierro [by] Daniel C. Scroggins.</t>
  </si>
  <si>
    <t xml:space="preserve">Scroggins, Daniel C., 1937-</t>
  </si>
  <si>
    <t xml:space="preserve">Concordance of JosÂ¿Â¿e HernaÂ¿Â¿ndez' MartiÂ¿Â¿n Fierro</t>
  </si>
  <si>
    <t xml:space="preserve">082620595X</t>
  </si>
  <si>
    <t xml:space="preserve">(OCoLC)ocm00161376</t>
  </si>
  <si>
    <t xml:space="preserve">AS36 .M82VOL.53</t>
  </si>
  <si>
    <t xml:space="preserve">AS   36            M 82 VOL .53</t>
  </si>
  <si>
    <t xml:space="preserve">Missouri county court; a study of the organization and functions of the county board of supervisors in Missouri, by William Leonard Bradshaw.</t>
  </si>
  <si>
    <t xml:space="preserve">Missouri county court; a study of the organization and functions of the county board of supervisors in Missouri,</t>
  </si>
  <si>
    <t xml:space="preserve">(OCoLC)ocm02053409</t>
  </si>
  <si>
    <t xml:space="preserve">AS36 .M82VOL.6</t>
  </si>
  <si>
    <t xml:space="preserve">AS   36            M 82 VOL .6</t>
  </si>
  <si>
    <t xml:space="preserve">Flora of Columbia, Missouri, by H.W. Rickett.</t>
  </si>
  <si>
    <t xml:space="preserve">Rickett, Harold William, 1896-</t>
  </si>
  <si>
    <t xml:space="preserve">Flora of Columbia, Missouri,</t>
  </si>
  <si>
    <t xml:space="preserve">(OCoLC)ocm02498757</t>
  </si>
  <si>
    <t xml:space="preserve">Daedalus and Thespis : the contributions of the ancient dramatic poets to our knowledge of the arts and crafts of Greece, Vol. 2-3.</t>
  </si>
  <si>
    <t xml:space="preserve">Miller, Walter, 1864-1949</t>
  </si>
  <si>
    <t xml:space="preserve">(OCoLC)ocm29143993</t>
  </si>
  <si>
    <t xml:space="preserve">1931-32.</t>
  </si>
  <si>
    <t xml:space="preserve">AS36 .M82VOL.7</t>
  </si>
  <si>
    <t xml:space="preserve">AS   36            M 82 VOL .7</t>
  </si>
  <si>
    <t xml:space="preserve">Check-list of the birds of Missouri, by Rudolf Bennitt.</t>
  </si>
  <si>
    <t xml:space="preserve">Check-list of the birds of Missouri,</t>
  </si>
  <si>
    <t xml:space="preserve">(OCoLC)ocm02498752</t>
  </si>
  <si>
    <t xml:space="preserve">Supply function for agricultural commodities; a study of the effect of price and weather on the production of potatoes and corn.</t>
  </si>
  <si>
    <t xml:space="preserve">Hartkemeier, Harry P. (Harry Pelle), 1904-</t>
  </si>
  <si>
    <t xml:space="preserve">(OCoLC)ocm02495885</t>
  </si>
  <si>
    <t xml:space="preserve">Uprising of June 20, 1792, by Laura B. Pfeiffer.</t>
  </si>
  <si>
    <t xml:space="preserve">Pfeiffer, Laura Belle, 1862-</t>
  </si>
  <si>
    <t xml:space="preserve">Uprising of June 20, 1792,</t>
  </si>
  <si>
    <t xml:space="preserve">(OCoLC)ocm08014084</t>
  </si>
  <si>
    <t xml:space="preserve">AS36 .N21913VOL.12NO.3</t>
  </si>
  <si>
    <t xml:space="preserve">AS   36            N 21913 VOL .12 NO .3</t>
  </si>
  <si>
    <t xml:space="preserve">Political organization of the Plains Indians, with special reference to the council [by] Maurice Greer Smith, M.A.</t>
  </si>
  <si>
    <t xml:space="preserve">Smith, Maurice Greer.</t>
  </si>
  <si>
    <t xml:space="preserve">Political organization of the Plains Indians, with special reference to the council</t>
  </si>
  <si>
    <t xml:space="preserve">(OCoLC)ocm02546456</t>
  </si>
  <si>
    <t xml:space="preserve">1925]</t>
  </si>
  <si>
    <t xml:space="preserve">[The University,</t>
  </si>
  <si>
    <t xml:space="preserve">AS36 .N2VOL.24NOS.1-2</t>
  </si>
  <si>
    <t xml:space="preserve">AS   36            N 2 VOL .24 NOS .1 2</t>
  </si>
  <si>
    <t xml:space="preserve">English traveller and the movement of ideas, 1660-1723, by R.W. Frantz.</t>
  </si>
  <si>
    <t xml:space="preserve">Frantz, Ray William.</t>
  </si>
  <si>
    <t xml:space="preserve">English traveller and the movement of ideas, 1660-1723,</t>
  </si>
  <si>
    <t xml:space="preserve">(OCoLC)ocm02559282</t>
  </si>
  <si>
    <t xml:space="preserve">The University, 1934]</t>
  </si>
  <si>
    <t xml:space="preserve">AS36 .N2VOL.32/33</t>
  </si>
  <si>
    <t xml:space="preserve">AS   36            N 2 VOL .32 33</t>
  </si>
  <si>
    <t xml:space="preserve">Effectiveness of population policies: alternative methods of statistical inference [by] T. Paul Schultz.</t>
  </si>
  <si>
    <t xml:space="preserve">Schultz, T. Paul.</t>
  </si>
  <si>
    <t xml:space="preserve">Effectiveness of population policies: alternative methods of statistical inference</t>
  </si>
  <si>
    <t xml:space="preserve">(OCoLC)ocm00662483</t>
  </si>
  <si>
    <t xml:space="preserve">Rand Corp.]</t>
  </si>
  <si>
    <t xml:space="preserve">AS36 .NO.4663</t>
  </si>
  <si>
    <t xml:space="preserve">AS   36            NO .4663</t>
  </si>
  <si>
    <t xml:space="preserve">Annals of the Carnegie museum. v. 1- 1901/02-</t>
  </si>
  <si>
    <t xml:space="preserve">Carnegie Museum.</t>
  </si>
  <si>
    <t xml:space="preserve">Annals of the Carnegie museum. v. 1-</t>
  </si>
  <si>
    <t xml:space="preserve">(OCoLC)ocm01448690</t>
  </si>
  <si>
    <t xml:space="preserve">1901]-</t>
  </si>
  <si>
    <t xml:space="preserve">AS36 .P7</t>
  </si>
  <si>
    <t xml:space="preserve">AS   36            P 7</t>
  </si>
  <si>
    <t xml:space="preserve">MEMORIAL OF THE CELEBRATION OF THE CARNEGIE INSTITUTE AT PITTSBURGH, PA., APRIL 11, 12, 13, 1907;</t>
  </si>
  <si>
    <t xml:space="preserve">Carnegie Institute.</t>
  </si>
  <si>
    <t xml:space="preserve">se 00000099</t>
  </si>
  <si>
    <t xml:space="preserve">AS36 .P78</t>
  </si>
  <si>
    <t xml:space="preserve">AS   36            P 78</t>
  </si>
  <si>
    <t xml:space="preserve">POLISH INSTITUTE OF ARTS AND SCIENCES IN AMERICA: ORIGIN AND DEVELOPMENT.</t>
  </si>
  <si>
    <t xml:space="preserve">Polish Institute of Arts and Sciences in America.</t>
  </si>
  <si>
    <t xml:space="preserve">se 00000100</t>
  </si>
  <si>
    <t xml:space="preserve">AS36 .P8434</t>
  </si>
  <si>
    <t xml:space="preserve">AS   36            P 8434</t>
  </si>
  <si>
    <t xml:space="preserve">Thought patterns.</t>
  </si>
  <si>
    <t xml:space="preserve">(OCoLC)ocm00918164</t>
  </si>
  <si>
    <t xml:space="preserve">St. John's University,</t>
  </si>
  <si>
    <t xml:space="preserve">AS36 .S26</t>
  </si>
  <si>
    <t xml:space="preserve">AS   36            S 26</t>
  </si>
  <si>
    <t xml:space="preserve">Abstracts of dissertations.</t>
  </si>
  <si>
    <t xml:space="preserve">St. John's University (New York, N.Y.). Graduate School of Arts and Sciences.</t>
  </si>
  <si>
    <t xml:space="preserve">(OCoLC)ocm02267393</t>
  </si>
  <si>
    <t xml:space="preserve">1941-</t>
  </si>
  <si>
    <t xml:space="preserve">St. John's University Press [etc.],</t>
  </si>
  <si>
    <t xml:space="preserve">AS36 .S263</t>
  </si>
  <si>
    <t xml:space="preserve">AS   36            S 263</t>
  </si>
  <si>
    <t xml:space="preserve">1953-1956</t>
  </si>
  <si>
    <t xml:space="preserve">Ante-bellum attitude of South Carolina towards manufacturing and agriculture / Chauncey Samuel Boucher.</t>
  </si>
  <si>
    <t xml:space="preserve">Boucher, Chauncey Samuel, 1886-1955.</t>
  </si>
  <si>
    <t xml:space="preserve">Ante-bellum attitude of South Carolina towards manufacturing and agriculture /</t>
  </si>
  <si>
    <t xml:space="preserve">(OCoLC)ocm08647600</t>
  </si>
  <si>
    <t xml:space="preserve">1916]</t>
  </si>
  <si>
    <t xml:space="preserve">Washington University,</t>
  </si>
  <si>
    <t xml:space="preserve">AS36 .S355 vol.3</t>
  </si>
  <si>
    <t xml:space="preserve">AS   36            S 355   VOL .3</t>
  </si>
  <si>
    <t xml:space="preserve">4/1/2010</t>
  </si>
  <si>
    <t xml:space="preserve">Sectionalism representation and the electoral question in ante-bellum South Carolina / Chauncey Samuel Boucher. Internal trade of the United States, 1700-1860 / Isaac Lippincott.</t>
  </si>
  <si>
    <t xml:space="preserve">Sectionalism representation and the electoral question in ante-bellum South Carolina /</t>
  </si>
  <si>
    <t xml:space="preserve">(OCoLC)ocm06971193</t>
  </si>
  <si>
    <t xml:space="preserve">AS36 .S355 vol.4 pt.2 no.1</t>
  </si>
  <si>
    <t xml:space="preserve">AS   36            S 355   VOL .4   PT .2   NO .1</t>
  </si>
  <si>
    <t xml:space="preserve">Secession and co-operation movements in South Carolina, 1848 to 1852 / Chauncey Samuel Boucher.</t>
  </si>
  <si>
    <t xml:space="preserve">Secession and co-operation movements in South Carolina, 1848 to 1852 /</t>
  </si>
  <si>
    <t xml:space="preserve">(OCoLC)ocm08855238</t>
  </si>
  <si>
    <t xml:space="preserve">AS36 .S355 vol.5 no.2</t>
  </si>
  <si>
    <t xml:space="preserve">AS   36            S 355   VOL .5   NO .2</t>
  </si>
  <si>
    <t xml:space="preserve">South Carolina and the South on the eve of secession, 1852 to 1860 / Chauncey Samuel Boucher.</t>
  </si>
  <si>
    <t xml:space="preserve">South Carolina and the South on the eve of secession, 1852 to 1860 /</t>
  </si>
  <si>
    <t xml:space="preserve">(OCoLC)ocm12780079</t>
  </si>
  <si>
    <t xml:space="preserve">AS36 .S355 vol.6 no.2</t>
  </si>
  <si>
    <t xml:space="preserve">AS   36            S 355   VOL .6   NO .2</t>
  </si>
  <si>
    <t xml:space="preserve">TAIUS : Texas A &amp; I University studies.</t>
  </si>
  <si>
    <t xml:space="preserve">(OCoLC)ocm01767080</t>
  </si>
  <si>
    <t xml:space="preserve">The University,</t>
  </si>
  <si>
    <t xml:space="preserve">AS36 .T36</t>
  </si>
  <si>
    <t xml:space="preserve">AS   36            T 36</t>
  </si>
  <si>
    <t xml:space="preserve">Studies in honor of Frederick W. Shipley, by his colleagues.</t>
  </si>
  <si>
    <t xml:space="preserve">Washington University (Saint Louis, Mo.).</t>
  </si>
  <si>
    <t xml:space="preserve">Studies in honor of Frederick W. Shipley,</t>
  </si>
  <si>
    <t xml:space="preserve">(OCoLC)ocm02287928</t>
  </si>
  <si>
    <t xml:space="preserve">AS36 .W29</t>
  </si>
  <si>
    <t xml:space="preserve">AS   36            W 29</t>
  </si>
  <si>
    <t xml:space="preserve">(OCoLC)ocm00369379</t>
  </si>
  <si>
    <t xml:space="preserve">AS36 .W291968</t>
  </si>
  <si>
    <t xml:space="preserve">AS   36            W 291968</t>
  </si>
  <si>
    <t xml:space="preserve">New York daily tribune and Passmore Williamson's case : a study in the use of Northern States' rights / by Randall O. Hudson and James C. Duram.</t>
  </si>
  <si>
    <t xml:space="preserve">Hudson, Randall O</t>
  </si>
  <si>
    <t xml:space="preserve">New York daily tribune and Passmore Williamson's case : a study in the use of Northern States' rights /</t>
  </si>
  <si>
    <t xml:space="preserve">(OCoLC)ocm03205713</t>
  </si>
  <si>
    <t xml:space="preserve">Witchita State University,</t>
  </si>
  <si>
    <t xml:space="preserve">AS36 .W62 no.101</t>
  </si>
  <si>
    <t xml:space="preserve">AS   36            W 62   NO .101</t>
  </si>
  <si>
    <t xml:space="preserve">6/7/2004</t>
  </si>
  <si>
    <t xml:space="preserve">Terror as a neo-Marxian revolutionary mechanism in the Nazi SA, 1932, by Otis Mitchell.</t>
  </si>
  <si>
    <t xml:space="preserve">Mitchell, Otis C.</t>
  </si>
  <si>
    <t xml:space="preserve">Terror as a neo-Marxian revolutionary mechanism in the Nazi SA, 1932,</t>
  </si>
  <si>
    <t xml:space="preserve">(OCoLC)ocm02538174</t>
  </si>
  <si>
    <t xml:space="preserve">Wichita State University,</t>
  </si>
  <si>
    <t xml:space="preserve">AS36 .W62 no.63</t>
  </si>
  <si>
    <t xml:space="preserve">AS   36            W 62   NO .63</t>
  </si>
  <si>
    <t xml:space="preserve">7/10/2006</t>
  </si>
  <si>
    <t xml:space="preserve">Tin drum; or Retreat to the word, by Frederick M. Ivey.</t>
  </si>
  <si>
    <t xml:space="preserve">Ivey, Frederick M.</t>
  </si>
  <si>
    <t xml:space="preserve">Tin drum; or Retreat to the word,</t>
  </si>
  <si>
    <t xml:space="preserve">(OCoLC)ocm02561926</t>
  </si>
  <si>
    <t xml:space="preserve">1966 [i.e. l965]</t>
  </si>
  <si>
    <t xml:space="preserve">AS36 .W62 no.66</t>
  </si>
  <si>
    <t xml:space="preserve">AS   36            W 62   NO .66</t>
  </si>
  <si>
    <t xml:space="preserve">Is the only good philosopher a dead philosopher? by A. C. Genova.</t>
  </si>
  <si>
    <t xml:space="preserve">Genova, A. C.</t>
  </si>
  <si>
    <t xml:space="preserve">Is the only good philosopher a dead philosopher?</t>
  </si>
  <si>
    <t xml:space="preserve">(OCoLC)ocm00434231</t>
  </si>
  <si>
    <t xml:space="preserve">AS36 .W62 no.70</t>
  </si>
  <si>
    <t xml:space="preserve">AS   36            W 62   NO .70</t>
  </si>
  <si>
    <t xml:space="preserve">Modern Samoan family, by Lowell D. Holmes.</t>
  </si>
  <si>
    <t xml:space="preserve">Holmes, Lowell Don, 1925-</t>
  </si>
  <si>
    <t xml:space="preserve">Modern Samoan family,</t>
  </si>
  <si>
    <t xml:space="preserve">(OCoLC)ocm00046172</t>
  </si>
  <si>
    <t xml:space="preserve">AS36 .W62 no.71</t>
  </si>
  <si>
    <t xml:space="preserve">AS   36            W 62   NO .71</t>
  </si>
  <si>
    <t xml:space="preserve">At Keats' grave: the making of a poem.</t>
  </si>
  <si>
    <t xml:space="preserve">Cutler, Bruce, 1930-</t>
  </si>
  <si>
    <t xml:space="preserve">(OCoLC)ocm00454028</t>
  </si>
  <si>
    <t xml:space="preserve">AS36 .W62 no.72</t>
  </si>
  <si>
    <t xml:space="preserve">AS   36            W 62   NO .72</t>
  </si>
  <si>
    <t xml:space="preserve">Pseudocoelomates, a problem group, by Harry D. Rounds.</t>
  </si>
  <si>
    <t xml:space="preserve">Rounds, Harry D.</t>
  </si>
  <si>
    <t xml:space="preserve">Pseudocoelomates, a problem group,</t>
  </si>
  <si>
    <t xml:space="preserve">(OCoLC)ocm00181652</t>
  </si>
  <si>
    <t xml:space="preserve">AS36 .W62 no.73</t>
  </si>
  <si>
    <t xml:space="preserve">AS   36            W 62   NO .73</t>
  </si>
  <si>
    <t xml:space="preserve">[xi] (n)--A number theoretic function defined on a residue system modulo n [superscript 2], by F. W. Poley and W. H. Richardson.</t>
  </si>
  <si>
    <t xml:space="preserve">Poley, F. W.</t>
  </si>
  <si>
    <t xml:space="preserve">[xi] (n)--A number theoretic function defined on a residue system modulo n [superscript 2],</t>
  </si>
  <si>
    <t xml:space="preserve">(OCoLC)ocm00011430</t>
  </si>
  <si>
    <t xml:space="preserve">AS36 .W62 no.74</t>
  </si>
  <si>
    <t xml:space="preserve">AS   36            W 62   NO .74</t>
  </si>
  <si>
    <t xml:space="preserve">David Ragor's transcription of Walter of Odington's "Icocedron." By Phillip Drennon Thomas. Some notes on research in Austrian archives, by Martin A. Reif.</t>
  </si>
  <si>
    <t xml:space="preserve">Walter of Odington, fl. 1301-1330.</t>
  </si>
  <si>
    <t xml:space="preserve">David Ragor's transcription of Walter of Odington's "Icocedron."</t>
  </si>
  <si>
    <t xml:space="preserve">(OCoLC)ocm02330257</t>
  </si>
  <si>
    <t xml:space="preserve">AS36 .W62 no.76</t>
  </si>
  <si>
    <t xml:space="preserve">AS   36            W 62   NO .76</t>
  </si>
  <si>
    <t xml:space="preserve">Philosophy of Judge Learned Hand, by Kathryn P. Griffith.</t>
  </si>
  <si>
    <t xml:space="preserve">Griffith, Kathryn P., 1923-</t>
  </si>
  <si>
    <t xml:space="preserve">Philosophy of Judge Learned Hand,</t>
  </si>
  <si>
    <t xml:space="preserve">(OCoLC)ocm02696158</t>
  </si>
  <si>
    <t xml:space="preserve">AS36 .W62 no.77</t>
  </si>
  <si>
    <t xml:space="preserve">AS   36            W 62   NO .77</t>
  </si>
  <si>
    <t xml:space="preserve">George Borrow: God's picaro, by Robert Meyers.</t>
  </si>
  <si>
    <t xml:space="preserve">Meyers, Robert Rex, 1923-</t>
  </si>
  <si>
    <t xml:space="preserve">George Borrow: God's picaro,</t>
  </si>
  <si>
    <t xml:space="preserve">(OCoLC)ocm00077389</t>
  </si>
  <si>
    <t xml:space="preserve">AS36 .W62 no.78</t>
  </si>
  <si>
    <t xml:space="preserve">AS   36            W 62   NO .78</t>
  </si>
  <si>
    <t xml:space="preserve">Pinter and modern tragicomedy, by Frank S. Kastor.</t>
  </si>
  <si>
    <t xml:space="preserve">Kastor, Frank S., 1933-</t>
  </si>
  <si>
    <t xml:space="preserve">Pinter and modern tragicomedy,</t>
  </si>
  <si>
    <t xml:space="preserve">(OCoLC)ocm00210137</t>
  </si>
  <si>
    <t xml:space="preserve">AS36 .W62 no.84</t>
  </si>
  <si>
    <t xml:space="preserve">AS   36            W 62   NO .84</t>
  </si>
  <si>
    <t xml:space="preserve">Study of the influence of certification and training upon role performance of elementary counselors in Missouri and Oklahoma, by Glen D. Mills.</t>
  </si>
  <si>
    <t xml:space="preserve">Mills, Glen D., 1939-</t>
  </si>
  <si>
    <t xml:space="preserve">Study of the influence of certification and training upon role performance of elementary counselors in Missouri and Oklahoma,</t>
  </si>
  <si>
    <t xml:space="preserve">(OCoLC)ocm00091839</t>
  </si>
  <si>
    <t xml:space="preserve">AS36 .W62 no.85</t>
  </si>
  <si>
    <t xml:space="preserve">AS   36            W 62   NO .85</t>
  </si>
  <si>
    <t xml:space="preserve">Mark Twain and the Middle Ages, by James C. Duram.</t>
  </si>
  <si>
    <t xml:space="preserve">Duram, James C., 1939-</t>
  </si>
  <si>
    <t xml:space="preserve">Mark Twain and the Middle Ages,</t>
  </si>
  <si>
    <t xml:space="preserve">(OCoLC)ocm00200292</t>
  </si>
  <si>
    <t xml:space="preserve">AS36 .W62 no.88</t>
  </si>
  <si>
    <t xml:space="preserve">AS   36            W 62   NO .88</t>
  </si>
  <si>
    <t xml:space="preserve">4/14/2005</t>
  </si>
  <si>
    <t xml:space="preserve">Felix Bloch and twentieth-century physics : dedicated to Felix Bloch on the occasion of his seventy-fifth birthday / M. Chodorow ... [et al.], editors.</t>
  </si>
  <si>
    <t xml:space="preserve">Felix Bloch and twentieth-century physics : dedicated to Felix Bloch on the occasion of his seventy-fifth birthday /</t>
  </si>
  <si>
    <t xml:space="preserve">(OCoLC)ocm07590289</t>
  </si>
  <si>
    <t xml:space="preserve">William Marsh Rice University,</t>
  </si>
  <si>
    <t xml:space="preserve">AS36 .W65 vol.66no.3</t>
  </si>
  <si>
    <t xml:space="preserve">AS   36            W 65   VOL .66 NO .3</t>
  </si>
  <si>
    <t xml:space="preserve">Algebra of representations of some finite groups [by] L. C. Biedenharn, W. Brouwer, and W. T. Sharp.</t>
  </si>
  <si>
    <t xml:space="preserve">Biedenharn, L. C.</t>
  </si>
  <si>
    <t xml:space="preserve">Algebra of representations of some finite groups</t>
  </si>
  <si>
    <t xml:space="preserve">(OCoLC)ocm00318797</t>
  </si>
  <si>
    <t xml:space="preserve">AS36 .W65VOL.54NO.2</t>
  </si>
  <si>
    <t xml:space="preserve">AS   36            W 65 VOL .54 NO .2</t>
  </si>
  <si>
    <t xml:space="preserve">Complex analysis, 1969; proceedings. H. L. Resnikoff and R. O. Wells, Jr., editors.</t>
  </si>
  <si>
    <t xml:space="preserve">Conference on Complex Analysis (2nd : 1969 : Rice University)</t>
  </si>
  <si>
    <t xml:space="preserve">Complex analysis, 1969; proceedings.</t>
  </si>
  <si>
    <t xml:space="preserve">(OCoLC)ocm00141585</t>
  </si>
  <si>
    <t xml:space="preserve">1970, c1971.</t>
  </si>
  <si>
    <t xml:space="preserve">AS36 .W65VOL.56NO.2</t>
  </si>
  <si>
    <t xml:space="preserve">AS   36            W 65 VOL .56 NO .2</t>
  </si>
  <si>
    <t xml:space="preserve">Transactions of the Wisconsin Academy of Sciences, Arts, and Letters.</t>
  </si>
  <si>
    <t xml:space="preserve">Wisconsin Academy of Sciences, Arts and Letters.</t>
  </si>
  <si>
    <t xml:space="preserve">(OCoLC)ocm01589638</t>
  </si>
  <si>
    <t xml:space="preserve">1870/72-</t>
  </si>
  <si>
    <t xml:space="preserve">Wisconsin Academy of Sciences, Arts, and Letters,</t>
  </si>
  <si>
    <t xml:space="preserve">AS36 .W7</t>
  </si>
  <si>
    <t xml:space="preserve">AS   36            W 7</t>
  </si>
  <si>
    <t xml:space="preserve">v.80(1992)</t>
  </si>
  <si>
    <t xml:space="preserve">v.79:2(1991)</t>
  </si>
  <si>
    <t xml:space="preserve">v.79:1(1991)</t>
  </si>
  <si>
    <t xml:space="preserve">v.78(1990)</t>
  </si>
  <si>
    <t xml:space="preserve">v.77(1989)</t>
  </si>
  <si>
    <t xml:space="preserve">v.75(1987)</t>
  </si>
  <si>
    <t xml:space="preserve">v.74(1986)</t>
  </si>
  <si>
    <t xml:space="preserve">v.73(1985)</t>
  </si>
  <si>
    <t xml:space="preserve">v.72(1984)</t>
  </si>
  <si>
    <t xml:space="preserve">v.71:1(1983)</t>
  </si>
  <si>
    <t xml:space="preserve">v.70(1982)</t>
  </si>
  <si>
    <t xml:space="preserve">v.69(1981)</t>
  </si>
  <si>
    <t xml:space="preserve">v.68(1980)</t>
  </si>
  <si>
    <t xml:space="preserve">v.67(1979)</t>
  </si>
  <si>
    <t xml:space="preserve">v.66(1978)</t>
  </si>
  <si>
    <t xml:space="preserve">v.65(1977)</t>
  </si>
  <si>
    <t xml:space="preserve">v.64(1976)</t>
  </si>
  <si>
    <t xml:space="preserve">v.63(1975)</t>
  </si>
  <si>
    <t xml:space="preserve">v.62(1974)</t>
  </si>
  <si>
    <t xml:space="preserve">v.60-61(1972-1973)</t>
  </si>
  <si>
    <t xml:space="preserve">v.58-59(1970-1971)</t>
  </si>
  <si>
    <t xml:space="preserve">v.55-57(1966-1969)</t>
  </si>
  <si>
    <t xml:space="preserve">v.53:A(1964)</t>
  </si>
  <si>
    <t xml:space="preserve">American West: a reorientation. Edited by Gene M. Gressley.</t>
  </si>
  <si>
    <t xml:space="preserve">Gressley, Gene M., 1931-</t>
  </si>
  <si>
    <t xml:space="preserve">American West: a reorientation.</t>
  </si>
  <si>
    <t xml:space="preserve">(OCoLC)ocm00022282</t>
  </si>
  <si>
    <t xml:space="preserve">University of Wyoming]</t>
  </si>
  <si>
    <t xml:space="preserve">AS36 .W95VOL.32</t>
  </si>
  <si>
    <t xml:space="preserve">AS   36            W 95 VOL .32</t>
  </si>
  <si>
    <t xml:space="preserve">Assets, savings, and labor supply / James P. Smith.</t>
  </si>
  <si>
    <t xml:space="preserve">Smith, James P., 1943-</t>
  </si>
  <si>
    <t xml:space="preserve">Assets, savings, and labor supply /</t>
  </si>
  <si>
    <t xml:space="preserve">(OCoLC)ocm01711814</t>
  </si>
  <si>
    <t xml:space="preserve">Rand,</t>
  </si>
  <si>
    <t xml:space="preserve">AS36,.R28 NO.5470</t>
  </si>
  <si>
    <t xml:space="preserve">AS   36            , R 28   NO .5470</t>
  </si>
  <si>
    <t xml:space="preserve">In memoriam. A book of record concerning former members of the American academy of arts and letters.</t>
  </si>
  <si>
    <t xml:space="preserve">American Academy of Arts and Letters.</t>
  </si>
  <si>
    <t xml:space="preserve">(OCoLC)ocm04388999</t>
  </si>
  <si>
    <t xml:space="preserve">Pub. by the Academy,</t>
  </si>
  <si>
    <t xml:space="preserve">AS36.A473 NO.37</t>
  </si>
  <si>
    <t xml:space="preserve">AS   36            A 473   NO .37</t>
  </si>
  <si>
    <t xml:space="preserve">FOUR ADDRESSES IN COMMEMORATION OF THE TWENTIETH ANNIVERSARY OF THE FOUNDING OF THE AMERICAN ACADEMY OF ARTS AND LETTERS.</t>
  </si>
  <si>
    <t xml:space="preserve">se 01011393</t>
  </si>
  <si>
    <t xml:space="preserve">AS36.A473 NO.541968</t>
  </si>
  <si>
    <t xml:space="preserve">AS   36            A 473   NO .541968</t>
  </si>
  <si>
    <t xml:space="preserve">Commemorative tributes of the American Academy of Arts and Letters, 1905-1941.</t>
  </si>
  <si>
    <t xml:space="preserve">(OCoLC)ocm00344711</t>
  </si>
  <si>
    <t xml:space="preserve">[1968, c1942]</t>
  </si>
  <si>
    <t xml:space="preserve">AS36.A484 A16</t>
  </si>
  <si>
    <t xml:space="preserve">AS   36            A 484   A 16</t>
  </si>
  <si>
    <t xml:space="preserve">Report of the president, 1986-1997 / Stanley N. Katz.</t>
  </si>
  <si>
    <t xml:space="preserve">Katz, Stanley Nider.</t>
  </si>
  <si>
    <t xml:space="preserve">Report of the president, 1986-1997 /</t>
  </si>
  <si>
    <t xml:space="preserve">(OCoLC)ocm37496459</t>
  </si>
  <si>
    <t xml:space="preserve">AS36.A486 K381997</t>
  </si>
  <si>
    <t xml:space="preserve">AS   36            A 486   K 381997</t>
  </si>
  <si>
    <t xml:space="preserve">Challenges to librarianship.</t>
  </si>
  <si>
    <t xml:space="preserve">Shores, Louis, 1904-</t>
  </si>
  <si>
    <t xml:space="preserve">(OCoLC)ocm01405504</t>
  </si>
  <si>
    <t xml:space="preserve">Wm. C. Brown Co.</t>
  </si>
  <si>
    <t xml:space="preserve">AS36.F57 NO.121953</t>
  </si>
  <si>
    <t xml:space="preserve">AS   36            F 57   NO .121953</t>
  </si>
  <si>
    <t xml:space="preserve">Negro in American society.</t>
  </si>
  <si>
    <t xml:space="preserve">(OCoLC)ocm05090835</t>
  </si>
  <si>
    <t xml:space="preserve">Florida State University,</t>
  </si>
  <si>
    <t xml:space="preserve">AS36.F57 NO.28</t>
  </si>
  <si>
    <t xml:space="preserve">AS   36            F 57   NO .28</t>
  </si>
  <si>
    <t xml:space="preserve">PROCEEDINGS.</t>
  </si>
  <si>
    <t xml:space="preserve">INTERNATIONAL CONFERENCE ON THE NUCLEAR OPTICAL MODEL</t>
  </si>
  <si>
    <t xml:space="preserve">se 01011410</t>
  </si>
  <si>
    <t xml:space="preserve">AS36.F57 NO.32</t>
  </si>
  <si>
    <t xml:space="preserve">AS   36            F 57   NO .32</t>
  </si>
  <si>
    <t xml:space="preserve">Richard Barnfield, Colin's child.</t>
  </si>
  <si>
    <t xml:space="preserve">Morris, Harry, 1924-</t>
  </si>
  <si>
    <t xml:space="preserve">(OCoLC)ocm01363367</t>
  </si>
  <si>
    <t xml:space="preserve">AS36.F57 NO.38</t>
  </si>
  <si>
    <t xml:space="preserve">AS   36            F 57   NO .38</t>
  </si>
  <si>
    <t xml:space="preserve">University in transition, by Doak S. Campbell.</t>
  </si>
  <si>
    <t xml:space="preserve">Campbell, Doak Sheridan, 1888-</t>
  </si>
  <si>
    <t xml:space="preserve">(OCoLC)ocm01286183</t>
  </si>
  <si>
    <t xml:space="preserve">[c1964.]</t>
  </si>
  <si>
    <t xml:space="preserve">Florida State University</t>
  </si>
  <si>
    <t xml:space="preserve">AS36.F57 NO.40</t>
  </si>
  <si>
    <t xml:space="preserve">AS   36            F 57   NO .40</t>
  </si>
  <si>
    <t xml:space="preserve">Models of clinical psychology, edited by Luciano L'Abate.</t>
  </si>
  <si>
    <t xml:space="preserve">L'Abate, Luciano, 1928-</t>
  </si>
  <si>
    <t xml:space="preserve">Models of clinical psychology,</t>
  </si>
  <si>
    <t xml:space="preserve">(OCoLC)ocm00075703</t>
  </si>
  <si>
    <t xml:space="preserve">School of Arts and Sciences, Georgia State College,</t>
  </si>
  <si>
    <t xml:space="preserve">AS36.G378 A3NO.22</t>
  </si>
  <si>
    <t xml:space="preserve">AS   36            G 378   A 3 NO .22</t>
  </si>
  <si>
    <t xml:space="preserve">Humanities and the understanding of reality, by Monroe C. Beardsley [and others] Edited by Thomas B. Stroup.</t>
  </si>
  <si>
    <t xml:space="preserve">Stroup, Thomas Bradley, 1903-</t>
  </si>
  <si>
    <t xml:space="preserve">Humanities and the understanding of reality,</t>
  </si>
  <si>
    <t xml:space="preserve">(OCoLC)ocm00369628</t>
  </si>
  <si>
    <t xml:space="preserve">University of Kentucky Press,</t>
  </si>
  <si>
    <t xml:space="preserve">AS36.K47 S8</t>
  </si>
  <si>
    <t xml:space="preserve">AS   36            K 47   S 8</t>
  </si>
  <si>
    <t xml:space="preserve">Provisional Constitution of the United Arab Republic. Law organising the National Assembly. Rules of procedure of the National Assembly.</t>
  </si>
  <si>
    <t xml:space="preserve">United Arab Republic.</t>
  </si>
  <si>
    <t xml:space="preserve">Provisional Constitution of the United Arab Republic. Law organising the National Assembly.</t>
  </si>
  <si>
    <t xml:space="preserve">(OCoLC)ocm11772024</t>
  </si>
  <si>
    <t xml:space="preserve">1960]</t>
  </si>
  <si>
    <t xml:space="preserve">Egyptian Central Press,</t>
  </si>
  <si>
    <t xml:space="preserve">AS36.N12 U5</t>
  </si>
  <si>
    <t xml:space="preserve">AS   36            N 12   U 5</t>
  </si>
  <si>
    <t xml:space="preserve">Post-Kansan geologic history of the lower Platte Valley area.</t>
  </si>
  <si>
    <t xml:space="preserve">Lueninghoener, Gilbert Carl.</t>
  </si>
  <si>
    <t xml:space="preserve">(OCoLC)ocm01579676</t>
  </si>
  <si>
    <t xml:space="preserve">AS36.N2 N.S.NO.2</t>
  </si>
  <si>
    <t xml:space="preserve">AS   36            N 2   N S NO .2</t>
  </si>
  <si>
    <t xml:space="preserve">Voluntary association in the slum [by] Nicholas Babchuk and C. Wayne Gordon.</t>
  </si>
  <si>
    <t xml:space="preserve">Babchuk, Nicholas.</t>
  </si>
  <si>
    <t xml:space="preserve">Voluntary association in the slum</t>
  </si>
  <si>
    <t xml:space="preserve">(OCoLC)ocm01878791</t>
  </si>
  <si>
    <t xml:space="preserve">University of Nebraska,</t>
  </si>
  <si>
    <t xml:space="preserve">AS36.N2 N.S.NO.27</t>
  </si>
  <si>
    <t xml:space="preserve">AS   36            N 2   N S NO .27</t>
  </si>
  <si>
    <t xml:space="preserve">Shared vision of Waldo Frank and Hart Crane [by] Robert L. Perry.</t>
  </si>
  <si>
    <t xml:space="preserve">Perry, Robert L.</t>
  </si>
  <si>
    <t xml:space="preserve">Shared vision of Waldo Frank and Hart Crane</t>
  </si>
  <si>
    <t xml:space="preserve">(OCoLC)ocm00937760</t>
  </si>
  <si>
    <t xml:space="preserve">University [of Nebraska]</t>
  </si>
  <si>
    <t xml:space="preserve">AS36.N2 N.S.NO.33</t>
  </si>
  <si>
    <t xml:space="preserve">AS   36            N 2   N S NO .33</t>
  </si>
  <si>
    <t xml:space="preserve">New humanists in Nebraska : a study of the Mid-west quarterly (1913-18) / R. D. Stock.</t>
  </si>
  <si>
    <t xml:space="preserve">Stock, R. D. (Robert D.), 1941-</t>
  </si>
  <si>
    <t xml:space="preserve">New humanists in Nebraska : a study of the Mid-west quarterly (1913-18) /</t>
  </si>
  <si>
    <t xml:space="preserve">(OCoLC)ocm05190886</t>
  </si>
  <si>
    <t xml:space="preserve">AS36.N2 N.S.NO.61</t>
  </si>
  <si>
    <t xml:space="preserve">AS   36            N 2   N S NO .61</t>
  </si>
  <si>
    <t xml:space="preserve">Critique of Jean-Paul Sartre's ontology [by] Maurice Natanson.</t>
  </si>
  <si>
    <t xml:space="preserve">Natanson, Maurice, 1924-1996.</t>
  </si>
  <si>
    <t xml:space="preserve">Critique of Jean-Paul Sartre's ontology</t>
  </si>
  <si>
    <t xml:space="preserve">(OCoLC)ocm00416898</t>
  </si>
  <si>
    <t xml:space="preserve">Haskell House Publishers,</t>
  </si>
  <si>
    <t xml:space="preserve">AS36.N2 N.S.NO.61951R</t>
  </si>
  <si>
    <t xml:space="preserve">AS   36            N 2   N S NO .61951 R</t>
  </si>
  <si>
    <t xml:space="preserve">11/25/2002</t>
  </si>
  <si>
    <t xml:space="preserve">Carnegie Institute and Carnegie Library of Pittsburgh.</t>
  </si>
  <si>
    <t xml:space="preserve">3rd ed.</t>
  </si>
  <si>
    <t xml:space="preserve">(OCoLC)ocm10198564</t>
  </si>
  <si>
    <t xml:space="preserve">Carnegie Library of Pittsburgh Press, 1922.</t>
  </si>
  <si>
    <t xml:space="preserve">AS36.P79 A281922</t>
  </si>
  <si>
    <t xml:space="preserve">AS   36            P 79   A 281922</t>
  </si>
  <si>
    <t xml:space="preserve">Military dimension in the making of Soviet foreign and defense policy / Thomas W. Wolfe.</t>
  </si>
  <si>
    <t xml:space="preserve">Wolfe, Thomas W.</t>
  </si>
  <si>
    <t xml:space="preserve">Military dimension in the making of Soviet foreign and defense policy /</t>
  </si>
  <si>
    <t xml:space="preserve">(OCoLC)ocm03548402</t>
  </si>
  <si>
    <t xml:space="preserve">Rand Corp.,</t>
  </si>
  <si>
    <t xml:space="preserve">AS36.R28 NO.6024</t>
  </si>
  <si>
    <t xml:space="preserve">AS   36            R 28   NO .6024</t>
  </si>
  <si>
    <t xml:space="preserve">On the modelling of creative behavior / Harold Cohen.</t>
  </si>
  <si>
    <t xml:space="preserve">Cohen, Harold.</t>
  </si>
  <si>
    <t xml:space="preserve">On the modelling of creative behavior /</t>
  </si>
  <si>
    <t xml:space="preserve">(OCoLC)ocm08594024</t>
  </si>
  <si>
    <t xml:space="preserve">Rand Corporation,</t>
  </si>
  <si>
    <t xml:space="preserve">AS36.R332 NO.6681</t>
  </si>
  <si>
    <t xml:space="preserve">AS   36            R 332   NO .6681</t>
  </si>
  <si>
    <t xml:space="preserve">Caries prevalence in the National Preventive Dentistry Demonstration Program / Harry M. Bohannan ... [et al.].</t>
  </si>
  <si>
    <t xml:space="preserve">Caries prevalence in the National Preventive Dentistry Demonstration Program /</t>
  </si>
  <si>
    <t xml:space="preserve">(OCoLC)ocm07702712</t>
  </si>
  <si>
    <t xml:space="preserve">The Rand Corporation,</t>
  </si>
  <si>
    <t xml:space="preserve">AS36.R34 NO.6625</t>
  </si>
  <si>
    <t xml:space="preserve">AS   36            R 34   NO .6625</t>
  </si>
  <si>
    <t xml:space="preserve">Effect of bitewing radiographs on caries detection in permanent teeth / Harry M. Bohannan ... [et al.].</t>
  </si>
  <si>
    <t xml:space="preserve">Effect of bitewing radiographs on caries detection in permanent teeth /</t>
  </si>
  <si>
    <t xml:space="preserve">(OCoLC)ocm07697498</t>
  </si>
  <si>
    <t xml:space="preserve">AS36.R34 NO.6626</t>
  </si>
  <si>
    <t xml:space="preserve">AS   36            R 34   NO .6626</t>
  </si>
  <si>
    <t xml:space="preserve">Rand 25th anniversary volume.</t>
  </si>
  <si>
    <t xml:space="preserve">Rand Corporation.</t>
  </si>
  <si>
    <t xml:space="preserve">(OCoLC)ocm00794718</t>
  </si>
  <si>
    <t xml:space="preserve">AS36.R35 A63</t>
  </si>
  <si>
    <t xml:space="preserve">AS   36            R 35   A 63</t>
  </si>
  <si>
    <t xml:space="preserve">Rand Corporation; case study of a nonprofit advisory corporation [by] Bruce L.R. Smith.</t>
  </si>
  <si>
    <t xml:space="preserve">Smith, Bruce L. R.</t>
  </si>
  <si>
    <t xml:space="preserve">Rand Corporation; case study of a nonprofit advisory corporation</t>
  </si>
  <si>
    <t xml:space="preserve">(OCoLC)ocm00369561</t>
  </si>
  <si>
    <t xml:space="preserve">Harvard University Press,</t>
  </si>
  <si>
    <t xml:space="preserve">AS36.R35 S5</t>
  </si>
  <si>
    <t xml:space="preserve">AS   36            R 35   S 5</t>
  </si>
  <si>
    <t xml:space="preserve">Repeat migration in the U.S. : who moves back and who moves on? / Julie DaVanzo.</t>
  </si>
  <si>
    <t xml:space="preserve">DaVanzo, Julie.</t>
  </si>
  <si>
    <t xml:space="preserve">Repeat migration in the U.S. : who moves back and who moves on? /</t>
  </si>
  <si>
    <t xml:space="preserve">(OCoLC)ocm09074057</t>
  </si>
  <si>
    <t xml:space="preserve">AS36.R36 NO.5961/1</t>
  </si>
  <si>
    <t xml:space="preserve">AS   36            R 36   NO .5961 1</t>
  </si>
  <si>
    <t xml:space="preserve">Interim empirical evaluation of ECSS for computer-system simulation development [by] Donald W. Kosy.</t>
  </si>
  <si>
    <t xml:space="preserve">Kosy, Donald W.</t>
  </si>
  <si>
    <t xml:space="preserve">Interim empirical evaluation of ECSS for computer-system simulation development</t>
  </si>
  <si>
    <t xml:space="preserve">(OCoLC)ocm06916491</t>
  </si>
  <si>
    <t xml:space="preserve">AS36.R38 NO.5011</t>
  </si>
  <si>
    <t xml:space="preserve">AS   36            R 38   NO .5011</t>
  </si>
  <si>
    <t xml:space="preserve">Three-dimensional model for estuaries and coastal seas.</t>
  </si>
  <si>
    <t xml:space="preserve">Leendertse, Jan J.</t>
  </si>
  <si>
    <t xml:space="preserve">(OCoLC)ocm01133430</t>
  </si>
  <si>
    <t xml:space="preserve">1973-</t>
  </si>
  <si>
    <t xml:space="preserve">AS36.S3 R-1417,1764,1884,2187,2188,2405</t>
  </si>
  <si>
    <t xml:space="preserve">AS   36            S 3   R 1417 , 1764 , 1884 , 2187 , 2188 , 2405</t>
  </si>
  <si>
    <t xml:space="preserve">Training for trainers : instructor's guide / Ohio Dept. of Administrative Services.</t>
  </si>
  <si>
    <t xml:space="preserve">Ohio. Dept. of Administrative Services. Division of Personnel.</t>
  </si>
  <si>
    <t xml:space="preserve">Training for trainers : instructor's guide /</t>
  </si>
  <si>
    <t xml:space="preserve">(OCoLC)ocm03477266</t>
  </si>
  <si>
    <t xml:space="preserve">AS36.S62 A32T7</t>
  </si>
  <si>
    <t xml:space="preserve">AS   36            S 62   A 32 T 7</t>
  </si>
  <si>
    <t xml:space="preserve">LIBRARY FACILITIES, BELLEVILLE ELEMENTARY SCHOOL DISTRICT NO.118</t>
  </si>
  <si>
    <t xml:space="preserve">BRADBURRY, VIRGINIA H.</t>
  </si>
  <si>
    <t xml:space="preserve">se 05020848</t>
  </si>
  <si>
    <t xml:space="preserve">AS36.S62 B7L51971A</t>
  </si>
  <si>
    <t xml:space="preserve">AS   36            S 62   B 7 L 51971 A</t>
  </si>
  <si>
    <t xml:space="preserve">Clarifying values through subject matter: applications for the classroom [by] Merrill Harmin, Howard Kirschenbaum [and] Sidney B. Simon.</t>
  </si>
  <si>
    <t xml:space="preserve">Harmin, Merrill</t>
  </si>
  <si>
    <t xml:space="preserve">Clarifying values through subject matter: applications for the classroom</t>
  </si>
  <si>
    <t xml:space="preserve">(OCoLC)ocm00621693</t>
  </si>
  <si>
    <t xml:space="preserve">Winston Press</t>
  </si>
  <si>
    <t xml:space="preserve">AS36.S62 H32C55</t>
  </si>
  <si>
    <t xml:space="preserve">AS   36            S 62   H 32 C 55</t>
  </si>
  <si>
    <t xml:space="preserve">HEBER C. KIMBALL: MORMON PATRIARCH AND PIONEER</t>
  </si>
  <si>
    <t xml:space="preserve">KIMBALL, STANLEY BUCHHOLZ.</t>
  </si>
  <si>
    <t xml:space="preserve">se 05012315</t>
  </si>
  <si>
    <t xml:space="preserve">AS36.S62 K5H4</t>
  </si>
  <si>
    <t xml:space="preserve">AS   36            S 62   K 5 H 4</t>
  </si>
  <si>
    <t xml:space="preserve">Introducing culture / Ernest L. Schusky, T. Patrick Culbert.</t>
  </si>
  <si>
    <t xml:space="preserve">Schusky, Ernest Lester, 1931-</t>
  </si>
  <si>
    <t xml:space="preserve">Introducing culture /</t>
  </si>
  <si>
    <t xml:space="preserve">3d ed.</t>
  </si>
  <si>
    <t xml:space="preserve">(OCoLC)ocm03362357</t>
  </si>
  <si>
    <t xml:space="preserve">Prentice-Hall,</t>
  </si>
  <si>
    <t xml:space="preserve">AS36.S62 S34I51978</t>
  </si>
  <si>
    <t xml:space="preserve">AS   36            S 62   S 34 I 51978</t>
  </si>
  <si>
    <t xml:space="preserve">Ugarit in retrospect : fifty years of Ugarit and Ugaritic / edited by Gordon Douglas Young.</t>
  </si>
  <si>
    <t xml:space="preserve">Ugarit in retrospect : fifty years of Ugarit and Ugaritic /</t>
  </si>
  <si>
    <t xml:space="preserve">(OCoLC)ocm07797037</t>
  </si>
  <si>
    <t xml:space="preserve">Eisenbrauns,</t>
  </si>
  <si>
    <t xml:space="preserve">AS36.S62 U35 1981</t>
  </si>
  <si>
    <t xml:space="preserve">AS   36            S 62   U 35   1981</t>
  </si>
  <si>
    <t xml:space="preserve">6/24/2005</t>
  </si>
  <si>
    <t xml:space="preserve">Dywizja FuÂ¿Â¿hrera : Leibstandarte SS Adolf Hitler / James J. Weingartner ; PrzelozÂ¿Â¿yl Slawomir KeÂ¿Â¿dzierski.</t>
  </si>
  <si>
    <t xml:space="preserve">Weingartner, James J., 1940-</t>
  </si>
  <si>
    <t xml:space="preserve">Dywizja FuÂ¿Â¿hrera : Leibstandarte SS Adolf Hitler /</t>
  </si>
  <si>
    <t xml:space="preserve">8385239340 (pbk.)</t>
  </si>
  <si>
    <t xml:space="preserve">(OCoLC)ocm48378114</t>
  </si>
  <si>
    <t xml:space="preserve">Wydawnictwo Oskar,</t>
  </si>
  <si>
    <t xml:space="preserve">AS36.S62 W4H515 2000</t>
  </si>
  <si>
    <t xml:space="preserve">AS   36            S 62   W 4 H 515   2000</t>
  </si>
  <si>
    <t xml:space="preserve">International boundary commission, United States and Mexico, by Charles A. Timm ... Bureau of research in the social sciences.</t>
  </si>
  <si>
    <t xml:space="preserve">Timm, Charles August.</t>
  </si>
  <si>
    <t xml:space="preserve">International boundary commission, United States and Mexico,</t>
  </si>
  <si>
    <t xml:space="preserve">(OCoLC)ocm00801786</t>
  </si>
  <si>
    <t xml:space="preserve">[1941]</t>
  </si>
  <si>
    <t xml:space="preserve">The University</t>
  </si>
  <si>
    <t xml:space="preserve">AS36.T42 NO.4134</t>
  </si>
  <si>
    <t xml:space="preserve">AS   36            T 42   NO .4134</t>
  </si>
  <si>
    <t xml:space="preserve">History of Laos.</t>
  </si>
  <si>
    <t xml:space="preserve">Viravong, Maha Sila.</t>
  </si>
  <si>
    <t xml:space="preserve">(OCoLC)ocm03325051</t>
  </si>
  <si>
    <t xml:space="preserve">Paragon Book Reprint Corp.,</t>
  </si>
  <si>
    <t xml:space="preserve">AS36.U571964 NO.712</t>
  </si>
  <si>
    <t xml:space="preserve">AS   36            U 571964   NO .712</t>
  </si>
  <si>
    <t xml:space="preserve">Man, science, learning, and education; the semicentennial lectures at Rice University. Contributors: Brand Blanshard [and others.</t>
  </si>
  <si>
    <t xml:space="preserve">Higginbotham, Sanford Wilson, 1913-</t>
  </si>
  <si>
    <t xml:space="preserve">(OCoLC)ocm01550597</t>
  </si>
  <si>
    <t xml:space="preserve">William Marsh Rice University</t>
  </si>
  <si>
    <t xml:space="preserve">AS36.W653 H5</t>
  </si>
  <si>
    <t xml:space="preserve">AS   36            W 653   H 5</t>
  </si>
  <si>
    <t xml:space="preserve">FINAL ACT AND INTERPRETATIVE COMMENTARY/THEREON</t>
  </si>
  <si>
    <t xml:space="preserve">Pan-American Scientific Congress. 2D, WASHINGTON D.C., 1915-1916</t>
  </si>
  <si>
    <t xml:space="preserve">2ND</t>
  </si>
  <si>
    <t xml:space="preserve">se 01011299</t>
  </si>
  <si>
    <t xml:space="preserve">AS4 .P21915H</t>
  </si>
  <si>
    <t xml:space="preserve">AS    4            P 21915 H</t>
  </si>
  <si>
    <t xml:space="preserve">Acta final y su comentario.</t>
  </si>
  <si>
    <t xml:space="preserve">Pan-American Scientific Congress (2nd : 1915-1916 : Washington, D.C.)</t>
  </si>
  <si>
    <t xml:space="preserve">(OCoLC)ocm29840930</t>
  </si>
  <si>
    <t xml:space="preserve">Imprenta del gobierno,</t>
  </si>
  <si>
    <t xml:space="preserve">AS4 .P22</t>
  </si>
  <si>
    <t xml:space="preserve">AS    4            P 22</t>
  </si>
  <si>
    <t xml:space="preserve">BIBLIOGRAPHICAL REFERENCES, ESSENTIAL ELEMENTS.</t>
  </si>
  <si>
    <t xml:space="preserve">INTERNATIONAL ORGANIZATION FOR STANDARDIZATION.</t>
  </si>
  <si>
    <t xml:space="preserve">se 01011297</t>
  </si>
  <si>
    <t xml:space="preserve">AS4.I2 NO.77</t>
  </si>
  <si>
    <t xml:space="preserve">AS    4            I 2   NO .77</t>
  </si>
  <si>
    <t xml:space="preserve">Report of the Director General on the activities of the organization in ... / United Nations Educational Scientific and Cultural Organization.</t>
  </si>
  <si>
    <t xml:space="preserve">Report of the Director General on the activities of the organization in ... /</t>
  </si>
  <si>
    <t xml:space="preserve">(OCoLC)ocm02155400</t>
  </si>
  <si>
    <t xml:space="preserve">1948-</t>
  </si>
  <si>
    <t xml:space="preserve">AS4.U8 A35</t>
  </si>
  <si>
    <t xml:space="preserve">AS    4            U 8   A 35</t>
  </si>
  <si>
    <t xml:space="preserve">1958/59</t>
  </si>
  <si>
    <t xml:space="preserve">1975-76</t>
  </si>
  <si>
    <t xml:space="preserve">1977-78</t>
  </si>
  <si>
    <t xml:space="preserve">1979-80</t>
  </si>
  <si>
    <t xml:space="preserve">In the minds of men: Unesco 1946 to 1971. Contribition by Gian Franco Pompei [and others]</t>
  </si>
  <si>
    <t xml:space="preserve">In the minds of men: Unesco 1946 to 1971.</t>
  </si>
  <si>
    <t xml:space="preserve">(OCoLC)ocm00586734</t>
  </si>
  <si>
    <t xml:space="preserve">AS4.U8 I48</t>
  </si>
  <si>
    <t xml:space="preserve">AS    4            U 8   I 48</t>
  </si>
  <si>
    <t xml:space="preserve">Looking at Unesco.</t>
  </si>
  <si>
    <t xml:space="preserve">(OCoLC)ocm00578530</t>
  </si>
  <si>
    <t xml:space="preserve">AS4.U8 L6</t>
  </si>
  <si>
    <t xml:space="preserve">AS    4            U 8   L 6</t>
  </si>
  <si>
    <t xml:space="preserve">Thinking ahead : Unesco and the challenges of today and tomorrow.</t>
  </si>
  <si>
    <t xml:space="preserve">(OCoLC)ocm03894475</t>
  </si>
  <si>
    <t xml:space="preserve">AS4.U8 T44</t>
  </si>
  <si>
    <t xml:space="preserve">AS    4            U 8   T 44</t>
  </si>
  <si>
    <t xml:space="preserve">Unesco, an ideal in action.</t>
  </si>
  <si>
    <t xml:space="preserve">(OCoLC)ocm03053640</t>
  </si>
  <si>
    <t xml:space="preserve">AS4.U8 U525</t>
  </si>
  <si>
    <t xml:space="preserve">AS    4            U 8   U 525</t>
  </si>
  <si>
    <t xml:space="preserve">8/8/2011</t>
  </si>
  <si>
    <t xml:space="preserve">Unesco's standard-setting instruments.</t>
  </si>
  <si>
    <t xml:space="preserve">(OCoLC)ocm08555093</t>
  </si>
  <si>
    <t xml:space="preserve">1981-</t>
  </si>
  <si>
    <t xml:space="preserve">United Nations Educational, Scientific and Cultural Organization,</t>
  </si>
  <si>
    <t xml:space="preserve">AS4.U8 U5651981</t>
  </si>
  <si>
    <t xml:space="preserve">AS    4            U 8   U 5651981</t>
  </si>
  <si>
    <t xml:space="preserve">What is Unesco?</t>
  </si>
  <si>
    <t xml:space="preserve">[8th ed.</t>
  </si>
  <si>
    <t xml:space="preserve">(OCoLC)ocm00088023</t>
  </si>
  <si>
    <t xml:space="preserve">1970]</t>
  </si>
  <si>
    <t xml:space="preserve">AS4.U8 W451970</t>
  </si>
  <si>
    <t xml:space="preserve">AS    4            U 8   W 451970</t>
  </si>
  <si>
    <t xml:space="preserve">Records of the General Conference of the United Nations Educational, Scientific and Cultural Organization.</t>
  </si>
  <si>
    <t xml:space="preserve">Unesco. General Conference.</t>
  </si>
  <si>
    <t xml:space="preserve">(OCoLC)ocm01491462</t>
  </si>
  <si>
    <t xml:space="preserve">AS4.U82 G4365</t>
  </si>
  <si>
    <t xml:space="preserve">AS    4            U 82   G 4365</t>
  </si>
  <si>
    <t xml:space="preserve">1980 v.2</t>
  </si>
  <si>
    <t xml:space="preserve">1980 v.1</t>
  </si>
  <si>
    <t xml:space="preserve">1978 v.3</t>
  </si>
  <si>
    <t xml:space="preserve">1978 v.2</t>
  </si>
  <si>
    <t xml:space="preserve">1978 v.1</t>
  </si>
  <si>
    <t xml:space="preserve">1976 v.2:2</t>
  </si>
  <si>
    <t xml:space="preserve">1976 v.2:1</t>
  </si>
  <si>
    <t xml:space="preserve">1976 v.1</t>
  </si>
  <si>
    <t xml:space="preserve">1974 v.4</t>
  </si>
  <si>
    <t xml:space="preserve">1974 v.3:2</t>
  </si>
  <si>
    <t xml:space="preserve">1974 v.3:1</t>
  </si>
  <si>
    <t xml:space="preserve">1974 v.2</t>
  </si>
  <si>
    <t xml:space="preserve">1974 v.1</t>
  </si>
  <si>
    <t xml:space="preserve">1972 v.4</t>
  </si>
  <si>
    <t xml:space="preserve">1972 v.3</t>
  </si>
  <si>
    <t xml:space="preserve">1972 v.2</t>
  </si>
  <si>
    <t xml:space="preserve">1972 v.1</t>
  </si>
  <si>
    <t xml:space="preserve">1970 v.4</t>
  </si>
  <si>
    <t xml:space="preserve">1970 v.3</t>
  </si>
  <si>
    <t xml:space="preserve">1970 v.2</t>
  </si>
  <si>
    <t xml:space="preserve">1970 v.1</t>
  </si>
  <si>
    <t xml:space="preserve">1968 v.4</t>
  </si>
  <si>
    <t xml:space="preserve">1968 v.3</t>
  </si>
  <si>
    <t xml:space="preserve">1968 v.1</t>
  </si>
  <si>
    <t xml:space="preserve">1966 v.3</t>
  </si>
  <si>
    <t xml:space="preserve">1966 v.2</t>
  </si>
  <si>
    <t xml:space="preserve">1966 v.1</t>
  </si>
  <si>
    <t xml:space="preserve">Records of the General Conference Extraordinary session.</t>
  </si>
  <si>
    <t xml:space="preserve">(OCoLC)ocm03160195</t>
  </si>
  <si>
    <t xml:space="preserve">AS4.U82 G43652</t>
  </si>
  <si>
    <t xml:space="preserve">AS    4            U 82   G 43652</t>
  </si>
  <si>
    <t xml:space="preserve">1973 (3rd session)</t>
  </si>
  <si>
    <t xml:space="preserve">Program-making in UNESCO, 1946-1951; a study in the processes of international administration.</t>
  </si>
  <si>
    <t xml:space="preserve">Ascher, Charles Stern, 1899-</t>
  </si>
  <si>
    <t xml:space="preserve">(OCoLC)ocm01371032</t>
  </si>
  <si>
    <t xml:space="preserve">Public Administration Service,</t>
  </si>
  <si>
    <t xml:space="preserve">AS4.U83 A8</t>
  </si>
  <si>
    <t xml:space="preserve">AS    4            U 83   A 8</t>
  </si>
  <si>
    <t xml:space="preserve">United States and UNESCO: challenges for the future. Report of the special national conference of the United States National Commission for UNESCO, 1966, by Ronald Gross and Judith Murphy.</t>
  </si>
  <si>
    <t xml:space="preserve">Gross, Ronald.</t>
  </si>
  <si>
    <t xml:space="preserve">United States and UNESCO: challenges for the future. Report of the special national conference of the United States National Commission for UNESCO, 19</t>
  </si>
  <si>
    <t xml:space="preserve">(OCoLC)ocm00688580</t>
  </si>
  <si>
    <t xml:space="preserve">Available from the U.S. National Commission for UNESCO, Dept. of State,</t>
  </si>
  <si>
    <t xml:space="preserve">AS4.U83 G75</t>
  </si>
  <si>
    <t xml:space="preserve">AS    4            U 83   G 75</t>
  </si>
  <si>
    <t xml:space="preserve">Some aspects of UNESCO's role with respect to bibliographic control, 1945-1965 / prepared by Florence M. Kasiske.</t>
  </si>
  <si>
    <t xml:space="preserve">Kasiske, Florence M.</t>
  </si>
  <si>
    <t xml:space="preserve">Some aspects of UNESCO's role with respect to bibliographic control, 1945-1965 /</t>
  </si>
  <si>
    <t xml:space="preserve">(OCoLC)ocm04458721</t>
  </si>
  <si>
    <t xml:space="preserve">AS4.U83 K31967A</t>
  </si>
  <si>
    <t xml:space="preserve">AS    4            U 83   K 31967 A</t>
  </si>
  <si>
    <t xml:space="preserve">Unesco: purpose, progress, prospects [by] Walter H.C. Laves [and] Charles A. Thomson.</t>
  </si>
  <si>
    <t xml:space="preserve">Laves, Walter Herman Carl, 1902-</t>
  </si>
  <si>
    <t xml:space="preserve">Unesco: purpose, progress, prospects</t>
  </si>
  <si>
    <t xml:space="preserve">(OCoLC)ocm01022079</t>
  </si>
  <si>
    <t xml:space="preserve">AS4.U83 L3</t>
  </si>
  <si>
    <t xml:space="preserve">AS    4            U 83   L 3</t>
  </si>
  <si>
    <t xml:space="preserve">Unesco in perspective. ReneÂ¿Â¿ Maheu.</t>
  </si>
  <si>
    <t xml:space="preserve">Maheu, ReneÂ¿Â¿, 1905-</t>
  </si>
  <si>
    <t xml:space="preserve">(OCoLC)ocm01321755</t>
  </si>
  <si>
    <t xml:space="preserve">AS4.U83 M33</t>
  </si>
  <si>
    <t xml:space="preserve">AS    4            U 83   M 33</t>
  </si>
  <si>
    <t xml:space="preserve">Building the future : Unesco and the solidarity of nations / Amadou-Mahtar M'Bow.</t>
  </si>
  <si>
    <t xml:space="preserve">M'Bow, Amadou Mahtar, 1921-</t>
  </si>
  <si>
    <t xml:space="preserve">Building the future : Unesco and the solidarity of nations /</t>
  </si>
  <si>
    <t xml:space="preserve">(OCoLC)ocm07850982</t>
  </si>
  <si>
    <t xml:space="preserve">AS4.U83 M36</t>
  </si>
  <si>
    <t xml:space="preserve">AS    4            U 83   M 36</t>
  </si>
  <si>
    <t xml:space="preserve">Politics of international cooperation; contrasting conceptions of U.N.E.S.C.O.</t>
  </si>
  <si>
    <t xml:space="preserve">Sathyamurthy, T. V.</t>
  </si>
  <si>
    <t xml:space="preserve">(OCoLC)ocm00387013</t>
  </si>
  <si>
    <t xml:space="preserve">AS4.U83 S35</t>
  </si>
  <si>
    <t xml:space="preserve">AS    4            U 83   S 35</t>
  </si>
  <si>
    <t xml:space="preserve">UNESCO: assessment and promise.</t>
  </si>
  <si>
    <t xml:space="preserve">Shuster, George Nauman, 1894-</t>
  </si>
  <si>
    <t xml:space="preserve">(OCoLC)ocm02922079</t>
  </si>
  <si>
    <t xml:space="preserve">Published for the Council on Foreign Relations by Harper &amp; Row</t>
  </si>
  <si>
    <t xml:space="preserve">AS4.U83 S45</t>
  </si>
  <si>
    <t xml:space="preserve">AS    4            U 83   S 45</t>
  </si>
  <si>
    <t xml:space="preserve">Twentieth anniversary of the organization, 4 November 1966; speeches and messages.</t>
  </si>
  <si>
    <t xml:space="preserve">(OCoLC)ocm00128092</t>
  </si>
  <si>
    <t xml:space="preserve">AS4.U83 T88</t>
  </si>
  <si>
    <t xml:space="preserve">AS    4            U 83   T 88</t>
  </si>
  <si>
    <t xml:space="preserve">United States National Commission for UNESCO.</t>
  </si>
  <si>
    <t xml:space="preserve">Wilson, Howard Eugene, 1901-1966.</t>
  </si>
  <si>
    <t xml:space="preserve">(OCoLC)ocm01444180</t>
  </si>
  <si>
    <t xml:space="preserve">Macmillan Co.,</t>
  </si>
  <si>
    <t xml:space="preserve">AS4.U83 W53</t>
  </si>
  <si>
    <t xml:space="preserve">AS    4            U 83   W 53</t>
  </si>
  <si>
    <t xml:space="preserve">From Montreal to the Maritime Provinces and back ... by A. G. Gilbert. Introduction by Douglas Lochhead.</t>
  </si>
  <si>
    <t xml:space="preserve">Gilbert, Alexander Glen, 1840-1913.</t>
  </si>
  <si>
    <t xml:space="preserve">From Montreal to the Maritime Provinces and back ...</t>
  </si>
  <si>
    <t xml:space="preserve">(OCoLC)ocm00037957</t>
  </si>
  <si>
    <t xml:space="preserve">Bibliographical Society of Canada,</t>
  </si>
  <si>
    <t xml:space="preserve">AS42.B47 NO.7</t>
  </si>
  <si>
    <t xml:space="preserve">AS   42            B 47   NO .7</t>
  </si>
  <si>
    <t xml:space="preserve">Notes on Rupert's Land, by G. O. Corbett. Introd. by Bruce Peel.</t>
  </si>
  <si>
    <t xml:space="preserve">CORBETT, GRIFFITH OWEN.</t>
  </si>
  <si>
    <t xml:space="preserve">Notes on Rupert's Land,</t>
  </si>
  <si>
    <t xml:space="preserve">(OCoLC)ocm00039406</t>
  </si>
  <si>
    <t xml:space="preserve">Bibliographical Society of Canada [Publications Committee]</t>
  </si>
  <si>
    <t xml:space="preserve">AS42.B47 NO.8</t>
  </si>
  <si>
    <t xml:space="preserve">AS   42            B 47   NO .8</t>
  </si>
  <si>
    <t xml:space="preserve">Bison and the fur trade, by R. O. Merriman.</t>
  </si>
  <si>
    <t xml:space="preserve">MERRIMAN, ROBERT OWEN, 1894-</t>
  </si>
  <si>
    <t xml:space="preserve">Bison and the fur trade,</t>
  </si>
  <si>
    <t xml:space="preserve">(OCoLC)ocm01346243</t>
  </si>
  <si>
    <t xml:space="preserve">The Jackson press</t>
  </si>
  <si>
    <t xml:space="preserve">AS42.Q6 NO.53</t>
  </si>
  <si>
    <t xml:space="preserve">AS   42            Q 6   NO .53</t>
  </si>
  <si>
    <t xml:space="preserve">Academies in Ming China : a historical essay / John Meskill.</t>
  </si>
  <si>
    <t xml:space="preserve">Meskill, John Thomas, 1925-</t>
  </si>
  <si>
    <t xml:space="preserve">Academies in Ming China : a historical essay /</t>
  </si>
  <si>
    <t xml:space="preserve">(OCoLC)ocm08132077</t>
  </si>
  <si>
    <t xml:space="preserve">Published for the Association for Asian Studies by the University of Arizona Press,</t>
  </si>
  <si>
    <t xml:space="preserve">AS445 .M471982</t>
  </si>
  <si>
    <t xml:space="preserve">AS  445            M 471982</t>
  </si>
  <si>
    <t xml:space="preserve">Mainland China organizations of higher learning in science and technology and their publications, a selected guide. Compiled by Chi Wang [oriental science specialist]</t>
  </si>
  <si>
    <t xml:space="preserve">Library of Congress. Science and Technology Division.</t>
  </si>
  <si>
    <t xml:space="preserve">Mainland China organizations of higher learning in science and technology and their publications, a selected guide.</t>
  </si>
  <si>
    <t xml:space="preserve">(OCoLC)ocm01214796</t>
  </si>
  <si>
    <t xml:space="preserve">AS448 .U5</t>
  </si>
  <si>
    <t xml:space="preserve">AS  448            U 5</t>
  </si>
  <si>
    <t xml:space="preserve">AndoÂ¿Â¿ ShoÂ¿Â¿eki and the anatomy of Japanese feudalism / by E. Herbert Norman.</t>
  </si>
  <si>
    <t xml:space="preserve">Norman, E. Herbert, 1909-1957.</t>
  </si>
  <si>
    <t xml:space="preserve">AndoÂ¿Â¿ ShoÂ¿Â¿eki and the anatomy of Japanese feudalism /</t>
  </si>
  <si>
    <t xml:space="preserve">(OCoLC)ocm17259072</t>
  </si>
  <si>
    <t xml:space="preserve">Asiatic Society of Japan,</t>
  </si>
  <si>
    <t xml:space="preserve">AS552 .A83 ser.3 vol.2</t>
  </si>
  <si>
    <t xml:space="preserve">AS  552            A 83   SER .3   VOL .2</t>
  </si>
  <si>
    <t xml:space="preserve">Journal of the Perry expedition to Japan (1853-1854)</t>
  </si>
  <si>
    <t xml:space="preserve">Williams, S. Wells (Samuel Wells), 1812-1884.</t>
  </si>
  <si>
    <t xml:space="preserve">[Reprint ed.]</t>
  </si>
  <si>
    <t xml:space="preserve">(OCoLC)ocm00768150</t>
  </si>
  <si>
    <t xml:space="preserve">Scholarly Resources</t>
  </si>
  <si>
    <t xml:space="preserve">AS552 .Y8VOL.37PT.21910R</t>
  </si>
  <si>
    <t xml:space="preserve">AS  552            Y 8 VOL .37 PT .21910 R</t>
  </si>
  <si>
    <t xml:space="preserve">Scripta Hierosolymitana : publications of the Hebrew University, Jerusalem.</t>
  </si>
  <si>
    <t xml:space="preserve">UniversitÂ¿Â¿ah ha-Â¿Â¿Ivrit bi-Yerushalayim.</t>
  </si>
  <si>
    <t xml:space="preserve">(OCoLC)ocm01681034</t>
  </si>
  <si>
    <t xml:space="preserve">[1954-</t>
  </si>
  <si>
    <t xml:space="preserve">Magnes Press, Hebrew University,</t>
  </si>
  <si>
    <t xml:space="preserve">AS591.J4 A25</t>
  </si>
  <si>
    <t xml:space="preserve">AS  591            J 4   A 25</t>
  </si>
  <si>
    <t xml:space="preserve">Warmups for meeting leaders / Sue Bianchi, Jan Butler, David Richey.</t>
  </si>
  <si>
    <t xml:space="preserve">Bianchi, Sue, 1952-</t>
  </si>
  <si>
    <t xml:space="preserve">Warmups for meeting leaders /</t>
  </si>
  <si>
    <t xml:space="preserve">0883902494 (looseleaf)</t>
  </si>
  <si>
    <t xml:space="preserve">(OCoLC)ocm22208450</t>
  </si>
  <si>
    <t xml:space="preserve">University Associates,</t>
  </si>
  <si>
    <t xml:space="preserve">AS6 .B481990</t>
  </si>
  <si>
    <t xml:space="preserve">AS    6            B 481990</t>
  </si>
  <si>
    <t xml:space="preserve">How to run a conference / by Marion Bieber.</t>
  </si>
  <si>
    <t xml:space="preserve">Bieber, Marion.</t>
  </si>
  <si>
    <t xml:space="preserve">How to run a conference /</t>
  </si>
  <si>
    <t xml:space="preserve">(OCoLC)ocm00014112</t>
  </si>
  <si>
    <t xml:space="preserve">Allen &amp; Unwin,</t>
  </si>
  <si>
    <t xml:space="preserve">AS6 .B5</t>
  </si>
  <si>
    <t xml:space="preserve">AS    6            B 5</t>
  </si>
  <si>
    <t xml:space="preserve">Communication or conflict; conferences: their nature, dynamics, and planning. With the collaboration of A.T.M. Wilson.</t>
  </si>
  <si>
    <t xml:space="preserve">Capes, Mary.</t>
  </si>
  <si>
    <t xml:space="preserve">Communication or conflict; conferences: their nature, dynamics, and planning.</t>
  </si>
  <si>
    <t xml:space="preserve">(OCoLC)ocm00921963</t>
  </si>
  <si>
    <t xml:space="preserve">Association Press</t>
  </si>
  <si>
    <t xml:space="preserve">AS6 .C271960A</t>
  </si>
  <si>
    <t xml:space="preserve">AS    6            C 271960 A</t>
  </si>
  <si>
    <t xml:space="preserve">Your annual meeting, how to make the most of it; describing the purpose, plan, and program of health, welfare, and civic organization annual meetings, with tested methods of preparation and presentation. Drawings by Herbert Rennell.</t>
  </si>
  <si>
    <t xml:space="preserve">Carp, Bernard, 1908-</t>
  </si>
  <si>
    <t xml:space="preserve">Your annual meeting, how to make the most of it; describing the purpose, plan, and program of health, welfare, and civic organization annual meetings,</t>
  </si>
  <si>
    <t xml:space="preserve">(OCoLC)ocm01415730</t>
  </si>
  <si>
    <t xml:space="preserve">National Publicity Council for Health and Welfare Services</t>
  </si>
  <si>
    <t xml:space="preserve">AS6 .C3</t>
  </si>
  <si>
    <t xml:space="preserve">AS    6            C 3</t>
  </si>
  <si>
    <t xml:space="preserve">BOARD MEMBERS' MANUAL: HOW TO PRODUCE AND USE IT IN BOARD EDUCATION.</t>
  </si>
  <si>
    <t xml:space="preserve">Demorest, Charlotte K</t>
  </si>
  <si>
    <t xml:space="preserve">se 01011337</t>
  </si>
  <si>
    <t xml:space="preserve">AS6 .D4</t>
  </si>
  <si>
    <t xml:space="preserve">AS    6            D 4</t>
  </si>
  <si>
    <t xml:space="preserve">Successful conference and convention planning / Robert H. Drain, Neil Oakley.</t>
  </si>
  <si>
    <t xml:space="preserve">Drain, Robert H.</t>
  </si>
  <si>
    <t xml:space="preserve">Successful conference and convention planning /</t>
  </si>
  <si>
    <t xml:space="preserve">(OCoLC)ocm04809576</t>
  </si>
  <si>
    <t xml:space="preserve">McGraw-Hill Ryerson,</t>
  </si>
  <si>
    <t xml:space="preserve">AS6 .D7</t>
  </si>
  <si>
    <t xml:space="preserve">AS    6            D 7</t>
  </si>
  <si>
    <t xml:space="preserve">Meetings, meetings : how to manipulate them and make them more fun / Winston Fletcher.</t>
  </si>
  <si>
    <t xml:space="preserve">Fletcher, Winston.</t>
  </si>
  <si>
    <t xml:space="preserve">Meetings, meetings : how to manipulate them and make them more fun /</t>
  </si>
  <si>
    <t xml:space="preserve">(OCoLC)ocm09828695</t>
  </si>
  <si>
    <t xml:space="preserve">1984, c1983.</t>
  </si>
  <si>
    <t xml:space="preserve">W. Morrow,</t>
  </si>
  <si>
    <t xml:space="preserve">AS6 .F591984</t>
  </si>
  <si>
    <t xml:space="preserve">AS    6            F 591984</t>
  </si>
  <si>
    <t xml:space="preserve">Conference and workshop planner's manual / Lois Borland Hart, J. Gordon Schleicher.</t>
  </si>
  <si>
    <t xml:space="preserve">Hart, Lois Borland.</t>
  </si>
  <si>
    <t xml:space="preserve">Conference and workshop planner's manual /</t>
  </si>
  <si>
    <t xml:space="preserve">0814455301 :</t>
  </si>
  <si>
    <t xml:space="preserve">(OCoLC)ocm05171474</t>
  </si>
  <si>
    <t xml:space="preserve">AMACOM,</t>
  </si>
  <si>
    <t xml:space="preserve">AS6 .H37</t>
  </si>
  <si>
    <t xml:space="preserve">AS    6            H 37</t>
  </si>
  <si>
    <t xml:space="preserve">How to run better meetings.</t>
  </si>
  <si>
    <t xml:space="preserve">Hegarty, Edward J.</t>
  </si>
  <si>
    <t xml:space="preserve">(OCoLC)ocm00964641</t>
  </si>
  <si>
    <t xml:space="preserve">McGraw-Hill,</t>
  </si>
  <si>
    <t xml:space="preserve">AS6 .H4</t>
  </si>
  <si>
    <t xml:space="preserve">AS    6            H 4</t>
  </si>
  <si>
    <t xml:space="preserve">Effective board.</t>
  </si>
  <si>
    <t xml:space="preserve">Houle, Cyril Orvin, 1913-</t>
  </si>
  <si>
    <t xml:space="preserve">(OCoLC)ocm00369400</t>
  </si>
  <si>
    <t xml:space="preserve">AS6 .H65</t>
  </si>
  <si>
    <t xml:space="preserve">AS    6            H 65</t>
  </si>
  <si>
    <t xml:space="preserve">Improving conference design and outcomes / Paul J. Ilsley, editor.</t>
  </si>
  <si>
    <t xml:space="preserve">Improving conference design and outcomes /</t>
  </si>
  <si>
    <t xml:space="preserve">(OCoLC)ocm13023982</t>
  </si>
  <si>
    <t xml:space="preserve">Jossey-Bass,</t>
  </si>
  <si>
    <t xml:space="preserve">AS6 .I541985</t>
  </si>
  <si>
    <t xml:space="preserve">AS    6            I 541985</t>
  </si>
  <si>
    <t xml:space="preserve">Conventions: an American institution. Edited by J. S. Turner.</t>
  </si>
  <si>
    <t xml:space="preserve">International Association of Convention Bureaus.</t>
  </si>
  <si>
    <t xml:space="preserve">Conventions: an American institution.</t>
  </si>
  <si>
    <t xml:space="preserve">(OCoLC)ocm01803872</t>
  </si>
  <si>
    <t xml:space="preserve">1958]</t>
  </si>
  <si>
    <t xml:space="preserve">AS6 .I551958</t>
  </si>
  <si>
    <t xml:space="preserve">AS    6            I 551958</t>
  </si>
  <si>
    <t xml:space="preserve">How to run seminars and workshops : presentation skills for consultants, trainers, and teachers / Robert L. Jolles.</t>
  </si>
  <si>
    <t xml:space="preserve">Jolles, Robert L., 1957-</t>
  </si>
  <si>
    <t xml:space="preserve">How to run seminars and workshops : presentation skills for consultants, trainers, and teachers /</t>
  </si>
  <si>
    <t xml:space="preserve">0471594784 (cloth)</t>
  </si>
  <si>
    <t xml:space="preserve">(OCoLC)ocm28293424</t>
  </si>
  <si>
    <t xml:space="preserve">John Wiley &amp; Sons,</t>
  </si>
  <si>
    <t xml:space="preserve">AS6 .J65 1994</t>
  </si>
  <si>
    <t xml:space="preserve">AS    6            J 65   1994</t>
  </si>
  <si>
    <t xml:space="preserve">8/19/2009</t>
  </si>
  <si>
    <t xml:space="preserve">Organizing the technical conference. Illustrated by Joseph H. Calley.</t>
  </si>
  <si>
    <t xml:space="preserve">Kindler, Herbert S</t>
  </si>
  <si>
    <t xml:space="preserve">Organizing the technical conference.</t>
  </si>
  <si>
    <t xml:space="preserve">(OCoLC)ocm01679989</t>
  </si>
  <si>
    <t xml:space="preserve">Reinhold Pub. Corp., Chapman &amp; Hall,</t>
  </si>
  <si>
    <t xml:space="preserve">AS6 .K48</t>
  </si>
  <si>
    <t xml:space="preserve">AS    6            K 48</t>
  </si>
  <si>
    <t xml:space="preserve">For those who must lead; a guide to effective management, by the faculty of Hillsdale College, Hillsdale, Michigan, principally J. Donald Phillips, Laurence J. Taylor [and] Michael E. Kolivosky.</t>
  </si>
  <si>
    <t xml:space="preserve">For those who must lead; a guide to effective management,</t>
  </si>
  <si>
    <t xml:space="preserve">(OCoLC)ocm01433025</t>
  </si>
  <si>
    <t xml:space="preserve">Dartnell,</t>
  </si>
  <si>
    <t xml:space="preserve">AS6 .L38</t>
  </si>
  <si>
    <t xml:space="preserve">AS    6            L 38</t>
  </si>
  <si>
    <t xml:space="preserve">4/9/2009</t>
  </si>
  <si>
    <t xml:space="preserve">Business meetings that make business, by John L. Lobingier, Jr.</t>
  </si>
  <si>
    <t xml:space="preserve">Lobingier, John Leslie, 1919-</t>
  </si>
  <si>
    <t xml:space="preserve">Business meetings that make business,</t>
  </si>
  <si>
    <t xml:space="preserve">(OCoLC)ocm00006207</t>
  </si>
  <si>
    <t xml:space="preserve">Collier Books</t>
  </si>
  <si>
    <t xml:space="preserve">AS6 .L58</t>
  </si>
  <si>
    <t xml:space="preserve">AS    6            L 58</t>
  </si>
  <si>
    <t xml:space="preserve">All about meetings; a practical guide.</t>
  </si>
  <si>
    <t xml:space="preserve">Long, Fern.</t>
  </si>
  <si>
    <t xml:space="preserve">(OCoLC)ocm00483827</t>
  </si>
  <si>
    <t xml:space="preserve">Oceana Publications,</t>
  </si>
  <si>
    <t xml:space="preserve">AS6 .L6</t>
  </si>
  <si>
    <t xml:space="preserve">AS    6            L 6</t>
  </si>
  <si>
    <t xml:space="preserve">Running conventions, conferences, and meetings / Robert W. Lord.</t>
  </si>
  <si>
    <t xml:space="preserve">Lord, Robert W.</t>
  </si>
  <si>
    <t xml:space="preserve">Running conventions, conferences, and meetings /</t>
  </si>
  <si>
    <t xml:space="preserve">081445643X</t>
  </si>
  <si>
    <t xml:space="preserve">(OCoLC)ocm07175996</t>
  </si>
  <si>
    <t xml:space="preserve">AS6 .L63</t>
  </si>
  <si>
    <t xml:space="preserve">AS    6            L 63</t>
  </si>
  <si>
    <t xml:space="preserve">How to organize and manage a seminar : what to do and when to do it / Sheila L. Murray.</t>
  </si>
  <si>
    <t xml:space="preserve">Murray, Sheila L.</t>
  </si>
  <si>
    <t xml:space="preserve">How to organize and manage a seminar : what to do and when to do it /</t>
  </si>
  <si>
    <t xml:space="preserve">(OCoLC)ocm08626584</t>
  </si>
  <si>
    <t xml:space="preserve">AS6 .M871983</t>
  </si>
  <si>
    <t xml:space="preserve">AS    6            M 871983</t>
  </si>
  <si>
    <t xml:space="preserve">Conference book / Leonard Nadler, Zeace Nadler.</t>
  </si>
  <si>
    <t xml:space="preserve">Nadler, Leonard.</t>
  </si>
  <si>
    <t xml:space="preserve">Conference book /</t>
  </si>
  <si>
    <t xml:space="preserve">(OCoLC)ocm03205391</t>
  </si>
  <si>
    <t xml:space="preserve">Gulf Pub. Co., Book Division,</t>
  </si>
  <si>
    <t xml:space="preserve">AS6 .N25</t>
  </si>
  <si>
    <t xml:space="preserve">AS    6            N 25</t>
  </si>
  <si>
    <t xml:space="preserve">Twenty questions on conference leadership [by] Ernest D. Nathan.</t>
  </si>
  <si>
    <t xml:space="preserve">Nathan, Ernest D.</t>
  </si>
  <si>
    <t xml:space="preserve">Twenty questions on conference leadership</t>
  </si>
  <si>
    <t xml:space="preserve">(OCoLC)ocm00072116</t>
  </si>
  <si>
    <t xml:space="preserve">Addison-Wesley Pub. Co.</t>
  </si>
  <si>
    <t xml:space="preserve">AS6 .N3</t>
  </si>
  <si>
    <t xml:space="preserve">AS    6            N 3</t>
  </si>
  <si>
    <t xml:space="preserve">24 questions in group leadership / Ernest D. Nathan.</t>
  </si>
  <si>
    <t xml:space="preserve">24 questions in group leadership /</t>
  </si>
  <si>
    <t xml:space="preserve">(OCoLC)ocm04641579</t>
  </si>
  <si>
    <t xml:space="preserve">Addison-Wesley,</t>
  </si>
  <si>
    <t xml:space="preserve">AS6 .N31979</t>
  </si>
  <si>
    <t xml:space="preserve">AS    6            N 31979</t>
  </si>
  <si>
    <t xml:space="preserve">Successful meeting master guide : for business and professional people / Barbara C. Palmer, Kenneth R. Palmer.</t>
  </si>
  <si>
    <t xml:space="preserve">Palmer, Barbara C.</t>
  </si>
  <si>
    <t xml:space="preserve">Successful meeting master guide : for business and professional people /</t>
  </si>
  <si>
    <t xml:space="preserve">(OCoLC)ocm08452473</t>
  </si>
  <si>
    <t xml:space="preserve">AS6 .P281983</t>
  </si>
  <si>
    <t xml:space="preserve">AS    6            P 281983</t>
  </si>
  <si>
    <t xml:space="preserve">Collier quick and easy guide to running a meeting. With a foreword by Robert A. Luke.</t>
  </si>
  <si>
    <t xml:space="preserve">Parker, Jack T</t>
  </si>
  <si>
    <t xml:space="preserve">Collier quick and easy guide to running a meeting.</t>
  </si>
  <si>
    <t xml:space="preserve">1st. ed.</t>
  </si>
  <si>
    <t xml:space="preserve">(OCoLC)ocm03011084</t>
  </si>
  <si>
    <t xml:space="preserve">AS6 .P3</t>
  </si>
  <si>
    <t xml:space="preserve">AS    6            P 3</t>
  </si>
  <si>
    <t xml:space="preserve">How to organize effective conferences and meetings / David Seekings.</t>
  </si>
  <si>
    <t xml:space="preserve">Seekings, David.</t>
  </si>
  <si>
    <t xml:space="preserve">How to organize effective conferences and meetings /</t>
  </si>
  <si>
    <t xml:space="preserve">(OCoLC)ocm11039550</t>
  </si>
  <si>
    <t xml:space="preserve">Kogan Page,</t>
  </si>
  <si>
    <t xml:space="preserve">AS6 .S431984</t>
  </si>
  <si>
    <t xml:space="preserve">AS    6            S 431984</t>
  </si>
  <si>
    <t xml:space="preserve">How to develop and promote successful seminars and workshops : the definitive guide to creating and marketing seminars, workshops, classes, and conferences / Howard L. Shenson.</t>
  </si>
  <si>
    <t xml:space="preserve">Shenson, Howard L.</t>
  </si>
  <si>
    <t xml:space="preserve">How to develop and promote successful seminars and workshops : the definitive guide to creating and marketing seminars, workshops, classes, and confer</t>
  </si>
  <si>
    <t xml:space="preserve">(OCoLC)ocm21196204</t>
  </si>
  <si>
    <t xml:space="preserve">Wiley,</t>
  </si>
  <si>
    <t xml:space="preserve">AS6 .S49 1990</t>
  </si>
  <si>
    <t xml:space="preserve">AS    6            S 49   1990</t>
  </si>
  <si>
    <t xml:space="preserve">10/15/2004</t>
  </si>
  <si>
    <t xml:space="preserve">Cosmopolitan conversation : the language problems of international conferences / Herbert Newhard Shenton.</t>
  </si>
  <si>
    <t xml:space="preserve">Shenton, Herbert Newhard, 1884-</t>
  </si>
  <si>
    <t xml:space="preserve">Cosmopolitan conversation : the language problems of international conferences /</t>
  </si>
  <si>
    <t xml:space="preserve">(OCoLC)ocm01424753</t>
  </si>
  <si>
    <t xml:space="preserve">AS6 .S5</t>
  </si>
  <si>
    <t xml:space="preserve">AS    6            S 5</t>
  </si>
  <si>
    <t xml:space="preserve">Mechanics of committee work, an essay on the tasks of a committee secretary.</t>
  </si>
  <si>
    <t xml:space="preserve">SIMPSON, E. H.</t>
  </si>
  <si>
    <t xml:space="preserve">(OCoLC)ocm11118685</t>
  </si>
  <si>
    <t xml:space="preserve">International Institute of Administrative Sciens</t>
  </si>
  <si>
    <t xml:space="preserve">AS6 .S551962</t>
  </si>
  <si>
    <t xml:space="preserve">AS    6            S 551962</t>
  </si>
  <si>
    <t xml:space="preserve">How to hold a better meeting. Illus. by Rupert Witalis.</t>
  </si>
  <si>
    <t xml:space="preserve">Snell, Frank.</t>
  </si>
  <si>
    <t xml:space="preserve">How to hold a better meeting.</t>
  </si>
  <si>
    <t xml:space="preserve">(OCoLC)ocm01208414</t>
  </si>
  <si>
    <t xml:space="preserve">AS6 .S57</t>
  </si>
  <si>
    <t xml:space="preserve">AS    6            S 57</t>
  </si>
  <si>
    <t xml:space="preserve">Conduct of meetings.</t>
  </si>
  <si>
    <t xml:space="preserve">Stanford, Geoffrey Hunt.</t>
  </si>
  <si>
    <t xml:space="preserve">(OCoLC)ocm02514002</t>
  </si>
  <si>
    <t xml:space="preserve">AS6 .S71964</t>
  </si>
  <si>
    <t xml:space="preserve">AS    6            S 71964</t>
  </si>
  <si>
    <t xml:space="preserve">Conference handbook; a guide to planning and conducting association conferences. Edited by Anita P. Loeber [and others.</t>
  </si>
  <si>
    <t xml:space="preserve">Systems and Procedures Association.</t>
  </si>
  <si>
    <t xml:space="preserve">Conference handbook; a guide to planning and conducting association conferences.</t>
  </si>
  <si>
    <t xml:space="preserve">(OCoLC)ocm03248136</t>
  </si>
  <si>
    <t xml:space="preserve">1962]</t>
  </si>
  <si>
    <t xml:space="preserve">AS6 .S9</t>
  </si>
  <si>
    <t xml:space="preserve">AS    6            S 9</t>
  </si>
  <si>
    <t xml:space="preserve">Committee common sense, by Audrey R. Trecker and Harleigh B. Trecker.</t>
  </si>
  <si>
    <t xml:space="preserve">Trecker, Audrey R.</t>
  </si>
  <si>
    <t xml:space="preserve">Committee common sense,</t>
  </si>
  <si>
    <t xml:space="preserve">(OCoLC)ocm01315000</t>
  </si>
  <si>
    <t xml:space="preserve">Whiteside,</t>
  </si>
  <si>
    <t xml:space="preserve">AS6 .T7</t>
  </si>
  <si>
    <t xml:space="preserve">AS    6            T 7</t>
  </si>
  <si>
    <t xml:space="preserve">Making meetings work : achieving high quality group decisions / John E. Tropman.</t>
  </si>
  <si>
    <t xml:space="preserve">Tropman, John E.</t>
  </si>
  <si>
    <t xml:space="preserve">Making meetings work : achieving high quality group decisions /</t>
  </si>
  <si>
    <t xml:space="preserve">0803973586 (c : alk. paper)</t>
  </si>
  <si>
    <t xml:space="preserve">(OCoLC)ocm32969473</t>
  </si>
  <si>
    <t xml:space="preserve">Sage Publications,</t>
  </si>
  <si>
    <t xml:space="preserve">AS6 .T743 1996</t>
  </si>
  <si>
    <t xml:space="preserve">AS    6            T 743   1996</t>
  </si>
  <si>
    <t xml:space="preserve">Glossary of conference terms, English, French, Arabic = Vocabulaire des confeÂ¿Â¿rences, anglais, francÂ¿Â¿ais, arabe = Mu'jam musÂ¿Â¿tÂ¿Â¿ain-hÂ¿Â¿aÂ¿Â¿t al-mu'tamaraÂ¿Â¿t, InjiliÂ¿Â¿ziÂ¿Â¿, FaransiÂ¿Â¿ 'ArabiÂ¿Â¿.</t>
  </si>
  <si>
    <t xml:space="preserve">Glossary of conference terms, English, French, Arabic = Vocabulaire des confeÂ¿Â¿rences, anglais, francÂ¿Â¿ais, arabe = Mu'jam musÂ¿Â¿tÂ¿Â¿ain-hÂ¿Â¿aÂ¿Â¿t al-mu't</t>
  </si>
  <si>
    <t xml:space="preserve">(OCoLC)ocm03762509</t>
  </si>
  <si>
    <t xml:space="preserve">AS6 .U571974</t>
  </si>
  <si>
    <t xml:space="preserve">AS    6            U 571974</t>
  </si>
  <si>
    <t xml:space="preserve">Business conference: leadership and participation [by] Harold P. Zelko.</t>
  </si>
  <si>
    <t xml:space="preserve">Zelko, Harold P.</t>
  </si>
  <si>
    <t xml:space="preserve">Business conference: leadership and participation</t>
  </si>
  <si>
    <t xml:space="preserve">(OCoLC)ocm00012043</t>
  </si>
  <si>
    <t xml:space="preserve">AS6 .Z41969</t>
  </si>
  <si>
    <t xml:space="preserve">AS    6            Z 41969</t>
  </si>
  <si>
    <t xml:space="preserve">LATIN AMERICAN INTEREST DIRECTORY</t>
  </si>
  <si>
    <t xml:space="preserve">Associated Universities for International Education.</t>
  </si>
  <si>
    <t xml:space="preserve">se 01011360</t>
  </si>
  <si>
    <t xml:space="preserve">AS8 .A8</t>
  </si>
  <si>
    <t xml:space="preserve">AS    8            A 8</t>
  </si>
  <si>
    <t xml:space="preserve">Awards, honors, and prizes.</t>
  </si>
  <si>
    <t xml:space="preserve">(OCoLC)ocm01326263</t>
  </si>
  <si>
    <t xml:space="preserve">[1969]-</t>
  </si>
  <si>
    <t xml:space="preserve">AS8 .A93</t>
  </si>
  <si>
    <t xml:space="preserve">AS    8            A 93</t>
  </si>
  <si>
    <t xml:space="preserve">10th ed. 2 (1993-94)</t>
  </si>
  <si>
    <t xml:space="preserve">10th ed. 1 (1993-94)</t>
  </si>
  <si>
    <t xml:space="preserve">Somewhere else; a living-learning catalog. Edited by Center for Curriculum Design. Foreword by John Holt.</t>
  </si>
  <si>
    <t xml:space="preserve">Center for Curriculum Design</t>
  </si>
  <si>
    <t xml:space="preserve">Somewhere else; a living-learning catalog.</t>
  </si>
  <si>
    <t xml:space="preserve">0804006105 (pbk.)</t>
  </si>
  <si>
    <t xml:space="preserve">(OCoLC)ocm00671994</t>
  </si>
  <si>
    <t xml:space="preserve">Swallow Press</t>
  </si>
  <si>
    <t xml:space="preserve">AS8 .C41973</t>
  </si>
  <si>
    <t xml:space="preserve">AS    8            C 41973</t>
  </si>
  <si>
    <t xml:space="preserve">Computer-assisted research in the humanities : a directory of scholars active / edited by Joseph Raben.</t>
  </si>
  <si>
    <t xml:space="preserve">Computer-assisted research in the humanities : a directory of scholars active /</t>
  </si>
  <si>
    <t xml:space="preserve">(OCoLC)ocm01500267</t>
  </si>
  <si>
    <t xml:space="preserve">Pergamon Press,</t>
  </si>
  <si>
    <t xml:space="preserve">AS8 .C631977</t>
  </si>
  <si>
    <t xml:space="preserve">AS    8            C 631977</t>
  </si>
  <si>
    <t xml:space="preserve">ara</t>
  </si>
  <si>
    <t xml:space="preserve">Acronyms and abbreviations covering the United Nations system and other international organizations... / Department of Conference Services, Translation Division, Documentation, Reference, and Terminology Section.</t>
  </si>
  <si>
    <t xml:space="preserve">Acronyms and abbreviations covering the United Nations system and other international organizations... /</t>
  </si>
  <si>
    <t xml:space="preserve">(OCoLC)ocm12693355</t>
  </si>
  <si>
    <t xml:space="preserve">United Nations,</t>
  </si>
  <si>
    <t xml:space="preserve">AS8 .M841981</t>
  </si>
  <si>
    <t xml:space="preserve">AS    8            M 841981</t>
  </si>
  <si>
    <t xml:space="preserve">Calendar of meetings of national and regional educational associations, 1970-1971. Mary R. Laidig, editor.</t>
  </si>
  <si>
    <t xml:space="preserve">National Catholic Educational Association.</t>
  </si>
  <si>
    <t xml:space="preserve">Calendar of meetings of national and regional educational associations, 1970-1971.</t>
  </si>
  <si>
    <t xml:space="preserve">(OCoLC)ocm01063262</t>
  </si>
  <si>
    <t xml:space="preserve">AS8 .N38</t>
  </si>
  <si>
    <t xml:space="preserve">AS    8            N 38</t>
  </si>
  <si>
    <t xml:space="preserve">Scientific and academic world. [Editor: F.E. Nord.</t>
  </si>
  <si>
    <t xml:space="preserve">Stifterverband fuÂ¿Â¿r die Deutsche Wissenschaft.</t>
  </si>
  <si>
    <t xml:space="preserve">Scientific and academic world.</t>
  </si>
  <si>
    <t xml:space="preserve">Rev. ed.]</t>
  </si>
  <si>
    <t xml:space="preserve">(OCoLC)ocm00995893</t>
  </si>
  <si>
    <t xml:space="preserve">AS8 .S7531962</t>
  </si>
  <si>
    <t xml:space="preserve">AS    8            S 7531962</t>
  </si>
  <si>
    <t xml:space="preserve">International initialese = Sigles internationaux : guide to initials in current international use / Union des associations internationales.</t>
  </si>
  <si>
    <t xml:space="preserve">Union of International Associations.</t>
  </si>
  <si>
    <t xml:space="preserve">International initialese = Sigles internationaux : guide to initials in current international use /</t>
  </si>
  <si>
    <t xml:space="preserve">2d ed., enl.</t>
  </si>
  <si>
    <t xml:space="preserve">(OCoLC)ocm04014113</t>
  </si>
  <si>
    <t xml:space="preserve">Union des associations internationales,</t>
  </si>
  <si>
    <t xml:space="preserve">AS8 .U41963</t>
  </si>
  <si>
    <t xml:space="preserve">AS    8            U 41963</t>
  </si>
  <si>
    <t xml:space="preserve">Alsed directory of specialists and research institutions. ReÂ¿Â¿pertoire Alsed des speÂ¿Â¿cialistes et d'institutions de recherche.</t>
  </si>
  <si>
    <t xml:space="preserve">(OCoLC)ocm01174913</t>
  </si>
  <si>
    <t xml:space="preserve">AS8 .U5221974</t>
  </si>
  <si>
    <t xml:space="preserve">AS    8            U 5221974</t>
  </si>
  <si>
    <t xml:space="preserve">PUBLICACOES</t>
  </si>
  <si>
    <t xml:space="preserve">ACADEMIA CARIOCA DE LETRAS, RIO DE JANEIRO.</t>
  </si>
  <si>
    <t xml:space="preserve">se 00001560</t>
  </si>
  <si>
    <t xml:space="preserve">AS80 .R432</t>
  </si>
  <si>
    <t xml:space="preserve">AS   80            R 432</t>
  </si>
  <si>
    <t xml:space="preserve">1941 (2D SEM)</t>
  </si>
  <si>
    <t xml:space="preserve">Rise of the new people's democratic economy, 1927-1937 / Translated by William W. L. Wan. Check-edited by Man-kam Leung.</t>
  </si>
  <si>
    <t xml:space="preserve">Rise of the new people's democratic economy, 1927-1937 /</t>
  </si>
  <si>
    <t xml:space="preserve">(OCoLC)ocm00388449</t>
  </si>
  <si>
    <t xml:space="preserve">East-West Center,</t>
  </si>
  <si>
    <t xml:space="preserve">AS9.H38 NO.31</t>
  </si>
  <si>
    <t xml:space="preserve">AS    9            H 38   NO .31</t>
  </si>
  <si>
    <t xml:space="preserve">Development of the people's new democratic economy, 1937-1945 / Translated by Anthony H. S. Ma. Check-edited by Man-kam Leung.</t>
  </si>
  <si>
    <t xml:space="preserve">Development of the people's new democratic economy, 1937-1945 /</t>
  </si>
  <si>
    <t xml:space="preserve">(OCoLC)ocm00208177</t>
  </si>
  <si>
    <t xml:space="preserve">AS9.H38 NO.32</t>
  </si>
  <si>
    <t xml:space="preserve">AS    9            H 38   NO .32</t>
  </si>
  <si>
    <t xml:space="preserve">Overall victory of the people's new democratic economy, 1945- 1949 / translated by Anthony H. S. Ma. Check-edited by Man-kam Leung.</t>
  </si>
  <si>
    <t xml:space="preserve">Overall victory of the people's new democratic economy, 1945- 1949 /</t>
  </si>
  <si>
    <t xml:space="preserve">(OCoLC)ocm00201199</t>
  </si>
  <si>
    <t xml:space="preserve">AS9.H38 NO.33</t>
  </si>
  <si>
    <t xml:space="preserve">AS    9            H 38   NO .33</t>
  </si>
  <si>
    <t xml:space="preserve">Jahresbericht / Alexander von Humboldt-Stiftung = Annual report / Alexander von Humboldt Foundation.</t>
  </si>
  <si>
    <t xml:space="preserve">Alexander von Humboldt-Stiftung.</t>
  </si>
  <si>
    <t xml:space="preserve">Jahresbericht /</t>
  </si>
  <si>
    <t xml:space="preserve">(OCoLC)ocm18477072</t>
  </si>
  <si>
    <t xml:space="preserve">c1988-</t>
  </si>
  <si>
    <t xml:space="preserve">Die Stiftung,</t>
  </si>
  <si>
    <t xml:space="preserve">AS911 .A48A</t>
  </si>
  <si>
    <t xml:space="preserve">AS  911            A 48 A</t>
  </si>
  <si>
    <t xml:space="preserve">Bollingen Foundation ... twentieth anniversary report of its activities from December 14, 1945 through December 31, 1965.</t>
  </si>
  <si>
    <t xml:space="preserve">Bollingen Foundation.</t>
  </si>
  <si>
    <t xml:space="preserve">(OCoLC)ocm03113985</t>
  </si>
  <si>
    <t xml:space="preserve">AS911 .B62</t>
  </si>
  <si>
    <t xml:space="preserve">AS  911            B 62</t>
  </si>
  <si>
    <t xml:space="preserve">Report on three year's work.</t>
  </si>
  <si>
    <t xml:space="preserve">Fund for the Republic</t>
  </si>
  <si>
    <t xml:space="preserve">(OCoLC)ocm01610362</t>
  </si>
  <si>
    <t xml:space="preserve">AS911 .F812</t>
  </si>
  <si>
    <t xml:space="preserve">AS  911            F 812</t>
  </si>
  <si>
    <t xml:space="preserve">Reports of the president and the treasurer - John Simon Guggenheim Memorial Foundation.</t>
  </si>
  <si>
    <t xml:space="preserve">John Simon Guggenheim Memorial Foundation.</t>
  </si>
  <si>
    <t xml:space="preserve">(OCoLC)ocm01123066</t>
  </si>
  <si>
    <t xml:space="preserve">AS911 .J6</t>
  </si>
  <si>
    <t xml:space="preserve">AS  911            J 6</t>
  </si>
  <si>
    <t xml:space="preserve">1971/72</t>
  </si>
  <si>
    <t xml:space="preserve">1969/70</t>
  </si>
  <si>
    <t xml:space="preserve">1967/68</t>
  </si>
  <si>
    <t xml:space="preserve">1965/66</t>
  </si>
  <si>
    <t xml:space="preserve">1963/64</t>
  </si>
  <si>
    <t xml:space="preserve">Directory of fellows, 1925-1967.</t>
  </si>
  <si>
    <t xml:space="preserve">(OCoLC)ocm01754304</t>
  </si>
  <si>
    <t xml:space="preserve">AS911 .J67</t>
  </si>
  <si>
    <t xml:space="preserve">AS  911            J 67</t>
  </si>
  <si>
    <t xml:space="preserve">Directory of Fellows, 1925-1974 / John Simon Guggenheim Memorial Foundation.</t>
  </si>
  <si>
    <t xml:space="preserve">Directory of Fellows, 1925-1974 /</t>
  </si>
  <si>
    <t xml:space="preserve">(OCoLC)ocm02597043</t>
  </si>
  <si>
    <t xml:space="preserve">c1975.</t>
  </si>
  <si>
    <t xml:space="preserve">The Foundation,</t>
  </si>
  <si>
    <t xml:space="preserve">AS911 .J671975</t>
  </si>
  <si>
    <t xml:space="preserve">AS  911            J 671975</t>
  </si>
  <si>
    <t xml:space="preserve">Study of company-sponsored foundations.</t>
  </si>
  <si>
    <t xml:space="preserve">Andrews, Frank M.</t>
  </si>
  <si>
    <t xml:space="preserve">(OCoLC)ocm01428875</t>
  </si>
  <si>
    <t xml:space="preserve">Russell Sage Foundation,</t>
  </si>
  <si>
    <t xml:space="preserve">AS911.A2 A65</t>
  </si>
  <si>
    <t xml:space="preserve">AS  911            A 2   A 65</t>
  </si>
  <si>
    <t xml:space="preserve">... Directory of Illinois foundations.</t>
  </si>
  <si>
    <t xml:space="preserve">(OCoLC)ocm15465359</t>
  </si>
  <si>
    <t xml:space="preserve">c1986-</t>
  </si>
  <si>
    <t xml:space="preserve">Donors Forum of Chicago,</t>
  </si>
  <si>
    <t xml:space="preserve">AS911.A2 D48</t>
  </si>
  <si>
    <t xml:space="preserve">AS  911            A 2   D 48</t>
  </si>
  <si>
    <t xml:space="preserve">3/15/2005</t>
  </si>
  <si>
    <t xml:space="preserve">FUNDS AND FOUNDATIONS</t>
  </si>
  <si>
    <t xml:space="preserve">Flexner, Abraham, 1866-1959.</t>
  </si>
  <si>
    <t xml:space="preserve">se 00001735</t>
  </si>
  <si>
    <t xml:space="preserve">AS911.A2 F6</t>
  </si>
  <si>
    <t xml:space="preserve">AS  911            A 2   F 6</t>
  </si>
  <si>
    <t xml:space="preserve">Philosophy for a foundation; on the fiftieth anniversary of the Rockefeller Foundation, 1913-1963.</t>
  </si>
  <si>
    <t xml:space="preserve">Fosdick, Raymond B. (Raymond Blaine), 1883-1972.</t>
  </si>
  <si>
    <t xml:space="preserve">(OCoLC)ocm01899496</t>
  </si>
  <si>
    <t xml:space="preserve">Rockefeller Foundation,</t>
  </si>
  <si>
    <t xml:space="preserve">AS911.A2 F63</t>
  </si>
  <si>
    <t xml:space="preserve">AS  911            A 2   F 63</t>
  </si>
  <si>
    <t xml:space="preserve">Foundation directory.</t>
  </si>
  <si>
    <t xml:space="preserve">(OCoLC)ocm00918159</t>
  </si>
  <si>
    <t xml:space="preserve">Foundation Center; distributed by Columbia University Press.</t>
  </si>
  <si>
    <t xml:space="preserve">AS911.A2 F65</t>
  </si>
  <si>
    <t xml:space="preserve">AS  911            A 2   F 65</t>
  </si>
  <si>
    <t xml:space="preserve">2011(33rd ed.)</t>
  </si>
  <si>
    <t xml:space="preserve">5/9/2013</t>
  </si>
  <si>
    <t xml:space="preserve">9/24/2012</t>
  </si>
  <si>
    <t xml:space="preserve">2012(34th ed.)</t>
  </si>
  <si>
    <t xml:space="preserve">Foundation directory. Supplement.</t>
  </si>
  <si>
    <t xml:space="preserve">(OCoLC)ocm26660204</t>
  </si>
  <si>
    <t xml:space="preserve">1992-</t>
  </si>
  <si>
    <t xml:space="preserve">Foundation Center,</t>
  </si>
  <si>
    <t xml:space="preserve">AS911.A2 F655 Suppl.</t>
  </si>
  <si>
    <t xml:space="preserve">AS  911            A 2   F 655   SUPPL</t>
  </si>
  <si>
    <t xml:space="preserve">Foundation grants index.</t>
  </si>
  <si>
    <t xml:space="preserve">(OCoLC)ocm01128405</t>
  </si>
  <si>
    <t xml:space="preserve">AS911.A2 F66</t>
  </si>
  <si>
    <t xml:space="preserve">AS  911            A 2   F 66</t>
  </si>
  <si>
    <t xml:space="preserve">2000 (28th ed.)</t>
  </si>
  <si>
    <t xml:space="preserve">Future of foundations in an open society / Bertelsmann Foundation (ed.) ; with contributions from: Dieter Feddersen...[et al.].</t>
  </si>
  <si>
    <t xml:space="preserve">(OCoLC)ocm42041423</t>
  </si>
  <si>
    <t xml:space="preserve">Bertelsmann Found.,</t>
  </si>
  <si>
    <t xml:space="preserve">AS911.A2 F87 1999</t>
  </si>
  <si>
    <t xml:space="preserve">AS  911            A 2   F 87   1999</t>
  </si>
  <si>
    <t xml:space="preserve">Fellowships in the humanities, 1983-1991 / Douglas Greenberg.</t>
  </si>
  <si>
    <t xml:space="preserve">Greenberg, Douglas</t>
  </si>
  <si>
    <t xml:space="preserve">Fellowships in the humanities, 1983-1991 /</t>
  </si>
  <si>
    <t xml:space="preserve">(OCoLC)ocm25810453</t>
  </si>
  <si>
    <t xml:space="preserve">AS911.A2 G661992</t>
  </si>
  <si>
    <t xml:space="preserve">AS  911            A 2   G 661992</t>
  </si>
  <si>
    <t xml:space="preserve">American foundations for social welfare / by Shelby M. Harrison, F. Emerson Andrews.</t>
  </si>
  <si>
    <t xml:space="preserve">Harrison, Shelby Millard, 1881-</t>
  </si>
  <si>
    <t xml:space="preserve">American foundations for social welfare /</t>
  </si>
  <si>
    <t xml:space="preserve">(OCoLC)ocm01071485</t>
  </si>
  <si>
    <t xml:space="preserve">AS911.A2 H3</t>
  </si>
  <si>
    <t xml:space="preserve">AS  911            A 2   H 3</t>
  </si>
  <si>
    <t xml:space="preserve">Operating principles of the larger foundations.</t>
  </si>
  <si>
    <t xml:space="preserve">(OCoLC)ocm01084568</t>
  </si>
  <si>
    <t xml:space="preserve">AS911.A2 K5</t>
  </si>
  <si>
    <t xml:space="preserve">AS  911            A 2   K 5</t>
  </si>
  <si>
    <t xml:space="preserve">Congress and the foundations in the twentieth century, by John Lankford.</t>
  </si>
  <si>
    <t xml:space="preserve">Lankford, John E., 1934-</t>
  </si>
  <si>
    <t xml:space="preserve">Congress and the foundations in the twentieth century,</t>
  </si>
  <si>
    <t xml:space="preserve">(OCoLC)ocm01731008</t>
  </si>
  <si>
    <t xml:space="preserve">Wisconsin State University,</t>
  </si>
  <si>
    <t xml:space="preserve">AS911.A2 L3</t>
  </si>
  <si>
    <t xml:space="preserve">AS  911            A 2   L 3</t>
  </si>
  <si>
    <t xml:space="preserve">Philanthropy and culture : the international foundation perspective / edited by Kathleen D. McCarthy.</t>
  </si>
  <si>
    <t xml:space="preserve">Philanthropy and culture : the international foundation perspective /</t>
  </si>
  <si>
    <t xml:space="preserve">0812211731 (pbk.)</t>
  </si>
  <si>
    <t xml:space="preserve">(OCoLC)ocm10404543</t>
  </si>
  <si>
    <t xml:space="preserve">Published for the Rockefeller Foundation by the University of Pennsylvania Press,</t>
  </si>
  <si>
    <t xml:space="preserve">AS911.A2 P491984</t>
  </si>
  <si>
    <t xml:space="preserve">AS  911            A 2   P 491984</t>
  </si>
  <si>
    <t xml:space="preserve">Bollingen, an adventure in collecting the past / by William McGuire.</t>
  </si>
  <si>
    <t xml:space="preserve">McGuire, William, 1917-</t>
  </si>
  <si>
    <t xml:space="preserve">Bollingen, an adventure in collecting the past /</t>
  </si>
  <si>
    <t xml:space="preserve">0691099510 :</t>
  </si>
  <si>
    <t xml:space="preserve">(OCoLC)ocm08533407</t>
  </si>
  <si>
    <t xml:space="preserve">Princeton University Press,</t>
  </si>
  <si>
    <t xml:space="preserve">AS911.B63 M351982</t>
  </si>
  <si>
    <t xml:space="preserve">AS  911            B 63   M 351982</t>
  </si>
  <si>
    <t xml:space="preserve">Annual report - Carnegie Corporation of New York.</t>
  </si>
  <si>
    <t xml:space="preserve">(OCoLC)ocm01266813</t>
  </si>
  <si>
    <t xml:space="preserve">[Carnegie Corporation of New York]</t>
  </si>
  <si>
    <t xml:space="preserve">AS911.C37 A13</t>
  </si>
  <si>
    <t xml:space="preserve">AS  911            C 37   A 13</t>
  </si>
  <si>
    <t xml:space="preserve">2004/05</t>
  </si>
  <si>
    <t xml:space="preserve">6/5/2008</t>
  </si>
  <si>
    <t xml:space="preserve">AttivitaÂ¿Â¿ archeologica italiana in Asia; mostra dei risultati delle missioni in Pakistan e in Afghanistan, 1958-1959. Torino, Galleria civica d'arte moderna, aprile 1960; Roma, Palazzo Brancaccio, 25 maggio-guigno 1960.</t>
  </si>
  <si>
    <t xml:space="preserve">Centro scavi e ricerche archeologische in Asia dell'Is. M.E.O. e diTorino.</t>
  </si>
  <si>
    <t xml:space="preserve">AttivitaÂ¿Â¿ archeologica italiana in Asia; mostra dei risultati delle missioni in Pakistan e in Afghanistan, 1958-1959. Torino, Galleria civica d'arte</t>
  </si>
  <si>
    <t xml:space="preserve">(OCoLC)ocm07385551</t>
  </si>
  <si>
    <t xml:space="preserve">Centro scavi e ricerche archeologische in Asia del'Is. M.E.O. e di Torino.</t>
  </si>
  <si>
    <t xml:space="preserve">AS911.C4 A44</t>
  </si>
  <si>
    <t xml:space="preserve">AS  911            C 4   A 44</t>
  </si>
  <si>
    <t xml:space="preserve">Report of the President : April 1, 1962 - December 31, 1964.</t>
  </si>
  <si>
    <t xml:space="preserve">Center for the Study of Democratic Institutions.</t>
  </si>
  <si>
    <t xml:space="preserve">(OCoLC)ocm37385451</t>
  </si>
  <si>
    <t xml:space="preserve">The Center,</t>
  </si>
  <si>
    <t xml:space="preserve">AS911.C4 A45</t>
  </si>
  <si>
    <t xml:space="preserve">AS  911            C 4   A 45</t>
  </si>
  <si>
    <t xml:space="preserve">Ford Foundation annual report.</t>
  </si>
  <si>
    <t xml:space="preserve">Ford Foundation.</t>
  </si>
  <si>
    <t xml:space="preserve">(OCoLC)ocm01143142</t>
  </si>
  <si>
    <t xml:space="preserve">Ford Foundation]</t>
  </si>
  <si>
    <t xml:space="preserve">AS911.F6 A442</t>
  </si>
  <si>
    <t xml:space="preserve">AS  911            F 6   A 442</t>
  </si>
  <si>
    <t xml:space="preserve">1960/61</t>
  </si>
  <si>
    <t xml:space="preserve">1959/60</t>
  </si>
  <si>
    <t xml:space="preserve">1957/58</t>
  </si>
  <si>
    <t xml:space="preserve">1956/57</t>
  </si>
  <si>
    <t xml:space="preserve">1954/55</t>
  </si>
  <si>
    <t xml:space="preserve">1994/95</t>
  </si>
  <si>
    <t xml:space="preserve">1993/94</t>
  </si>
  <si>
    <t xml:space="preserve">1992/93</t>
  </si>
  <si>
    <t xml:space="preserve">1991/92</t>
  </si>
  <si>
    <t xml:space="preserve">1990/91</t>
  </si>
  <si>
    <t xml:space="preserve">1989/90</t>
  </si>
  <si>
    <t xml:space="preserve">1988/89</t>
  </si>
  <si>
    <t xml:space="preserve">1987/88</t>
  </si>
  <si>
    <t xml:space="preserve">1983/84</t>
  </si>
  <si>
    <t xml:space="preserve">1982/83</t>
  </si>
  <si>
    <t xml:space="preserve">1981/82</t>
  </si>
  <si>
    <t xml:space="preserve">1980/81</t>
  </si>
  <si>
    <t xml:space="preserve">1979/80</t>
  </si>
  <si>
    <t xml:space="preserve">1978/79</t>
  </si>
  <si>
    <t xml:space="preserve">10/27/2004</t>
  </si>
  <si>
    <t xml:space="preserve">1977/78</t>
  </si>
  <si>
    <t xml:space="preserve">1976/77</t>
  </si>
  <si>
    <t xml:space="preserve">1975/76</t>
  </si>
  <si>
    <t xml:space="preserve">1974/75</t>
  </si>
  <si>
    <t xml:space="preserve">1973/74</t>
  </si>
  <si>
    <t xml:space="preserve">1972/73</t>
  </si>
  <si>
    <t xml:space="preserve">1970/71</t>
  </si>
  <si>
    <t xml:space="preserve">1968/69</t>
  </si>
  <si>
    <t xml:space="preserve">1966/67</t>
  </si>
  <si>
    <t xml:space="preserve">1964/65</t>
  </si>
  <si>
    <t xml:space="preserve">1962/63</t>
  </si>
  <si>
    <t xml:space="preserve">Ford Foundation and St. Louis.</t>
  </si>
  <si>
    <t xml:space="preserve">(OCoLC)ocm01899514</t>
  </si>
  <si>
    <t xml:space="preserve">AS911.F6 A444</t>
  </si>
  <si>
    <t xml:space="preserve">AS  911            F 6   A 444</t>
  </si>
  <si>
    <t xml:space="preserve">Ford Foundation in the 1960s; statement of the Board of Trustees on policies, programs, and operations.</t>
  </si>
  <si>
    <t xml:space="preserve">(OCoLC)ocm00773503</t>
  </si>
  <si>
    <t xml:space="preserve">Ford Foundation,</t>
  </si>
  <si>
    <t xml:space="preserve">AS911.F6 A485</t>
  </si>
  <si>
    <t xml:space="preserve">AS  911            F 6   A 485</t>
  </si>
  <si>
    <t xml:space="preserve">Ford Foundation; the men and the millions.</t>
  </si>
  <si>
    <t xml:space="preserve">Macdonald, Dwight.</t>
  </si>
  <si>
    <t xml:space="preserve">(OCoLC)ocm00368373</t>
  </si>
  <si>
    <t xml:space="preserve">Reynal</t>
  </si>
  <si>
    <t xml:space="preserve">AS911.F6 M31956</t>
  </si>
  <si>
    <t xml:space="preserve">AS  911            F 6   M 31956</t>
  </si>
  <si>
    <t xml:space="preserve">Freedom and the foundation; the Fund for the Republic in the era of McCarthyism [by] Thomas C. Reeves.</t>
  </si>
  <si>
    <t xml:space="preserve">Reeves, Thomas C., 1936-</t>
  </si>
  <si>
    <t xml:space="preserve">Freedom and the foundation; the Fund for the Republic in the era of McCarthyism</t>
  </si>
  <si>
    <t xml:space="preserve">(OCoLC)ocm00047997</t>
  </si>
  <si>
    <t xml:space="preserve">AS911.F813 R4</t>
  </si>
  <si>
    <t xml:space="preserve">AS  911            F 813   R 4</t>
  </si>
  <si>
    <t xml:space="preserve">Horace H. Rackham and Mary A. Rackham fund, Detroit and Ann Arbor, 1934-1940, edited by Frances H. Miner.</t>
  </si>
  <si>
    <t xml:space="preserve">Miner, Frances Hudson.</t>
  </si>
  <si>
    <t xml:space="preserve">Horace H. Rackham and Mary A. Rackham fund, Detroit and Ann Arbor, 1934-1940,</t>
  </si>
  <si>
    <t xml:space="preserve">(OCoLC)ocm01899536</t>
  </si>
  <si>
    <t xml:space="preserve">The Trustees,</t>
  </si>
  <si>
    <t xml:space="preserve">AS911.H65 M5</t>
  </si>
  <si>
    <t xml:space="preserve">AS  911            H 65   M 5</t>
  </si>
  <si>
    <t xml:space="preserve">Report - Lilly Endowment, inc.</t>
  </si>
  <si>
    <t xml:space="preserve">Lilly Endowment.</t>
  </si>
  <si>
    <t xml:space="preserve">(OCoLC)ocm02319720</t>
  </si>
  <si>
    <t xml:space="preserve">[1950-1984]</t>
  </si>
  <si>
    <t xml:space="preserve">Lilly Endowment,</t>
  </si>
  <si>
    <t xml:space="preserve">AS911.L5 A3</t>
  </si>
  <si>
    <t xml:space="preserve">AS  911            L 5   A 3</t>
  </si>
  <si>
    <t xml:space="preserve">Lilly Endowment, Inc. : [annual report].</t>
  </si>
  <si>
    <t xml:space="preserve">(OCoLC)ocm17625678</t>
  </si>
  <si>
    <t xml:space="preserve">1986-1988</t>
  </si>
  <si>
    <t xml:space="preserve">The Endowment,</t>
  </si>
  <si>
    <t xml:space="preserve">Annual report / Lilly Endowment, Inc.</t>
  </si>
  <si>
    <t xml:space="preserve">(OCoLC)ocm20043153</t>
  </si>
  <si>
    <t xml:space="preserve">1989-</t>
  </si>
  <si>
    <t xml:space="preserve">Annual report.</t>
  </si>
  <si>
    <t xml:space="preserve">Mary Reynolds Babcock Foundation.</t>
  </si>
  <si>
    <t xml:space="preserve">(OCoLC)ocm08198534</t>
  </si>
  <si>
    <t xml:space="preserve">The Foundation.</t>
  </si>
  <si>
    <t xml:space="preserve">AS911.M3 A3</t>
  </si>
  <si>
    <t xml:space="preserve">AS  911            M 3   A 3</t>
  </si>
  <si>
    <t xml:space="preserve">11/6/2015</t>
  </si>
  <si>
    <t xml:space="preserve">Nobel Prize winners of Italy, 1906-2002 : featuring twenty Italian and Italian-American Nobel laurets / Azar Attura ; with a preface by Anne Paolucci.</t>
  </si>
  <si>
    <t xml:space="preserve">Attura, Azar, 1946-</t>
  </si>
  <si>
    <t xml:space="preserve">Nobel Prize winners of Italy, 1906-2002 : featuring twenty Italian and Italian-American Nobel laurets /</t>
  </si>
  <si>
    <t xml:space="preserve">1932107037 (pbk.)</t>
  </si>
  <si>
    <t xml:space="preserve">(OCoLC)ocm51294097</t>
  </si>
  <si>
    <t xml:space="preserve">Griffon House Publications for the Bagehot Council,</t>
  </si>
  <si>
    <t xml:space="preserve">AS911.N9 A88 2003</t>
  </si>
  <si>
    <t xml:space="preserve">AS  911            N 9   A 88   2003</t>
  </si>
  <si>
    <t xml:space="preserve">8/24/2004</t>
  </si>
  <si>
    <t xml:space="preserve">German Nobel prizewinners. German contributions in the fields of science, letters and international understanding, illustrated by examples of Nobel Prize awards for peace, literature, medicine, physics and chemistry. Authors: Armin Hermann [and others] Ed</t>
  </si>
  <si>
    <t xml:space="preserve">German Nobel prizewinners. German contributions in the fields of science, letters and international understanding, illustrated by examples of Nobel Pr</t>
  </si>
  <si>
    <t xml:space="preserve">(OCoLC)ocm00038066</t>
  </si>
  <si>
    <t xml:space="preserve">Moos</t>
  </si>
  <si>
    <t xml:space="preserve">AS911.N9 D43</t>
  </si>
  <si>
    <t xml:space="preserve">AS  911            N 9   D 43</t>
  </si>
  <si>
    <t xml:space="preserve">Nobel prize winners.</t>
  </si>
  <si>
    <t xml:space="preserve">Ludovici, Laurence James.</t>
  </si>
  <si>
    <t xml:space="preserve">(OCoLC)ocm01400700</t>
  </si>
  <si>
    <t xml:space="preserve">Arco Publishers</t>
  </si>
  <si>
    <t xml:space="preserve">AS911.N9 L8</t>
  </si>
  <si>
    <t xml:space="preserve">AS  911            N 9   L 8</t>
  </si>
  <si>
    <t xml:space="preserve">Nobel prize / Peter Wilhelm.</t>
  </si>
  <si>
    <t xml:space="preserve">Wilhelm, Peter.</t>
  </si>
  <si>
    <t xml:space="preserve">Nobel prize /</t>
  </si>
  <si>
    <t xml:space="preserve">(OCoLC)ocm10869971</t>
  </si>
  <si>
    <t xml:space="preserve">Teknowledge,</t>
  </si>
  <si>
    <t xml:space="preserve">AS911.N9 W51983</t>
  </si>
  <si>
    <t xml:space="preserve">AS  911            N 9   W 51983</t>
  </si>
  <si>
    <t xml:space="preserve">3/30/2010</t>
  </si>
  <si>
    <t xml:space="preserve">Rockefeller Brothers Fund annual report.</t>
  </si>
  <si>
    <t xml:space="preserve">Rockefeller Brothers Fund.</t>
  </si>
  <si>
    <t xml:space="preserve">(OCoLC)ocm01906468</t>
  </si>
  <si>
    <t xml:space="preserve">[1973-</t>
  </si>
  <si>
    <t xml:space="preserve">The Fund,</t>
  </si>
  <si>
    <t xml:space="preserve">AS911.R6 A3</t>
  </si>
  <si>
    <t xml:space="preserve">AS  911            R 6   A 3</t>
  </si>
  <si>
    <t xml:space="preserve">8/3/2009</t>
  </si>
  <si>
    <t xml:space="preserve">Smith Kline and French Foundation. [Report]</t>
  </si>
  <si>
    <t xml:space="preserve">Smith Kline &amp; French Foundation.</t>
  </si>
  <si>
    <t xml:space="preserve">(OCoLC)ocm02709865</t>
  </si>
  <si>
    <t xml:space="preserve">AS911.S6 A2</t>
  </si>
  <si>
    <t xml:space="preserve">AS  911            S 6   A 2</t>
  </si>
  <si>
    <t xml:space="preserve">Bank of Sweden Tercentenary Fund.</t>
  </si>
  <si>
    <t xml:space="preserve">Lindblom, Paul.</t>
  </si>
  <si>
    <t xml:space="preserve">(OCoLC)ocm00467845</t>
  </si>
  <si>
    <t xml:space="preserve">LaÂ¿Â¿romedelsfoÂ¿Â¿rlaget, (Svenska bokfoÂ¿Â¿rlaget/Norstedt),</t>
  </si>
  <si>
    <t xml:space="preserve">AS911.S93 L5</t>
  </si>
  <si>
    <t xml:space="preserve">AS  911            S 93   L 5</t>
  </si>
  <si>
    <t xml:space="preserve">Annual report - The William H. Donner Foundation.</t>
  </si>
  <si>
    <t xml:space="preserve">William H. Donner Foundation.</t>
  </si>
  <si>
    <t xml:space="preserve">(OCoLC)ocm05175867</t>
  </si>
  <si>
    <t xml:space="preserve">[William H. Donner Foundation]</t>
  </si>
  <si>
    <t xml:space="preserve">AS911.W5 A3</t>
  </si>
  <si>
    <t xml:space="preserve">AS  911            W 5   A 3</t>
  </si>
  <si>
    <t xml:space="preserve">American literary annuals &amp; gift books, 1825-1865, by Ralph Thompson.</t>
  </si>
  <si>
    <t xml:space="preserve">Thompson, Ralph, 1904-</t>
  </si>
  <si>
    <t xml:space="preserve">American literary annuals &amp; gift books, 1825-1865,</t>
  </si>
  <si>
    <t xml:space="preserve">(OCoLC)ocm01045205</t>
  </si>
  <si>
    <t xml:space="preserve">The H. W. Wilson company,</t>
  </si>
  <si>
    <t xml:space="preserve">AY10 .T51936</t>
  </si>
  <si>
    <t xml:space="preserve">AY   10            T 51936</t>
  </si>
  <si>
    <t xml:space="preserve">4/4/2011</t>
  </si>
  <si>
    <t xml:space="preserve">Slovenski izseljenski koledar.</t>
  </si>
  <si>
    <t xml:space="preserve">(OCoLC)ocm01833848</t>
  </si>
  <si>
    <t xml:space="preserve">Slovenska izseljenska matica.</t>
  </si>
  <si>
    <t xml:space="preserve">AY1038.S6 S55</t>
  </si>
  <si>
    <t xml:space="preserve">AY 1038            S 6   S 55</t>
  </si>
  <si>
    <t xml:space="preserve">Slovenski koledar.</t>
  </si>
  <si>
    <t xml:space="preserve">(OCoLC)ocm11900427</t>
  </si>
  <si>
    <t xml:space="preserve">1972-1993.</t>
  </si>
  <si>
    <t xml:space="preserve">Slovenska izseljenska matica,</t>
  </si>
  <si>
    <t xml:space="preserve">KalendaÂ¿Â¿rÂ¿Â¿ CÂ¿Â¿eskoslovenskeÂ¿Â¿ho sveÂ¿Â¿ta.</t>
  </si>
  <si>
    <t xml:space="preserve">(OCoLC)ocm01783954</t>
  </si>
  <si>
    <t xml:space="preserve">CÂ¿Â¿eskoslovenskyÂ¿Â¿ uÂ¿Â¿stav zahranicÂ¿Â¿niÂ¿Â¿ v nakl. Orbis]</t>
  </si>
  <si>
    <t xml:space="preserve">AY1039.C95 K24</t>
  </si>
  <si>
    <t xml:space="preserve">AY 1039            C 95   K 24</t>
  </si>
  <si>
    <t xml:space="preserve">CÂ¿Â¿eskoslovenskyÂ¿Â¿ sveÂ¿Â¿t : kalendaÂ¿Â¿r.</t>
  </si>
  <si>
    <t xml:space="preserve">(OCoLC)ocm06256120</t>
  </si>
  <si>
    <t xml:space="preserve">Orbis.</t>
  </si>
  <si>
    <t xml:space="preserve">AY1039.C95 K25</t>
  </si>
  <si>
    <t xml:space="preserve">AY 1039            C 95   K 25</t>
  </si>
  <si>
    <t xml:space="preserve">Kalendarz Polonii.</t>
  </si>
  <si>
    <t xml:space="preserve">(OCoLC)ocm01782848</t>
  </si>
  <si>
    <t xml:space="preserve">Wydawn. Polonia [etc.]</t>
  </si>
  <si>
    <t xml:space="preserve">AY1039.P7 K2545</t>
  </si>
  <si>
    <t xml:space="preserve">AY 1039            P 7   K 2545</t>
  </si>
  <si>
    <t xml:space="preserve">Almanach Polonii.</t>
  </si>
  <si>
    <t xml:space="preserve">(OCoLC)ocm01791983</t>
  </si>
  <si>
    <t xml:space="preserve">Wydawnictwo Interpress,</t>
  </si>
  <si>
    <t xml:space="preserve">Gems by the way-side : an offering of purity and truth / L.G. Abell.</t>
  </si>
  <si>
    <t xml:space="preserve">Abell, L. G., Mrs.</t>
  </si>
  <si>
    <t xml:space="preserve">Gems by the way-side : an offering of purity and truth /</t>
  </si>
  <si>
    <t xml:space="preserve">(OCoLC)ocm01999735</t>
  </si>
  <si>
    <t xml:space="preserve">[1850]</t>
  </si>
  <si>
    <t xml:space="preserve">Holdredge,</t>
  </si>
  <si>
    <t xml:space="preserve">AY11 .A21850</t>
  </si>
  <si>
    <t xml:space="preserve">AY   11            A 21850</t>
  </si>
  <si>
    <t xml:space="preserve">Amaranth, or, Token of remembrance : a Christmas and New Year's gift for ....</t>
  </si>
  <si>
    <t xml:space="preserve">(OCoLC)ocm01479226</t>
  </si>
  <si>
    <t xml:space="preserve">1847-1855.</t>
  </si>
  <si>
    <t xml:space="preserve">Phillips &amp; Sampson,</t>
  </si>
  <si>
    <t xml:space="preserve">AY11 .A37</t>
  </si>
  <si>
    <t xml:space="preserve">AY   11            A 37</t>
  </si>
  <si>
    <t xml:space="preserve">Parlour scrap book: comprising sixteen engravings, with poetical and other illustrations. Edited by Willis Gaylord Clark.</t>
  </si>
  <si>
    <t xml:space="preserve">Clark, Willis Gaylord, 1808-1841</t>
  </si>
  <si>
    <t xml:space="preserve">Parlour scrap book: comprising sixteen engravings, with poetical and other illustrations.</t>
  </si>
  <si>
    <t xml:space="preserve">(OCoLC)ocm01109488</t>
  </si>
  <si>
    <t xml:space="preserve">Carey, Lea, and Blanchard,</t>
  </si>
  <si>
    <t xml:space="preserve">AY11 .C77</t>
  </si>
  <si>
    <t xml:space="preserve">AY   11            C 77</t>
  </si>
  <si>
    <t xml:space="preserve">Fisher's drawing room scrap book.</t>
  </si>
  <si>
    <t xml:space="preserve">(OCoLC)ocm01587308</t>
  </si>
  <si>
    <t xml:space="preserve">1832-[1851]</t>
  </si>
  <si>
    <t xml:space="preserve">Fisher, Son, and Jackson,</t>
  </si>
  <si>
    <t xml:space="preserve">AY11 .F4</t>
  </si>
  <si>
    <t xml:space="preserve">AY   11            F 4</t>
  </si>
  <si>
    <t xml:space="preserve">11/7/2003</t>
  </si>
  <si>
    <t xml:space="preserve">Gems of beauty, or, Literary gift for ...</t>
  </si>
  <si>
    <t xml:space="preserve">(OCoLC)ocm01762095</t>
  </si>
  <si>
    <t xml:space="preserve">Phillips, Sampson, and Co.,</t>
  </si>
  <si>
    <t xml:space="preserve">AY11 .G4</t>
  </si>
  <si>
    <t xml:space="preserve">AY   11            G 4</t>
  </si>
  <si>
    <t xml:space="preserve">PhilopÂ¿Â¿na: a gift for all seasons.</t>
  </si>
  <si>
    <t xml:space="preserve">(OCoLC)ocm06265600</t>
  </si>
  <si>
    <t xml:space="preserve">[185-?]</t>
  </si>
  <si>
    <t xml:space="preserve">Leavitt &amp; Allen</t>
  </si>
  <si>
    <t xml:space="preserve">AY11 .P57</t>
  </si>
  <si>
    <t xml:space="preserve">AY   11            P 57</t>
  </si>
  <si>
    <t xml:space="preserve">Token and Atlantic souvenir.</t>
  </si>
  <si>
    <t xml:space="preserve">(OCoLC)ocm01558723</t>
  </si>
  <si>
    <t xml:space="preserve">AY11 .T61</t>
  </si>
  <si>
    <t xml:space="preserve">AY   11            T 61</t>
  </si>
  <si>
    <t xml:space="preserve">2/10/2010</t>
  </si>
  <si>
    <t xml:space="preserve">Token; a Christmas and New Year's present. Edited by S. G. Goodrich.</t>
  </si>
  <si>
    <t xml:space="preserve">Token; a Christmas and New Year's present.</t>
  </si>
  <si>
    <t xml:space="preserve">(OCoLC)ocm04847529</t>
  </si>
  <si>
    <t xml:space="preserve">Published by Gray and Bowen,</t>
  </si>
  <si>
    <t xml:space="preserve">AY11 .T62</t>
  </si>
  <si>
    <t xml:space="preserve">AY   11            T 62</t>
  </si>
  <si>
    <t xml:space="preserve">Token, or affection's gift : a Christmas and New Year's present / edited by S. G. Goodrich.</t>
  </si>
  <si>
    <t xml:space="preserve">Token, or affection's gift : a Christmas and New Year's present /</t>
  </si>
  <si>
    <t xml:space="preserve">(OCoLC)ocm05343171</t>
  </si>
  <si>
    <t xml:space="preserve">[185-]</t>
  </si>
  <si>
    <t xml:space="preserve">Leavitt &amp; Allen,</t>
  </si>
  <si>
    <t xml:space="preserve">AY11 .T65</t>
  </si>
  <si>
    <t xml:space="preserve">AY   11            T 65</t>
  </si>
  <si>
    <t xml:space="preserve">Token of friendship : an offering for all seasons : illustrated.</t>
  </si>
  <si>
    <t xml:space="preserve">(OCoLC)ocm05338057</t>
  </si>
  <si>
    <t xml:space="preserve">Phillips, Sampson,</t>
  </si>
  <si>
    <t xml:space="preserve">AY11 .T7</t>
  </si>
  <si>
    <t xml:space="preserve">AY   11            T 7</t>
  </si>
  <si>
    <t xml:space="preserve">Friendship's offering, and Winter's wreath.</t>
  </si>
  <si>
    <t xml:space="preserve">(OCoLC)ocm01570239</t>
  </si>
  <si>
    <t xml:space="preserve">1833-1843.</t>
  </si>
  <si>
    <t xml:space="preserve">Smith, Elder,</t>
  </si>
  <si>
    <t xml:space="preserve">AY13 .F8</t>
  </si>
  <si>
    <t xml:space="preserve">AY   13            F 8</t>
  </si>
  <si>
    <t xml:space="preserve">swe</t>
  </si>
  <si>
    <t xml:space="preserve">PraÂ¿Â¿rieblomman kalender foÂ¿Â¿r 1900 / utgiven af Vitterhetens VaÂ¿Â¿nner.</t>
  </si>
  <si>
    <t xml:space="preserve">PraÂ¿Â¿rieblomman kalender foÂ¿Â¿r 1900 /</t>
  </si>
  <si>
    <t xml:space="preserve">(OCoLC)ocm27200279</t>
  </si>
  <si>
    <t xml:space="preserve">Lutheran Augustana Book Concern,</t>
  </si>
  <si>
    <t xml:space="preserve">AY19 .P7</t>
  </si>
  <si>
    <t xml:space="preserve">AY   19            P 7</t>
  </si>
  <si>
    <t xml:space="preserve">METTLER EXPERIMENTAL BIOLOGISTS ALMANAC, BEING AN INSIDERS GUIDE FOR OUTSIDERS (OR VICE VERSA) TO CHICAGO, CONTAINING BITS OF WISDOM, WEATHER PROGNOSTICATIONS, SOBER PREACHMENTS, HUMOR, AND ODDS AND ENDS FOR YOUR ENJOYMENT AND EDIFICATION</t>
  </si>
  <si>
    <t xml:space="preserve">METTLER EXPERIMENTAL BIOLOGISTS ALMANAC, BEING AN INSIDERS GUIDE FOR OUTSIDERS (OR VICE VERSA) TO CHICAGO, CONTAINING BITS OF WISDOM, WEATHER PROGNOST</t>
  </si>
  <si>
    <t xml:space="preserve">se 00001793</t>
  </si>
  <si>
    <t xml:space="preserve">AY31.A1 M4</t>
  </si>
  <si>
    <t xml:space="preserve">AY   31            A 1   M 4</t>
  </si>
  <si>
    <t xml:space="preserve">America and her almanacs; wit, wisdom, &amp; weather, 1639-1970, by Robb Sagendorph.</t>
  </si>
  <si>
    <t xml:space="preserve">Sagendorph, Robb Hansell.</t>
  </si>
  <si>
    <t xml:space="preserve">America and her almanacs; wit, wisdom, &amp; weather, 1639-1970,</t>
  </si>
  <si>
    <t xml:space="preserve">(OCoLC)ocm00056387</t>
  </si>
  <si>
    <t xml:space="preserve">Yankee,</t>
  </si>
  <si>
    <t xml:space="preserve">AY31.A1 S2</t>
  </si>
  <si>
    <t xml:space="preserve">AY   31            A 1   S 2</t>
  </si>
  <si>
    <t xml:space="preserve">Early American almanacs ; the colonial weekday bible / by Marion Barber Stowell.</t>
  </si>
  <si>
    <t xml:space="preserve">Stowell, Marion Barber</t>
  </si>
  <si>
    <t xml:space="preserve">Early American almanacs ; the colonial weekday bible /</t>
  </si>
  <si>
    <t xml:space="preserve">(OCoLC)ocm02595425</t>
  </si>
  <si>
    <t xml:space="preserve">B. Franklin,</t>
  </si>
  <si>
    <t xml:space="preserve">AY31.A1 S8</t>
  </si>
  <si>
    <t xml:space="preserve">AY   31            A 1   S 8</t>
  </si>
  <si>
    <t xml:space="preserve">English almanacs, 1500-1800 : astrology and the popular press / Bernard Capp.</t>
  </si>
  <si>
    <t xml:space="preserve">Capp, B. S.</t>
  </si>
  <si>
    <t xml:space="preserve">English almanacs, 1500-1800 : astrology and the popular press /</t>
  </si>
  <si>
    <t xml:space="preserve">(OCoLC)ocm04834157</t>
  </si>
  <si>
    <t xml:space="preserve">Cornell University Press,</t>
  </si>
  <si>
    <t xml:space="preserve">AY33 .C361979</t>
  </si>
  <si>
    <t xml:space="preserve">AY   33            C 361979</t>
  </si>
  <si>
    <t xml:space="preserve">Great ideas today.</t>
  </si>
  <si>
    <t xml:space="preserve">(OCoLC)ocm01751544</t>
  </si>
  <si>
    <t xml:space="preserve">c1961-1995</t>
  </si>
  <si>
    <t xml:space="preserve">Encyclopedia Britannica,</t>
  </si>
  <si>
    <t xml:space="preserve">AY59 .G7</t>
  </si>
  <si>
    <t xml:space="preserve">AY   59            G 7</t>
  </si>
  <si>
    <t xml:space="preserve">KALENDER FUR SUDAMERIKA 1954-ALMANAQUE SUDAMERICANO 1954.</t>
  </si>
  <si>
    <t xml:space="preserve">se 00001830</t>
  </si>
  <si>
    <t xml:space="preserve">AY607.G4 K3</t>
  </si>
  <si>
    <t xml:space="preserve">AY  607            G 4   K 3</t>
  </si>
  <si>
    <t xml:space="preserve">American almanac and repository of useful knowledge for the year ... : comprising a calendar for the year; astronomical information; miscellaneous directions, hints, and remarks; and statistical and other particulars respecting foreign countries and the U</t>
  </si>
  <si>
    <t xml:space="preserve">American almanac and repository of useful knowledge for the year ... : comprising a calendar for the year; astronomical information; miscellaneous dir</t>
  </si>
  <si>
    <t xml:space="preserve">(OCoLC)ocm01479277</t>
  </si>
  <si>
    <t xml:space="preserve">1830-1861.</t>
  </si>
  <si>
    <t xml:space="preserve">Gray and Bowen,</t>
  </si>
  <si>
    <t xml:space="preserve">AY64 .A5</t>
  </si>
  <si>
    <t xml:space="preserve">AY   64            A 5</t>
  </si>
  <si>
    <t xml:space="preserve">v.31(1860)</t>
  </si>
  <si>
    <t xml:space="preserve">v.29(1858)</t>
  </si>
  <si>
    <t xml:space="preserve">v.28(1857)</t>
  </si>
  <si>
    <t xml:space="preserve">v.27(1856)</t>
  </si>
  <si>
    <t xml:space="preserve">v.26(1855)</t>
  </si>
  <si>
    <t xml:space="preserve">v.25(1854)</t>
  </si>
  <si>
    <t xml:space="preserve">11/16/2010</t>
  </si>
  <si>
    <t xml:space="preserve">v.23(1852)</t>
  </si>
  <si>
    <t xml:space="preserve">v.22(1851)</t>
  </si>
  <si>
    <t xml:space="preserve">v.21(1850)</t>
  </si>
  <si>
    <t xml:space="preserve">v.20(1849)</t>
  </si>
  <si>
    <t xml:space="preserve">v.19(1848)</t>
  </si>
  <si>
    <t xml:space="preserve">v.18(1847)</t>
  </si>
  <si>
    <t xml:space="preserve">v.16(1845)</t>
  </si>
  <si>
    <t xml:space="preserve">Information please almanac.</t>
  </si>
  <si>
    <t xml:space="preserve">(OCoLC)ocm04790494</t>
  </si>
  <si>
    <t xml:space="preserve">1947-1960.</t>
  </si>
  <si>
    <t xml:space="preserve">McGraw Hill [etc.],</t>
  </si>
  <si>
    <t xml:space="preserve">AY64 .I54</t>
  </si>
  <si>
    <t xml:space="preserve">AY   64            I 54</t>
  </si>
  <si>
    <t xml:space="preserve">(OCoLC)ocm37979592</t>
  </si>
  <si>
    <t xml:space="preserve">Information Please LLC,</t>
  </si>
  <si>
    <t xml:space="preserve">AY64 .I56</t>
  </si>
  <si>
    <t xml:space="preserve">AY   64            I 56</t>
  </si>
  <si>
    <t xml:space="preserve">Time almanac.</t>
  </si>
  <si>
    <t xml:space="preserve">(OCoLC)ocm38222513</t>
  </si>
  <si>
    <t xml:space="preserve">Information Please LLC</t>
  </si>
  <si>
    <t xml:space="preserve">AY64 .T55</t>
  </si>
  <si>
    <t xml:space="preserve">AY   64            T 55</t>
  </si>
  <si>
    <t xml:space="preserve">4/19/2017</t>
  </si>
  <si>
    <t xml:space="preserve">Almanack and prognostication for the year 1598, made by Thomas Buckminster, 1598; with an introduction by Eustace F. Bosanquet.</t>
  </si>
  <si>
    <t xml:space="preserve">Buckmaster, Thomas, 1531 (ca.)-1599?</t>
  </si>
  <si>
    <t xml:space="preserve">Almanack and prognostication for the year 1598,</t>
  </si>
  <si>
    <t xml:space="preserve">(OCoLC)ocm01416543</t>
  </si>
  <si>
    <t xml:space="preserve">Pub. for the Shakespeare association by H. Milford, Oxford university press,</t>
  </si>
  <si>
    <t xml:space="preserve">AY751 .Z71598A</t>
  </si>
  <si>
    <t xml:space="preserve">AY  751            Z 71598 A</t>
  </si>
  <si>
    <t xml:space="preserve">Kalendarium of Nicholas of Lynn / edited by Sigmund Eisner ; translation by Gary Mac Eoin and Sigmund Eisner.</t>
  </si>
  <si>
    <t xml:space="preserve">Nicholas, of Lynn, fl. 1386.</t>
  </si>
  <si>
    <t xml:space="preserve">Kalendarium of Nicholas of Lynn /</t>
  </si>
  <si>
    <t xml:space="preserve">(OCoLC)ocm03730306</t>
  </si>
  <si>
    <t xml:space="preserve">[1980]</t>
  </si>
  <si>
    <t xml:space="preserve">University of Georgia Press,</t>
  </si>
  <si>
    <t xml:space="preserve">AY751 .Z71980</t>
  </si>
  <si>
    <t xml:space="preserve">AY  751            Z 71980</t>
  </si>
  <si>
    <t xml:space="preserve">Year book of daily recreation and information : concerning remarkable men and manners, times and seasons, solemnities and merry-makings, antiquities and novelties ... / by William Hone ; with 114 engravings.</t>
  </si>
  <si>
    <t xml:space="preserve">Hone, William, 1780-1842.</t>
  </si>
  <si>
    <t xml:space="preserve">Year book of daily recreation and information :</t>
  </si>
  <si>
    <t xml:space="preserve">(OCoLC)ocm01624857</t>
  </si>
  <si>
    <t xml:space="preserve">T. Tegg ... [et al.],</t>
  </si>
  <si>
    <t xml:space="preserve">AY754 .H64</t>
  </si>
  <si>
    <t xml:space="preserve">AY  754            H 64</t>
  </si>
  <si>
    <t xml:space="preserve">Albert Schloss's bijou almanacs, 1839-1843: reprinted from the original steel plates with an introduction by Iain Bain; [poetically illustrated by L. E. Landon &amp; others].</t>
  </si>
  <si>
    <t xml:space="preserve">Schloss, Albert.</t>
  </si>
  <si>
    <t xml:space="preserve">Albert Schloss's bijou almanacs, 1839-1843:</t>
  </si>
  <si>
    <t xml:space="preserve">(OCoLC)ocm00115890</t>
  </si>
  <si>
    <t xml:space="preserve">Nattali &amp; Maurice,</t>
  </si>
  <si>
    <t xml:space="preserve">AY754 .S281969</t>
  </si>
  <si>
    <t xml:space="preserve">AY  754            S 281969</t>
  </si>
  <si>
    <t xml:space="preserve">Almanack for the year of our Lord ... / by Joseph Whitaker.</t>
  </si>
  <si>
    <t xml:space="preserve">Almanack for the year of our Lord ... /</t>
  </si>
  <si>
    <t xml:space="preserve">(OCoLC)ocm01128041</t>
  </si>
  <si>
    <t xml:space="preserve">1869-c1991.</t>
  </si>
  <si>
    <t xml:space="preserve">J. Whitaker,</t>
  </si>
  <si>
    <t xml:space="preserve">AY754 .W5</t>
  </si>
  <si>
    <t xml:space="preserve">AY  754            W 5</t>
  </si>
  <si>
    <t xml:space="preserve">Whitaker's almanack.</t>
  </si>
  <si>
    <t xml:space="preserve">(OCoLC)ocm27235231</t>
  </si>
  <si>
    <t xml:space="preserve">c1992-</t>
  </si>
  <si>
    <t xml:space="preserve">AY754 .W52</t>
  </si>
  <si>
    <t xml:space="preserve">AY  754            W 52</t>
  </si>
  <si>
    <t xml:space="preserve">2001 (133rd ed.)</t>
  </si>
  <si>
    <t xml:space="preserve">12/8/2009</t>
  </si>
  <si>
    <t xml:space="preserve">2000 (132nd ed.)</t>
  </si>
  <si>
    <t xml:space="preserve">1999 (131st ed.)</t>
  </si>
  <si>
    <t xml:space="preserve">1998 (130th ed.)</t>
  </si>
  <si>
    <t xml:space="preserve">1997 (129th ed.)</t>
  </si>
  <si>
    <t xml:space="preserve">1996 (128th ed.)</t>
  </si>
  <si>
    <t xml:space="preserve">1995 (127th ed.)</t>
  </si>
  <si>
    <t xml:space="preserve">1994 (126th ed.)</t>
  </si>
  <si>
    <t xml:space="preserve">1993 (125th ed.)</t>
  </si>
  <si>
    <t xml:space="preserve">2003 (135th ed.)</t>
  </si>
  <si>
    <t xml:space="preserve">2002 (134th ed.)</t>
  </si>
  <si>
    <t xml:space="preserve">2004 (136th ed.)</t>
  </si>
  <si>
    <t xml:space="preserve">2005 (137th ed.)</t>
  </si>
  <si>
    <t xml:space="preserve">2006 (138th ed.)</t>
  </si>
  <si>
    <t xml:space="preserve">2007 (139th ed.)</t>
  </si>
  <si>
    <t xml:space="preserve">2008 (140th ed.)</t>
  </si>
  <si>
    <t xml:space="preserve">2009 (141st ed.)</t>
  </si>
  <si>
    <t xml:space="preserve">Comic almanack; an ephemeris in jest and earnest, containing merry tales, humorous poetry, quips, and oddities. By Thackeray, Albert Smith, Gilbert A. Beckett, the brothers Mayhew ... With many hundred illustrations by George Cruikshank and other artists.</t>
  </si>
  <si>
    <t xml:space="preserve">Comic almanack; an ephemeris in jest and earnest, containing merry tales, humorous poetry, quips, and oddities.</t>
  </si>
  <si>
    <t xml:space="preserve">(OCoLC)ocm00362985</t>
  </si>
  <si>
    <t xml:space="preserve">[1878?]</t>
  </si>
  <si>
    <t xml:space="preserve">Chatto and Windus</t>
  </si>
  <si>
    <t xml:space="preserve">AY758.C7 C92</t>
  </si>
  <si>
    <t xml:space="preserve">AY  758            C 7   C 92</t>
  </si>
  <si>
    <t xml:space="preserve">Comic almanac. Illustrated with the original drawings by George Cruikshank.</t>
  </si>
  <si>
    <t xml:space="preserve">Yoseloff, Thomas, 1913-</t>
  </si>
  <si>
    <t xml:space="preserve">Comic almanac.</t>
  </si>
  <si>
    <t xml:space="preserve">(OCoLC)ocm01626513</t>
  </si>
  <si>
    <t xml:space="preserve">Barnes</t>
  </si>
  <si>
    <t xml:space="preserve">AY758.C7 C96</t>
  </si>
  <si>
    <t xml:space="preserve">AY  758            C 7   C 96</t>
  </si>
  <si>
    <t xml:space="preserve">(Old) farmer's almanack / by Robert B. Thomas.</t>
  </si>
  <si>
    <t xml:space="preserve">(Old) farmer's almanack /</t>
  </si>
  <si>
    <t xml:space="preserve">(OCoLC)ocm04769691</t>
  </si>
  <si>
    <t xml:space="preserve">Jenks, Palmer &amp; Co.,</t>
  </si>
  <si>
    <t xml:space="preserve">AY81.F3 O6</t>
  </si>
  <si>
    <t xml:space="preserve">AY   81            F 3   O 6</t>
  </si>
  <si>
    <t xml:space="preserve">Information please kids' almanac / Alice Siegel and Margo McLoone Basta.</t>
  </si>
  <si>
    <t xml:space="preserve">Siegel, Alice.</t>
  </si>
  <si>
    <t xml:space="preserve">Information please kids' almanac /</t>
  </si>
  <si>
    <t xml:space="preserve">0395588014 (pbk.)</t>
  </si>
  <si>
    <t xml:space="preserve">(OCoLC)ocm26404628</t>
  </si>
  <si>
    <t xml:space="preserve">AY81.J8 S55 1992</t>
  </si>
  <si>
    <t xml:space="preserve">AY   81            J 8   S 55   1992</t>
  </si>
  <si>
    <t xml:space="preserve">World almanac for kids.</t>
  </si>
  <si>
    <t xml:space="preserve">(OCoLC)ocm32949652</t>
  </si>
  <si>
    <t xml:space="preserve">c1995-</t>
  </si>
  <si>
    <t xml:space="preserve">World Almanac Books,</t>
  </si>
  <si>
    <t xml:space="preserve">AY81.J8 W67</t>
  </si>
  <si>
    <t xml:space="preserve">AY   81            J 8   W 67</t>
  </si>
  <si>
    <t xml:space="preserve">8/3/2010</t>
  </si>
  <si>
    <t xml:space="preserve">Our Sunday Visitor's ... Catholic almanac.</t>
  </si>
  <si>
    <t xml:space="preserve">(OCoLC)ocm34555954</t>
  </si>
  <si>
    <t xml:space="preserve">Our Sunday Visitor Pub. Division,</t>
  </si>
  <si>
    <t xml:space="preserve">AY81.R6 N3</t>
  </si>
  <si>
    <t xml:space="preserve">AY   81            R 6   N 3</t>
  </si>
  <si>
    <t xml:space="preserve">Cultures in conflict : an essay in the philosophy of the humanities / Otto A. Bird.</t>
  </si>
  <si>
    <t xml:space="preserve">Bird, Otto A., 1914-</t>
  </si>
  <si>
    <t xml:space="preserve">Cultures in conflict : an essay in the philosophy of the humanities /</t>
  </si>
  <si>
    <t xml:space="preserve">0268007136 :</t>
  </si>
  <si>
    <t xml:space="preserve">(OCoLC)ocm02091411</t>
  </si>
  <si>
    <t xml:space="preserve">University of Notre Dame Press,</t>
  </si>
  <si>
    <t xml:space="preserve">AZ101 .B57</t>
  </si>
  <si>
    <t xml:space="preserve">AZ  101            B 57</t>
  </si>
  <si>
    <t xml:space="preserve">Outline of bunk, including the admirations of a debunker, by E. Halderman-Julius.</t>
  </si>
  <si>
    <t xml:space="preserve">Halderman- Julius, Emanuel, 1889-</t>
  </si>
  <si>
    <t xml:space="preserve">Outline of bunk, including the admirations of a debunker,</t>
  </si>
  <si>
    <t xml:space="preserve">(OCoLC)ocm01498649</t>
  </si>
  <si>
    <t xml:space="preserve">[c1929]</t>
  </si>
  <si>
    <t xml:space="preserve">The Stratford company</t>
  </si>
  <si>
    <t xml:space="preserve">AZ101 .H3</t>
  </si>
  <si>
    <t xml:space="preserve">AZ  101            H 3</t>
  </si>
  <si>
    <t xml:space="preserve">9/11/2012</t>
  </si>
  <si>
    <t xml:space="preserve">Knowledge and the future / by Stuart Hampshire.</t>
  </si>
  <si>
    <t xml:space="preserve">Hampshire, Stuart, 1914-2004.</t>
  </si>
  <si>
    <t xml:space="preserve">Knowledge and the future /</t>
  </si>
  <si>
    <t xml:space="preserve">(OCoLC)ocm03302280</t>
  </si>
  <si>
    <t xml:space="preserve">University of Southampton,</t>
  </si>
  <si>
    <t xml:space="preserve">AZ101 .H33</t>
  </si>
  <si>
    <t xml:space="preserve">AZ  101            H 33</t>
  </si>
  <si>
    <t xml:space="preserve">Romantic syndrome, toward a new method in cultural anthropology and history of ideas.</t>
  </si>
  <si>
    <t xml:space="preserve">Jones, William Thomas, 1910-</t>
  </si>
  <si>
    <t xml:space="preserve">(OCoLC)ocm00697173</t>
  </si>
  <si>
    <t xml:space="preserve">Nijhoff,</t>
  </si>
  <si>
    <t xml:space="preserve">AZ101 .J6</t>
  </si>
  <si>
    <t xml:space="preserve">AZ  101            J 6</t>
  </si>
  <si>
    <t xml:space="preserve">1/9/2006</t>
  </si>
  <si>
    <t xml:space="preserve">Beyond the academy : a scholar's obligations / George R. Garrison ... [et al.].</t>
  </si>
  <si>
    <t xml:space="preserve">Beyond the academy : a scholar's obligations /</t>
  </si>
  <si>
    <t xml:space="preserve">(OCoLC)ocm34076015</t>
  </si>
  <si>
    <t xml:space="preserve">AZ103 .B491995</t>
  </si>
  <si>
    <t xml:space="preserve">AZ  103            B 491995</t>
  </si>
  <si>
    <t xml:space="preserve">Culture's new frontier : staking a common ground / Naomi F. Collins.</t>
  </si>
  <si>
    <t xml:space="preserve">Collins, Naomi F.</t>
  </si>
  <si>
    <t xml:space="preserve">Culture's new frontier : staking a common ground /</t>
  </si>
  <si>
    <t xml:space="preserve">(OCoLC)ocm23234666</t>
  </si>
  <si>
    <t xml:space="preserve">AZ103 .C5361990</t>
  </si>
  <si>
    <t xml:space="preserve">AZ  103            C 5361990</t>
  </si>
  <si>
    <t xml:space="preserve">Scholarship, its meaning and value, by H. W. Garrod ...</t>
  </si>
  <si>
    <t xml:space="preserve">Garrod, Heathcote William, 1878-</t>
  </si>
  <si>
    <t xml:space="preserve">Scholarship, its meaning and value,</t>
  </si>
  <si>
    <t xml:space="preserve">(OCoLC)ocm02024375</t>
  </si>
  <si>
    <t xml:space="preserve">The University press,</t>
  </si>
  <si>
    <t xml:space="preserve">AZ103 .G3</t>
  </si>
  <si>
    <t xml:space="preserve">AZ  103            G 3</t>
  </si>
  <si>
    <t xml:space="preserve">Life of learning : Charles Homer Haskins lecture / Paul Oskar Kristeller.</t>
  </si>
  <si>
    <t xml:space="preserve">Kristeller, Paul Oskar, 1905-</t>
  </si>
  <si>
    <t xml:space="preserve">Life of learning : Charles Homer Haskins lecture /</t>
  </si>
  <si>
    <t xml:space="preserve">(OCoLC)ocm28707739</t>
  </si>
  <si>
    <t xml:space="preserve">[1990]</t>
  </si>
  <si>
    <t xml:space="preserve">AZ103 .K751990</t>
  </si>
  <si>
    <t xml:space="preserve">AZ  103            K 751990</t>
  </si>
  <si>
    <t xml:space="preserve">Learned societies and the evolution of the disciplines / American Council of Learned Societies.</t>
  </si>
  <si>
    <t xml:space="preserve">Learned societies and the evolution of the disciplines /</t>
  </si>
  <si>
    <t xml:space="preserve">(OCoLC)ocm18580248</t>
  </si>
  <si>
    <t xml:space="preserve">AZ103 .L421988</t>
  </si>
  <si>
    <t xml:space="preserve">AZ  103            L 421988</t>
  </si>
  <si>
    <t xml:space="preserve">National Task Force on Scholarship and the Public Humanities.</t>
  </si>
  <si>
    <t xml:space="preserve">National Task Force on Scholarship and the Public Humanities</t>
  </si>
  <si>
    <t xml:space="preserve">(OCoLC)ocm25336726</t>
  </si>
  <si>
    <t xml:space="preserve">AZ103 .N3751990</t>
  </si>
  <si>
    <t xml:space="preserve">AZ  103            N 3751990</t>
  </si>
  <si>
    <t xml:space="preserve">Optimum utilization of knowledge : making knowledge serve human betterment / edited by Kenneth E. Boulding and Lawrence Senesh.</t>
  </si>
  <si>
    <t xml:space="preserve">Optimum utilization of knowledge : making knowledge serve human betterment /</t>
  </si>
  <si>
    <t xml:space="preserve">0865315442 :</t>
  </si>
  <si>
    <t xml:space="preserve">(OCoLC)ocm09082817</t>
  </si>
  <si>
    <t xml:space="preserve">Westview Press,</t>
  </si>
  <si>
    <t xml:space="preserve">AZ103 .O671983</t>
  </si>
  <si>
    <t xml:space="preserve">AZ  103            O 671983</t>
  </si>
  <si>
    <t xml:space="preserve">Vindication of tradition / Jaroslav Pelikan.</t>
  </si>
  <si>
    <t xml:space="preserve">Pelikan, Jaroslav Jan, 1923-</t>
  </si>
  <si>
    <t xml:space="preserve">Vindication of tradition /</t>
  </si>
  <si>
    <t xml:space="preserve">0300031548 (alk. paper)</t>
  </si>
  <si>
    <t xml:space="preserve">(OCoLC)ocm10558908</t>
  </si>
  <si>
    <t xml:space="preserve">Yale University Press,</t>
  </si>
  <si>
    <t xml:space="preserve">AZ103 .P441984</t>
  </si>
  <si>
    <t xml:space="preserve">AZ  103            P 441984</t>
  </si>
  <si>
    <t xml:space="preserve">Three Columbia bicentennial lectures [by] Florian Znaniecki, WacÂ¿Â¿aw Lednicki [and] Oscar Halecki.</t>
  </si>
  <si>
    <t xml:space="preserve">Three Columbia bicentennial lectures</t>
  </si>
  <si>
    <t xml:space="preserve">(OCoLC)ocm02970980</t>
  </si>
  <si>
    <t xml:space="preserve">AZ103 .P6</t>
  </si>
  <si>
    <t xml:space="preserve">AZ  103            P 6</t>
  </si>
  <si>
    <t xml:space="preserve">Life of learning / Annemarie Schimmel.</t>
  </si>
  <si>
    <t xml:space="preserve">Schimmel, Annemarie.</t>
  </si>
  <si>
    <t xml:space="preserve">Life of learning /</t>
  </si>
  <si>
    <t xml:space="preserve">(OCoLC)ocm32380475</t>
  </si>
  <si>
    <t xml:space="preserve">AZ103 .S351993</t>
  </si>
  <si>
    <t xml:space="preserve">AZ  103            S 351993</t>
  </si>
  <si>
    <t xml:space="preserve">2/3/2004</t>
  </si>
  <si>
    <t xml:space="preserve">RESEARCH IN THE HUMANISTIC AND SOCIAL SCIENCES</t>
  </si>
  <si>
    <t xml:space="preserve">se 00001860</t>
  </si>
  <si>
    <t xml:space="preserve">AZ105 .A6</t>
  </si>
  <si>
    <t xml:space="preserve">AZ  105            A 6</t>
  </si>
  <si>
    <t xml:space="preserve">Computers in humanistic research; readings and perspectives. Edmund A. Bowles, editor.</t>
  </si>
  <si>
    <t xml:space="preserve">Bowles, Edmund A. (Edmund Addison), 1925-</t>
  </si>
  <si>
    <t xml:space="preserve">Computers in humanistic research; readings and perspectives.</t>
  </si>
  <si>
    <t xml:space="preserve">(OCoLC)ocm01472525</t>
  </si>
  <si>
    <t xml:space="preserve">Prentice-Hall</t>
  </si>
  <si>
    <t xml:space="preserve">AZ105 .B6</t>
  </si>
  <si>
    <t xml:space="preserve">AZ  105            B 6</t>
  </si>
  <si>
    <t xml:space="preserve">Sixth International Conference on Computers and the Humanities / Sarah K. Burton and Douglas D. Short, editors.</t>
  </si>
  <si>
    <t xml:space="preserve">International Conference on Computers and the Humanities (6th : 1983 : North Carolina State University)</t>
  </si>
  <si>
    <t xml:space="preserve">Sixth International Conference on Computers and the Humanities /</t>
  </si>
  <si>
    <t xml:space="preserve">091489496X</t>
  </si>
  <si>
    <t xml:space="preserve">(OCoLC)ocm09557252</t>
  </si>
  <si>
    <t xml:space="preserve">Computer Science Press,</t>
  </si>
  <si>
    <t xml:space="preserve">AZ105 .I561983</t>
  </si>
  <si>
    <t xml:space="preserve">AZ  105            I 561983</t>
  </si>
  <si>
    <t xml:space="preserve">Sciences and the humanities; conflict and reconciliation, by W. T. Jones.</t>
  </si>
  <si>
    <t xml:space="preserve">Sciences and the humanities; conflict and reconciliation,</t>
  </si>
  <si>
    <t xml:space="preserve">(OCoLC)ocm00293490</t>
  </si>
  <si>
    <t xml:space="preserve">University of California Press,</t>
  </si>
  <si>
    <t xml:space="preserve">AZ105 .J64</t>
  </si>
  <si>
    <t xml:space="preserve">AZ  105            J 64</t>
  </si>
  <si>
    <t xml:space="preserve">Proposals that work : a guide for planning research / Lawrence F. Locke, Waneen Wyrick Spirduso ; foreword by G. Lawrence Rarick.</t>
  </si>
  <si>
    <t xml:space="preserve">Locke, Lawrence F.</t>
  </si>
  <si>
    <t xml:space="preserve">Proposals that work : a guide for planning research /</t>
  </si>
  <si>
    <t xml:space="preserve">(OCoLC)ocm02074266</t>
  </si>
  <si>
    <t xml:space="preserve">Teachers College Press, Teachers College, Columbia University,</t>
  </si>
  <si>
    <t xml:space="preserve">AZ105 .L54</t>
  </si>
  <si>
    <t xml:space="preserve">AZ  105            L 54</t>
  </si>
  <si>
    <t xml:space="preserve">Research methods and designs for education [by] J. H. McGrath. Chapter 8 contributed by D. Gene Watson.</t>
  </si>
  <si>
    <t xml:space="preserve">McGrath, J. H.</t>
  </si>
  <si>
    <t xml:space="preserve">Research methods and designs for education</t>
  </si>
  <si>
    <t xml:space="preserve">(OCoLC)ocm00079473</t>
  </si>
  <si>
    <t xml:space="preserve">International Textbook Co.</t>
  </si>
  <si>
    <t xml:space="preserve">AZ105 .M25</t>
  </si>
  <si>
    <t xml:space="preserve">AZ  105            M 25</t>
  </si>
  <si>
    <t xml:space="preserve">Concept formation in the humanities and the social sciences / Tadeusz PawÂ¿Â¿owski.</t>
  </si>
  <si>
    <t xml:space="preserve">PawÂ¿Â¿owski, Tadeusz.</t>
  </si>
  <si>
    <t xml:space="preserve">Concept formation in the humanities and the social sciences /</t>
  </si>
  <si>
    <t xml:space="preserve">(OCoLC)ocm06277757</t>
  </si>
  <si>
    <t xml:space="preserve">D. Reidel ; sold and distributed in the U.S.A. and Canada by Kluwer Boston,</t>
  </si>
  <si>
    <t xml:space="preserve">AZ105 .P37</t>
  </si>
  <si>
    <t xml:space="preserve">AZ  105            P 37</t>
  </si>
  <si>
    <t xml:space="preserve">11/22/2002</t>
  </si>
  <si>
    <t xml:space="preserve">Research : definitions and reflections : essays on the occasion of the University of Michigan's Sesquicentennial / edited by Donald E. Thackrey.</t>
  </si>
  <si>
    <t xml:space="preserve">Research : definitions and reflections : essays on the occasion of the University of Michigan's Sesquicentennial /</t>
  </si>
  <si>
    <t xml:space="preserve">(OCoLC)ocm01454304</t>
  </si>
  <si>
    <t xml:space="preserve">University of Michigan,</t>
  </si>
  <si>
    <t xml:space="preserve">AZ105 .T45</t>
  </si>
  <si>
    <t xml:space="preserve">AZ  105            T 45</t>
  </si>
  <si>
    <t xml:space="preserve">Craftways : on the organization of scholarly work / Aaron Wildavsky.</t>
  </si>
  <si>
    <t xml:space="preserve">Wildavsky, Aaron B.</t>
  </si>
  <si>
    <t xml:space="preserve">Craftways : on the organization of scholarly work /</t>
  </si>
  <si>
    <t xml:space="preserve">088738269X</t>
  </si>
  <si>
    <t xml:space="preserve">(OCoLC)ocm18464508</t>
  </si>
  <si>
    <t xml:space="preserve">Transaction Publishers,</t>
  </si>
  <si>
    <t xml:space="preserve">AZ105 .W481989</t>
  </si>
  <si>
    <t xml:space="preserve">AZ  105            W 481989</t>
  </si>
  <si>
    <t xml:space="preserve">Studies in intellectual history.</t>
  </si>
  <si>
    <t xml:space="preserve">Johns Hopkins History of Ideas Club.</t>
  </si>
  <si>
    <t xml:space="preserve">(OCoLC)ocm00922023</t>
  </si>
  <si>
    <t xml:space="preserve">Johns Hopkins Press,</t>
  </si>
  <si>
    <t xml:space="preserve">AZ106 .J6</t>
  </si>
  <si>
    <t xml:space="preserve">AZ  106            J 6</t>
  </si>
  <si>
    <t xml:space="preserve">Humanizing of knowledge, by James Harvey Robinson.</t>
  </si>
  <si>
    <t xml:space="preserve">Robinson, James Harvey, 1863-1936.</t>
  </si>
  <si>
    <t xml:space="preserve">Humanizing of knowledge,</t>
  </si>
  <si>
    <t xml:space="preserve">(OCoLC)ocm00175783</t>
  </si>
  <si>
    <t xml:space="preserve">[c1923]</t>
  </si>
  <si>
    <t xml:space="preserve">G. H. Doran</t>
  </si>
  <si>
    <t xml:space="preserve">AZ106 .R6</t>
  </si>
  <si>
    <t xml:space="preserve">AZ  106            R 6</t>
  </si>
  <si>
    <t xml:space="preserve">Picture book of symbols.</t>
  </si>
  <si>
    <t xml:space="preserve">Lehner, Ernst, 1895-</t>
  </si>
  <si>
    <t xml:space="preserve">(OCoLC)ocm00871997</t>
  </si>
  <si>
    <t xml:space="preserve">Wm. Penn Pub. Corp.</t>
  </si>
  <si>
    <t xml:space="preserve">AZ108 .L38</t>
  </si>
  <si>
    <t xml:space="preserve">AZ  108            L 38</t>
  </si>
  <si>
    <t xml:space="preserve">Shepherd's glossary of graphic signs and symbols. Compiled and classified for ready reference by Walter Shepherd.</t>
  </si>
  <si>
    <t xml:space="preserve">Shepherd, Walter.</t>
  </si>
  <si>
    <t xml:space="preserve">Shepherd's glossary of graphic signs and symbols.</t>
  </si>
  <si>
    <t xml:space="preserve">(OCoLC)ocm00302566</t>
  </si>
  <si>
    <t xml:space="preserve">Dover Publications</t>
  </si>
  <si>
    <t xml:space="preserve">AZ108 .S531971B</t>
  </si>
  <si>
    <t xml:space="preserve">AZ  108            S 531971 B</t>
  </si>
  <si>
    <t xml:space="preserve">Sign language of the mysteries / by J.S.M. Ward.</t>
  </si>
  <si>
    <t xml:space="preserve">Ward, J. S. M. (John Sebastian Marlow), 1885-</t>
  </si>
  <si>
    <t xml:space="preserve">Sign language of the mysteries /</t>
  </si>
  <si>
    <t xml:space="preserve">(OCoLC)ocm01375529</t>
  </si>
  <si>
    <t xml:space="preserve">Land's End Press,</t>
  </si>
  <si>
    <t xml:space="preserve">AZ108 .W37 1969</t>
  </si>
  <si>
    <t xml:space="preserve">AZ  108            W 37   1969</t>
  </si>
  <si>
    <t xml:space="preserve">9/29/2003</t>
  </si>
  <si>
    <t xml:space="preserve">Literature lost : social agendas and the corruption of the humanities / John M. Ellis.</t>
  </si>
  <si>
    <t xml:space="preserve">Ellis, John M. (John Martin), 1936-</t>
  </si>
  <si>
    <t xml:space="preserve">Literature lost : social agendas and the corruption of the humanities /</t>
  </si>
  <si>
    <t xml:space="preserve">0300069200 (alk. paper)</t>
  </si>
  <si>
    <t xml:space="preserve">(OCoLC)ocm36017016</t>
  </si>
  <si>
    <t xml:space="preserve">AZ183.U5 E45 1997</t>
  </si>
  <si>
    <t xml:space="preserve">AZ  183            U 5   E 45   1997</t>
  </si>
  <si>
    <t xml:space="preserve">Agenda for the humanities and higher education for the 21st century / Stephen R. Graubard.</t>
  </si>
  <si>
    <t xml:space="preserve">Graubard, Stephen Richards.</t>
  </si>
  <si>
    <t xml:space="preserve">Agenda for the humanities and higher education for the 21st century /</t>
  </si>
  <si>
    <t xml:space="preserve">(OCoLC)ocm19909610</t>
  </si>
  <si>
    <t xml:space="preserve">AZ183.U5 G71989</t>
  </si>
  <si>
    <t xml:space="preserve">AZ  183            U 5   G 71989</t>
  </si>
  <si>
    <t xml:space="preserve">Humanities and the urban university : proceedings of a program in dedication of the Edwardsville campus of Southern Illinois University / Southern Illinois University at Edwardsville, Humanities Division.</t>
  </si>
  <si>
    <t xml:space="preserve">Southern Illinois University at Edwardsville. Humanities Division.</t>
  </si>
  <si>
    <t xml:space="preserve">Humanities and the urban university : proceedings of a program in dedication of the Edwardsville campus of Southern Illinois University /</t>
  </si>
  <si>
    <t xml:space="preserve">(OCoLC)ocm36288152</t>
  </si>
  <si>
    <t xml:space="preserve">AZ183.U5 S72 1966</t>
  </si>
  <si>
    <t xml:space="preserve">AZ  183            U 5   S 72   1966</t>
  </si>
  <si>
    <t xml:space="preserve">Speaking for the humanities / George Levine ... [et al.]</t>
  </si>
  <si>
    <t xml:space="preserve">Speaking for the humanities /</t>
  </si>
  <si>
    <t xml:space="preserve">(OCoLC)ocm19210551</t>
  </si>
  <si>
    <t xml:space="preserve">AZ183.U5 S731989</t>
  </si>
  <si>
    <t xml:space="preserve">AZ  183            U 5   S 731989</t>
  </si>
  <si>
    <t xml:space="preserve">Electronic texts in the humanities : principles and practice / Susan Hockey.</t>
  </si>
  <si>
    <t xml:space="preserve">Hockey, Susan M.</t>
  </si>
  <si>
    <t xml:space="preserve">Electronic texts in the humanities : principles and practice /</t>
  </si>
  <si>
    <t xml:space="preserve">0198711956 (pbk. : acid-free paper)</t>
  </si>
  <si>
    <t xml:space="preserve">(OCoLC)ocm45485006</t>
  </si>
  <si>
    <t xml:space="preserve">AZ186 .H63 2000</t>
  </si>
  <si>
    <t xml:space="preserve">AZ  186            H 63   2000</t>
  </si>
  <si>
    <t xml:space="preserve">9/23/2002</t>
  </si>
  <si>
    <t xml:space="preserve">Casebook of grant proposals in the humanities / edited by William Coleman, David Keller, and Arthur Pfeffer.</t>
  </si>
  <si>
    <t xml:space="preserve">Casebook of grant proposals in the humanities /</t>
  </si>
  <si>
    <t xml:space="preserve">0918212456 (pbk.) :</t>
  </si>
  <si>
    <t xml:space="preserve">(OCoLC)ocm07998535</t>
  </si>
  <si>
    <t xml:space="preserve">Neal-Schuman Publishers,</t>
  </si>
  <si>
    <t xml:space="preserve">AZ188.U5 C371982</t>
  </si>
  <si>
    <t xml:space="preserve">AZ  188            U 5   C 371982</t>
  </si>
  <si>
    <t xml:space="preserve">Individual's guide to grants / Judith B. Margolin.</t>
  </si>
  <si>
    <t xml:space="preserve">Margolin, Judith B.</t>
  </si>
  <si>
    <t xml:space="preserve">Individual's guide to grants /</t>
  </si>
  <si>
    <t xml:space="preserve">(OCoLC)ocm09219046</t>
  </si>
  <si>
    <t xml:space="preserve">Plenum Press,</t>
  </si>
  <si>
    <t xml:space="preserve">AZ188.U5 M371983</t>
  </si>
  <si>
    <t xml:space="preserve">AZ  188            U 5   M 371983</t>
  </si>
  <si>
    <t xml:space="preserve">Information technology in humanities scholarship : achievements, prospects, and challenges : the United States focus / Pamela Pavliscak, Seamus Ross, Charles Henry.</t>
  </si>
  <si>
    <t xml:space="preserve">Pavliscak, Pamela.</t>
  </si>
  <si>
    <t xml:space="preserve">Information technology in humanities scholarship : achievements, prospects, and challenges : the United States focus /</t>
  </si>
  <si>
    <t xml:space="preserve">0963279238 (pbk.)</t>
  </si>
  <si>
    <t xml:space="preserve">(OCoLC)ocm37277027</t>
  </si>
  <si>
    <t xml:space="preserve">AZ188.U5 P381997</t>
  </si>
  <si>
    <t xml:space="preserve">AZ  188            U 5   P 381997</t>
  </si>
  <si>
    <t xml:space="preserve">Communication strategies in evaluation / Nick L. Smith, editor.</t>
  </si>
  <si>
    <t xml:space="preserve">Communication strategies in evaluation /</t>
  </si>
  <si>
    <t xml:space="preserve">(OCoLC)ocm08169406</t>
  </si>
  <si>
    <t xml:space="preserve">AZ191 .C651982</t>
  </si>
  <si>
    <t xml:space="preserve">AZ  191            C 651982</t>
  </si>
  <si>
    <t xml:space="preserve">1/24/2003</t>
  </si>
  <si>
    <t xml:space="preserve">Evaluation findings that surprise / Richard J. Light, editor.</t>
  </si>
  <si>
    <t xml:space="preserve">Evaluation findings that surprise /</t>
  </si>
  <si>
    <t xml:space="preserve">0787957925 (pbk.)</t>
  </si>
  <si>
    <t xml:space="preserve">(OCoLC)ocm47629945</t>
  </si>
  <si>
    <t xml:space="preserve">[2001]</t>
  </si>
  <si>
    <t xml:space="preserve">AZ191 .E935 2001</t>
  </si>
  <si>
    <t xml:space="preserve">AZ  191            E 935   2001</t>
  </si>
  <si>
    <t xml:space="preserve">9/11/2002</t>
  </si>
  <si>
    <t xml:space="preserve">10/15/2002</t>
  </si>
  <si>
    <t xml:space="preserve">Expanding scope of evaluation use / Valerie J. Caracelli, Hallie Preskill, editors.</t>
  </si>
  <si>
    <t xml:space="preserve">Expanding scope of evaluation use /</t>
  </si>
  <si>
    <t xml:space="preserve">0787954330 (pbk.)</t>
  </si>
  <si>
    <t xml:space="preserve">(OCoLC)ocm45840026</t>
  </si>
  <si>
    <t xml:space="preserve">AZ191 .E97 2000</t>
  </si>
  <si>
    <t xml:space="preserve">AZ  191            E 97   2000</t>
  </si>
  <si>
    <t xml:space="preserve">11/26/2012</t>
  </si>
  <si>
    <t xml:space="preserve">Effective evaluation / Egon G. Guba, Yvonna S. Lincoln.</t>
  </si>
  <si>
    <t xml:space="preserve">Guba, Egon G.</t>
  </si>
  <si>
    <t xml:space="preserve">Effective evaluation /</t>
  </si>
  <si>
    <t xml:space="preserve">(OCoLC)ocm07197152</t>
  </si>
  <si>
    <t xml:space="preserve">Jossey-Bass Publishers,</t>
  </si>
  <si>
    <t xml:space="preserve">AZ191 .G8</t>
  </si>
  <si>
    <t xml:space="preserve">AZ  191            G 8</t>
  </si>
  <si>
    <t xml:space="preserve">12/18/2009</t>
  </si>
  <si>
    <t xml:space="preserve">Evaluation basics : a practitioners's manual / Jacqueline Kosecoff and Arlene Fink.</t>
  </si>
  <si>
    <t xml:space="preserve">Kosecoff, Jacqueline B.</t>
  </si>
  <si>
    <t xml:space="preserve">Evaluation basics : a practitioners's manual /</t>
  </si>
  <si>
    <t xml:space="preserve">(OCoLC)ocm08785294</t>
  </si>
  <si>
    <t xml:space="preserve">AZ191 .K671982</t>
  </si>
  <si>
    <t xml:space="preserve">AZ  191            K 671982</t>
  </si>
  <si>
    <t xml:space="preserve">Measuring efficiency : an assessment of data envelopment analysis / Richard H. Silkman, editor.</t>
  </si>
  <si>
    <t xml:space="preserve">Measuring efficiency : an assessment of data envelopment analysis /</t>
  </si>
  <si>
    <t xml:space="preserve">(OCoLC)ocm15091854</t>
  </si>
  <si>
    <t xml:space="preserve">AZ191 .M431986</t>
  </si>
  <si>
    <t xml:space="preserve">AZ  191            M 431986</t>
  </si>
  <si>
    <t xml:space="preserve">Progress and future directions in evaluation : perspectives on theory, practice and methods / Debra J. Rog, Deborah Fournier, editors.</t>
  </si>
  <si>
    <t xml:space="preserve">Progress and future directions in evaluation : perspectives on theory, practice and methods /</t>
  </si>
  <si>
    <t xml:space="preserve">(OCoLC)ocm38189303</t>
  </si>
  <si>
    <t xml:space="preserve">AZ191 .P76 1997</t>
  </si>
  <si>
    <t xml:space="preserve">AZ  191            P 76   1997</t>
  </si>
  <si>
    <t xml:space="preserve">Teaching of evaluation across the disciplines / Barbara Gross Davis, editor.</t>
  </si>
  <si>
    <t xml:space="preserve">Teaching of evaluation across the disciplines /</t>
  </si>
  <si>
    <t xml:space="preserve">0875897274 :</t>
  </si>
  <si>
    <t xml:space="preserve">(OCoLC)ocm15285372</t>
  </si>
  <si>
    <t xml:space="preserve">c1986.</t>
  </si>
  <si>
    <t xml:space="preserve">AZ191 .T421986</t>
  </si>
  <si>
    <t xml:space="preserve">AZ  191            T 421986</t>
  </si>
  <si>
    <t xml:space="preserve">Preparation of professional evaluators : issues, perspectives, and programs / James W. Altschuld, Molly Engle, editors.</t>
  </si>
  <si>
    <t xml:space="preserve">Preparation of professional evaluators : issues, perspectives, and programs /</t>
  </si>
  <si>
    <t xml:space="preserve">(OCoLC)ocm31125897</t>
  </si>
  <si>
    <t xml:space="preserve">AZ193.U6 A48 1994</t>
  </si>
  <si>
    <t xml:space="preserve">AZ  193            U 6   A 48   1994</t>
  </si>
  <si>
    <t xml:space="preserve">PLUS ULTRA, OR THE PROGRESS AND ADVANCEMENT OF KNOWLEDGE SINCE THE DAYS OF ARISTOTLE (1668)</t>
  </si>
  <si>
    <t xml:space="preserve">Glanvill, Joseph, 1636-1680.</t>
  </si>
  <si>
    <t xml:space="preserve">se 00001877</t>
  </si>
  <si>
    <t xml:space="preserve">AZ201 .G31958</t>
  </si>
  <si>
    <t xml:space="preserve">AZ  201            G 31958</t>
  </si>
  <si>
    <t xml:space="preserve">Life of learning / Judith N. Shklar.</t>
  </si>
  <si>
    <t xml:space="preserve">Shklar, Judith N.</t>
  </si>
  <si>
    <t xml:space="preserve">(OCoLC)ocm20029259</t>
  </si>
  <si>
    <t xml:space="preserve">AZ201 .S441989</t>
  </si>
  <si>
    <t xml:space="preserve">AZ  201            S 441989</t>
  </si>
  <si>
    <t xml:space="preserve">Guidebook to learning : for a lifelong pursuit of wisdom / Mortimer J. Adler.</t>
  </si>
  <si>
    <t xml:space="preserve">Guidebook to learning : for a lifelong pursuit of wisdom /</t>
  </si>
  <si>
    <t xml:space="preserve">(OCoLC)ocm12969579</t>
  </si>
  <si>
    <t xml:space="preserve">Macmillan ; Collier Macmillan,</t>
  </si>
  <si>
    <t xml:space="preserve">AZ221 .A351986</t>
  </si>
  <si>
    <t xml:space="preserve">AZ  221            A 351986</t>
  </si>
  <si>
    <t xml:space="preserve">House of intellect.</t>
  </si>
  <si>
    <t xml:space="preserve">Barzun, Jacques, 1907-2012.</t>
  </si>
  <si>
    <t xml:space="preserve">(OCoLC)ocm00368377</t>
  </si>
  <si>
    <t xml:space="preserve">AZ221 .B3</t>
  </si>
  <si>
    <t xml:space="preserve">AZ  221            B 3</t>
  </si>
  <si>
    <t xml:space="preserve">Humanities : a selective guide to information sources / Ron Blazek, and Elizabeth Aversa.</t>
  </si>
  <si>
    <t xml:space="preserve">Blazek, Ron.</t>
  </si>
  <si>
    <t xml:space="preserve">Humanities : a selective guide to information sources /</t>
  </si>
  <si>
    <t xml:space="preserve">087287558X :</t>
  </si>
  <si>
    <t xml:space="preserve">(OCoLC)ocm17265625</t>
  </si>
  <si>
    <t xml:space="preserve">Libraries Unlimited,</t>
  </si>
  <si>
    <t xml:space="preserve">AZ221 .B53 1988</t>
  </si>
  <si>
    <t xml:space="preserve">AZ  221            B 53   1988</t>
  </si>
  <si>
    <t xml:space="preserve">Quarter century of learning, 1904-1929, as recorded in lectures delivered at Columbia university on the occasion of the one hundred and seventy-fifth anniversary of its founding.</t>
  </si>
  <si>
    <t xml:space="preserve">Columbia University.</t>
  </si>
  <si>
    <t xml:space="preserve">Quarter century of learning, 1904-1929, as recorded in lectures delivered at Columbia university on the occasion of the one hundred and seventy-fifth</t>
  </si>
  <si>
    <t xml:space="preserve">(OCoLC)ocm01899756</t>
  </si>
  <si>
    <t xml:space="preserve">Columbia university press,</t>
  </si>
  <si>
    <t xml:space="preserve">AZ221 .C6</t>
  </si>
  <si>
    <t xml:space="preserve">AZ  221            C 6</t>
  </si>
  <si>
    <t xml:space="preserve">Scientist speculates: an anthology of partly-baked ideas. Associate editor: Alan James Mayne; biology editor: John Maynard Smith.</t>
  </si>
  <si>
    <t xml:space="preserve">Good, Irving John.</t>
  </si>
  <si>
    <t xml:space="preserve">Scientist speculates: an anthology of partly-baked ideas.</t>
  </si>
  <si>
    <t xml:space="preserve">(OCoLC)ocm01307482</t>
  </si>
  <si>
    <t xml:space="preserve">[1963, c1962]</t>
  </si>
  <si>
    <t xml:space="preserve">Basic Books</t>
  </si>
  <si>
    <t xml:space="preserve">AZ221 .G6</t>
  </si>
  <si>
    <t xml:space="preserve">AZ  221            G 6</t>
  </si>
  <si>
    <t xml:space="preserve">SCIENTIST SPECULATES: AN ANTHOLOGY OF PARTLY-BAKED IDEAS.</t>
  </si>
  <si>
    <t xml:space="preserve">se 00001881</t>
  </si>
  <si>
    <t xml:space="preserve">AZ221 .G61962R</t>
  </si>
  <si>
    <t xml:space="preserve">AZ  221            G 61962 R</t>
  </si>
  <si>
    <t xml:space="preserve">Story of human error, edited by Joseph Jastrow.</t>
  </si>
  <si>
    <t xml:space="preserve">Jastrow, Joseph, 1863-1944</t>
  </si>
  <si>
    <t xml:space="preserve">Story of human error,</t>
  </si>
  <si>
    <t xml:space="preserve">(OCoLC)ocm00177559</t>
  </si>
  <si>
    <t xml:space="preserve">D. Appleton-Century Company, incorporated,</t>
  </si>
  <si>
    <t xml:space="preserve">AZ221 .J3</t>
  </si>
  <si>
    <t xml:space="preserve">AZ  221            J 3</t>
  </si>
  <si>
    <t xml:space="preserve">Defining the humanities : how rediscovering a tradition can improve our schools : with a curriculum for today's students / Robert E. Proctor.</t>
  </si>
  <si>
    <t xml:space="preserve">Proctor, Robert E., 1945-</t>
  </si>
  <si>
    <t xml:space="preserve">Defining the humanities : how rediscovering a tradition can improve our schools : with a curriculum for today's students /</t>
  </si>
  <si>
    <t xml:space="preserve">0253334217 (cloth : alk. paper)</t>
  </si>
  <si>
    <t xml:space="preserve">(OCoLC)ocm38890876</t>
  </si>
  <si>
    <t xml:space="preserve">AZ221 .P75 1998</t>
  </si>
  <si>
    <t xml:space="preserve">AZ  221            P 75   1998</t>
  </si>
  <si>
    <t xml:space="preserve">World of ideas : essays on the past and future / Introd. by George L. Cross.</t>
  </si>
  <si>
    <t xml:space="preserve">World of ideas : essays on the past and future /</t>
  </si>
  <si>
    <t xml:space="preserve">(OCoLC)ocm00439070</t>
  </si>
  <si>
    <t xml:space="preserve">University of Oklahoma Press,</t>
  </si>
  <si>
    <t xml:space="preserve">AZ221 .W6</t>
  </si>
  <si>
    <t xml:space="preserve">AZ  221            W 6</t>
  </si>
  <si>
    <t xml:space="preserve">History of classical scholarship from the beginnings to the end of the Hellenistic age.</t>
  </si>
  <si>
    <t xml:space="preserve">Pfeiffer, Rudolf, 1889-</t>
  </si>
  <si>
    <t xml:space="preserve">(OCoLC)ocm00463362</t>
  </si>
  <si>
    <t xml:space="preserve">AZ301 .P4</t>
  </si>
  <si>
    <t xml:space="preserve">AZ  301            P 4</t>
  </si>
  <si>
    <t xml:space="preserve">Scholastic culture of the Middle Ages, 1000-1300 / John W. Baldwin.</t>
  </si>
  <si>
    <t xml:space="preserve">Baldwin, John W.</t>
  </si>
  <si>
    <t xml:space="preserve">Scholastic culture of the Middle Ages, 1000-1300 /</t>
  </si>
  <si>
    <t xml:space="preserve">(OCoLC)ocm00134992</t>
  </si>
  <si>
    <t xml:space="preserve">Heath,</t>
  </si>
  <si>
    <t xml:space="preserve">AZ321 .B34</t>
  </si>
  <si>
    <t xml:space="preserve">AZ  321            B 34</t>
  </si>
  <si>
    <t xml:space="preserve">Rebirth of learning: the first twelve centuries; an anthology selected, edited, and with introductions by William Bryar and George L. Stengren.</t>
  </si>
  <si>
    <t xml:space="preserve">Bryar, William,</t>
  </si>
  <si>
    <t xml:space="preserve">Rebirth of learning: the first twelve centuries; an anthology selected,</t>
  </si>
  <si>
    <t xml:space="preserve">(OCoLC)ocm00269551</t>
  </si>
  <si>
    <t xml:space="preserve">Putnam</t>
  </si>
  <si>
    <t xml:space="preserve">AZ321 .B7</t>
  </si>
  <si>
    <t xml:space="preserve">AZ  321            B 7</t>
  </si>
  <si>
    <t xml:space="preserve">Church &amp; learning in the Byzantine Empire, 867-1185.</t>
  </si>
  <si>
    <t xml:space="preserve">Hussey, J. M. (Joan Mervyn).</t>
  </si>
  <si>
    <t xml:space="preserve">(OCoLC)ocm00368552</t>
  </si>
  <si>
    <t xml:space="preserve">AZ321 .H81963</t>
  </si>
  <si>
    <t xml:space="preserve">AZ  321            H 81963</t>
  </si>
  <si>
    <t xml:space="preserve">11/16/2006</t>
  </si>
  <si>
    <t xml:space="preserve">Science and thought in the fifteenth century; studies in the history of medicine and surgery, natural and mathematical science, philosophy, and politics.</t>
  </si>
  <si>
    <t xml:space="preserve">Thorndike, Lynn, 1882-1965.</t>
  </si>
  <si>
    <t xml:space="preserve">Science and thought in the fifteenth century; studies in the history of medicine and surgery, natural and mathematical science, philosophy, and politi</t>
  </si>
  <si>
    <t xml:space="preserve">(OCoLC)ocm00368540</t>
  </si>
  <si>
    <t xml:space="preserve">1963 [c1929]</t>
  </si>
  <si>
    <t xml:space="preserve">Hafner Pub. Co.,</t>
  </si>
  <si>
    <t xml:space="preserve">AZ321 .T51963</t>
  </si>
  <si>
    <t xml:space="preserve">AZ  321            T 51963</t>
  </si>
  <si>
    <t xml:space="preserve">Art, science, and history in the Renaissance. Edited by Charles S. Singleton.</t>
  </si>
  <si>
    <t xml:space="preserve">Art, science, and history in the Renaissance.</t>
  </si>
  <si>
    <t xml:space="preserve">(OCoLC)ocm00160236</t>
  </si>
  <si>
    <t xml:space="preserve">Johns Hopkins Press</t>
  </si>
  <si>
    <t xml:space="preserve">AZ331 .A7</t>
  </si>
  <si>
    <t xml:space="preserve">AZ  331            A 7</t>
  </si>
  <si>
    <t xml:space="preserve">12/12/2003</t>
  </si>
  <si>
    <t xml:space="preserve">Great intellectual revolution, by J. F. West.</t>
  </si>
  <si>
    <t xml:space="preserve">West, John F. (John Frederick)</t>
  </si>
  <si>
    <t xml:space="preserve">Great intellectual revolution,</t>
  </si>
  <si>
    <t xml:space="preserve">[1st American ed.]</t>
  </si>
  <si>
    <t xml:space="preserve">(OCoLC)ocm00872001</t>
  </si>
  <si>
    <t xml:space="preserve">Citadel Press</t>
  </si>
  <si>
    <t xml:space="preserve">AZ346 .W41966</t>
  </si>
  <si>
    <t xml:space="preserve">AZ  346            W 41966</t>
  </si>
  <si>
    <t xml:space="preserve">Origins of modern consciousness.</t>
  </si>
  <si>
    <t xml:space="preserve">Weiss, John, 1927-</t>
  </si>
  <si>
    <t xml:space="preserve">(OCoLC)ocm01473008</t>
  </si>
  <si>
    <t xml:space="preserve">Wayne State University Press,</t>
  </si>
  <si>
    <t xml:space="preserve">AZ356 .W4</t>
  </si>
  <si>
    <t xml:space="preserve">AZ  356            W 4</t>
  </si>
  <si>
    <t xml:space="preserve">Rescue and achievement of refugee scholars.</t>
  </si>
  <si>
    <t xml:space="preserve">Bentwich, Norman De Mattos, 1883-1971.</t>
  </si>
  <si>
    <t xml:space="preserve">(OCoLC)ocm00373638</t>
  </si>
  <si>
    <t xml:space="preserve">M. Nijhoff,</t>
  </si>
  <si>
    <t xml:space="preserve">AZ361 .B41953</t>
  </si>
  <si>
    <t xml:space="preserve">AZ  361            B 41953</t>
  </si>
  <si>
    <t xml:space="preserve">Eclosion and synthesis; perspectives on the history of knowledge.</t>
  </si>
  <si>
    <t xml:space="preserve">Bochner, S. (Salomon), 1899-</t>
  </si>
  <si>
    <t xml:space="preserve">(OCoLC)ocm00006762</t>
  </si>
  <si>
    <t xml:space="preserve">W. A. Benjamin,</t>
  </si>
  <si>
    <t xml:space="preserve">AZ361 .B58</t>
  </si>
  <si>
    <t xml:space="preserve">AZ  361            B 58</t>
  </si>
  <si>
    <t xml:space="preserve">NEXT THIRTY YEARS: THOUGHTS ON THE WORK THAT AWAITS STUDENTS OF THE HUMAN SCIENCES</t>
  </si>
  <si>
    <t xml:space="preserve">Bryce, James Bryce, Viscount, 1838-1922.</t>
  </si>
  <si>
    <t xml:space="preserve">se 00001894</t>
  </si>
  <si>
    <t xml:space="preserve">AZ361 .B7</t>
  </si>
  <si>
    <t xml:space="preserve">AZ  361            B 7</t>
  </si>
  <si>
    <t xml:space="preserve">Science and liberal education.</t>
  </si>
  <si>
    <t xml:space="preserve">Glass, Bentley, 1906-</t>
  </si>
  <si>
    <t xml:space="preserve">(OCoLC)ocm18076318</t>
  </si>
  <si>
    <t xml:space="preserve">Louisiana State University Press,</t>
  </si>
  <si>
    <t xml:space="preserve">AZ361 .G5</t>
  </si>
  <si>
    <t xml:space="preserve">AZ  361            G 5</t>
  </si>
  <si>
    <t xml:space="preserve">Science and the shabby curate of poetry : essays about the two cultures / Martin Green.</t>
  </si>
  <si>
    <t xml:space="preserve">Green, Martin Burgess, 1927-</t>
  </si>
  <si>
    <t xml:space="preserve">Science and the shabby curate of poetry : essays about the two cultures /</t>
  </si>
  <si>
    <t xml:space="preserve">1st American ed.</t>
  </si>
  <si>
    <t xml:space="preserve">(OCoLC)ocm02922127</t>
  </si>
  <si>
    <t xml:space="preserve">1965, c1964.</t>
  </si>
  <si>
    <t xml:space="preserve">Norton,</t>
  </si>
  <si>
    <t xml:space="preserve">AZ361 .G71965</t>
  </si>
  <si>
    <t xml:space="preserve">AZ  361            G 71965</t>
  </si>
  <si>
    <t xml:space="preserve">ON MODERNISM : THE PROSPECTS FOR LITERATURE AND FREEDOM.</t>
  </si>
  <si>
    <t xml:space="preserve">Kampf, Louis.</t>
  </si>
  <si>
    <t xml:space="preserve">se 00001897</t>
  </si>
  <si>
    <t xml:space="preserve">AZ361 .K3</t>
  </si>
  <si>
    <t xml:space="preserve">AZ  361            K 3</t>
  </si>
  <si>
    <t xml:space="preserve">Fellowship of learning: presidential address delivered by Sir F.G. Kenyon, K.C.B., at annual general meeting, July 6, 1921.</t>
  </si>
  <si>
    <t xml:space="preserve">Kenyon, Frederic G. (Frederic George), Sir, 1863-1952.</t>
  </si>
  <si>
    <t xml:space="preserve">(OCoLC)ocm26887385</t>
  </si>
  <si>
    <t xml:space="preserve">[1921]</t>
  </si>
  <si>
    <t xml:space="preserve">AZ361 .K42</t>
  </si>
  <si>
    <t xml:space="preserve">AZ  361            K 42</t>
  </si>
  <si>
    <t xml:space="preserve">Humanities today.</t>
  </si>
  <si>
    <t xml:space="preserve">Levi, Albert William, 1911-</t>
  </si>
  <si>
    <t xml:space="preserve">(OCoLC)ocm00062832</t>
  </si>
  <si>
    <t xml:space="preserve">AZ361 .L381970</t>
  </si>
  <si>
    <t xml:space="preserve">AZ  361            L 381970</t>
  </si>
  <si>
    <t xml:space="preserve">Public affairs [by] C. P. Snow.</t>
  </si>
  <si>
    <t xml:space="preserve">Snow, C. P. (Charles Percy), 1905-</t>
  </si>
  <si>
    <t xml:space="preserve">Public affairs</t>
  </si>
  <si>
    <t xml:space="preserve">(OCoLC)ocm00208235</t>
  </si>
  <si>
    <t xml:space="preserve">AZ361 .S557</t>
  </si>
  <si>
    <t xml:space="preserve">AZ  361            S 557</t>
  </si>
  <si>
    <t xml:space="preserve">Two cultures and the scientific revolution.</t>
  </si>
  <si>
    <t xml:space="preserve">(OCoLC)ocm05787086</t>
  </si>
  <si>
    <t xml:space="preserve">University Press,</t>
  </si>
  <si>
    <t xml:space="preserve">AZ361 .S561960</t>
  </si>
  <si>
    <t xml:space="preserve">AZ  361            S 561960</t>
  </si>
  <si>
    <t xml:space="preserve">5/5/2011</t>
  </si>
  <si>
    <t xml:space="preserve">Two cultures: and a second look.</t>
  </si>
  <si>
    <t xml:space="preserve">(OCoLC)ocm02360206</t>
  </si>
  <si>
    <t xml:space="preserve">AZ361 .S561964</t>
  </si>
  <si>
    <t xml:space="preserve">AZ  361            S 561964</t>
  </si>
  <si>
    <t xml:space="preserve">Two cultures; and, A second look: an expanded version of 'The two cultures and the scientific revolution', by C. P. Snow.</t>
  </si>
  <si>
    <t xml:space="preserve">Two cultures; and, A second look: an expanded version of 'The two cultures and the scientific revolution',</t>
  </si>
  <si>
    <t xml:space="preserve">052109576X</t>
  </si>
  <si>
    <t xml:space="preserve">(OCoLC)ocm00059465</t>
  </si>
  <si>
    <t xml:space="preserve">Cambridge U.P.,</t>
  </si>
  <si>
    <t xml:space="preserve">AZ361 .S561969</t>
  </si>
  <si>
    <t xml:space="preserve">AZ  361            S 561969</t>
  </si>
  <si>
    <t xml:space="preserve">Statistical yearbook Unesco.</t>
  </si>
  <si>
    <t xml:space="preserve">Statistical yearbook</t>
  </si>
  <si>
    <t xml:space="preserve">(OCoLC)ocm01607331</t>
  </si>
  <si>
    <t xml:space="preserve">1964-</t>
  </si>
  <si>
    <t xml:space="preserve">Unesco],</t>
  </si>
  <si>
    <t xml:space="preserve">AZ361 .U45</t>
  </si>
  <si>
    <t xml:space="preserve">AZ  361            U 45</t>
  </si>
  <si>
    <t xml:space="preserve">3/19/2009</t>
  </si>
  <si>
    <t xml:space="preserve">1978-1979</t>
  </si>
  <si>
    <t xml:space="preserve">Two cultures? The significance of C. P. Snow. Being the Richmond lecture, 1962. With a new pref. for the American reader. And an essay on Sir Charles Snow's Rede lecture, by Michael Yudkin.</t>
  </si>
  <si>
    <t xml:space="preserve">Leavis, F. R. (Frank Raymond), 1895-</t>
  </si>
  <si>
    <t xml:space="preserve">Two cultures? The significance of C. P. Snow. Being the Richmond lecture, 1962. With a new pref. for the American reader. And an essay on Sir Charles</t>
  </si>
  <si>
    <t xml:space="preserve">(OCoLC)ocm00368581</t>
  </si>
  <si>
    <t xml:space="preserve">Pantheon Books</t>
  </si>
  <si>
    <t xml:space="preserve">AZ361.S57 L4</t>
  </si>
  <si>
    <t xml:space="preserve">AZ  361            S 57   L 4</t>
  </si>
  <si>
    <t xml:space="preserve">8/5/2008</t>
  </si>
  <si>
    <t xml:space="preserve">European origins of American thought, edited by David D. Van Tassel, and Robert W. McAhren.</t>
  </si>
  <si>
    <t xml:space="preserve">European origins of American thought,</t>
  </si>
  <si>
    <t xml:space="preserve">(OCoLC)ocm00019252</t>
  </si>
  <si>
    <t xml:space="preserve">Rand McNally</t>
  </si>
  <si>
    <t xml:space="preserve">AZ504 .V35</t>
  </si>
  <si>
    <t xml:space="preserve">AZ  504            V 35</t>
  </si>
  <si>
    <t xml:space="preserve">AMERICAN SCHOLARSHIP IN THE TWENTIETH CENTURY</t>
  </si>
  <si>
    <t xml:space="preserve">CURTI, MERLE EUGENE, 1897- , ED.</t>
  </si>
  <si>
    <t xml:space="preserve">se 00001906</t>
  </si>
  <si>
    <t xml:space="preserve">AZ505 .C8</t>
  </si>
  <si>
    <t xml:space="preserve">AZ  505            C 8</t>
  </si>
  <si>
    <t xml:space="preserve">Changes in the context for creating knowledge / George Keller, Dennis O'Brien, Susanne Hoeber Rudolph.</t>
  </si>
  <si>
    <t xml:space="preserve">Keller, George, 1928-</t>
  </si>
  <si>
    <t xml:space="preserve">Changes in the context for creating knowledge /</t>
  </si>
  <si>
    <t xml:space="preserve">(OCoLC)ocm31593898</t>
  </si>
  <si>
    <t xml:space="preserve">AZ505 .K441994</t>
  </si>
  <si>
    <t xml:space="preserve">AZ  505            K 441994</t>
  </si>
  <si>
    <t xml:space="preserve">Production and distribution of knowledge in the United States.</t>
  </si>
  <si>
    <t xml:space="preserve">Machlup, Fritz, 1902-</t>
  </si>
  <si>
    <t xml:space="preserve">(OCoLC)ocm00250832</t>
  </si>
  <si>
    <t xml:space="preserve">AZ505 .M3</t>
  </si>
  <si>
    <t xml:space="preserve">AZ  505            M 3</t>
  </si>
  <si>
    <t xml:space="preserve">Knowledge industry in the United States, 1960-1980 / Michael Rogers Rubin and Mary Taylor Huber with Elizabeth Lloyd Taylor.</t>
  </si>
  <si>
    <t xml:space="preserve">Rubin, Michael Rogers.</t>
  </si>
  <si>
    <t xml:space="preserve">Knowledge industry in the United States, 1960-1980 /</t>
  </si>
  <si>
    <t xml:space="preserve">0691042357 (alk. paper) :</t>
  </si>
  <si>
    <t xml:space="preserve">(OCoLC)ocm13064553</t>
  </si>
  <si>
    <t xml:space="preserve">AZ505 .R831986</t>
  </si>
  <si>
    <t xml:space="preserve">AZ  505            R 831986</t>
  </si>
  <si>
    <t xml:space="preserve">Scholarly means to evangelical ends : the New Haven scholars and the transformation of higher learning in America, 1830-1890 / Louise L. Stevenson.</t>
  </si>
  <si>
    <t xml:space="preserve">Stevenson, Louise L.</t>
  </si>
  <si>
    <t xml:space="preserve">Scholarly means to evangelical ends : the New Haven scholars and the transformation of higher learning in America, 1830-1890 /</t>
  </si>
  <si>
    <t xml:space="preserve">0801826950 (alk. paper)</t>
  </si>
  <si>
    <t xml:space="preserve">(OCoLC)ocm12839977</t>
  </si>
  <si>
    <t xml:space="preserve">AZ505 .S741986</t>
  </si>
  <si>
    <t xml:space="preserve">AZ  505            S 741986</t>
  </si>
  <si>
    <t xml:space="preserve">11/25/2009</t>
  </si>
  <si>
    <t xml:space="preserve">Report.</t>
  </si>
  <si>
    <t xml:space="preserve">Commission on the Humanities.</t>
  </si>
  <si>
    <t xml:space="preserve">(OCoLC)ocm00368938</t>
  </si>
  <si>
    <t xml:space="preserve">AZ507 .C6</t>
  </si>
  <si>
    <t xml:space="preserve">AZ  507            C 6</t>
  </si>
  <si>
    <t xml:space="preserve">One great society; humane learning in the United States.</t>
  </si>
  <si>
    <t xml:space="preserve">Jones, Howard Mumford, 1892-</t>
  </si>
  <si>
    <t xml:space="preserve">(OCoLC)ocm00959224</t>
  </si>
  <si>
    <t xml:space="preserve">Harcourt, Brace</t>
  </si>
  <si>
    <t xml:space="preserve">AZ507 .J6</t>
  </si>
  <si>
    <t xml:space="preserve">AZ  507            J 6</t>
  </si>
  <si>
    <t xml:space="preserve">Home of the learned man; a symposium on the immigrant scholar in America [by] Franz Adler [and others] Edited by John Kosa. Foreword by Edward M. Kennedy.</t>
  </si>
  <si>
    <t xml:space="preserve">Kosa, John.</t>
  </si>
  <si>
    <t xml:space="preserve">Home of the learned man; a symposium on the immigrant scholar in America</t>
  </si>
  <si>
    <t xml:space="preserve">(OCoLC)ocm00368939</t>
  </si>
  <si>
    <t xml:space="preserve">College &amp; University Press</t>
  </si>
  <si>
    <t xml:space="preserve">AZ507 .K6</t>
  </si>
  <si>
    <t xml:space="preserve">AZ  507            K 6</t>
  </si>
  <si>
    <t xml:space="preserve">Research in the social sciences and humanities / Lyman H. Legters.</t>
  </si>
  <si>
    <t xml:space="preserve">Legters, Lyman Howard, 1928-</t>
  </si>
  <si>
    <t xml:space="preserve">Research in the social sciences and humanities /</t>
  </si>
  <si>
    <t xml:space="preserve">(OCoLC)ocm00073385</t>
  </si>
  <si>
    <t xml:space="preserve">A[merican] B[ibliographical] C[enter],</t>
  </si>
  <si>
    <t xml:space="preserve">AZ507 .L38</t>
  </si>
  <si>
    <t xml:space="preserve">AZ  507            L 38</t>
  </si>
  <si>
    <t xml:space="preserve">American scholar : a study in litterae inhumaniores / by Norman Foerster.</t>
  </si>
  <si>
    <t xml:space="preserve">Foerster, Norman, 1887-</t>
  </si>
  <si>
    <t xml:space="preserve">American scholar : a study in litterae inhumaniores /</t>
  </si>
  <si>
    <t xml:space="preserve">(OCoLC)ocm00922030</t>
  </si>
  <si>
    <t xml:space="preserve">1965, c1929.</t>
  </si>
  <si>
    <t xml:space="preserve">AZ508 .F61965</t>
  </si>
  <si>
    <t xml:space="preserve">AZ  508            F 61965</t>
  </si>
  <si>
    <t xml:space="preserve">Scholarship in Canada, 1967: achievement and outlook. Symposium presented to Section II of the Royal Society of Canada in 1967. Edited by R. H. Hubbard, with an introd. by Watson Kirkconnell.</t>
  </si>
  <si>
    <t xml:space="preserve">Royal Society of Canada.</t>
  </si>
  <si>
    <t xml:space="preserve">Scholarship in Canada, 1967: achievement and outlook.</t>
  </si>
  <si>
    <t xml:space="preserve">(OCoLC)ocm00465671</t>
  </si>
  <si>
    <t xml:space="preserve">Published for the Society by University of Toronto Press,</t>
  </si>
  <si>
    <t xml:space="preserve">AZ515 .R6</t>
  </si>
  <si>
    <t xml:space="preserve">AZ  515            R 6</t>
  </si>
  <si>
    <t xml:space="preserve">Papers. [Richard P. Schaedel, editor.</t>
  </si>
  <si>
    <t xml:space="preserve">Conference on Research and Resources of Haiti (1967 : New York)</t>
  </si>
  <si>
    <t xml:space="preserve">Papers.</t>
  </si>
  <si>
    <t xml:space="preserve">(OCoLC)ocm00080108</t>
  </si>
  <si>
    <t xml:space="preserve">Research Institute for the Study of Man,</t>
  </si>
  <si>
    <t xml:space="preserve">AZ541.C61967 AA</t>
  </si>
  <si>
    <t xml:space="preserve">AZ  541            C 61967   AA</t>
  </si>
  <si>
    <t xml:space="preserve">Responsibilities of the foreign scholar to the local scholarly community: studies of U.S. research in Guatemala, Chile, and Paraguay, by Calvin P. Blair, Richard P. Schaedel [and] James H. Street. Edited and with an introd. by Richard N. Adams.</t>
  </si>
  <si>
    <t xml:space="preserve">Blair, Calvin Patton,</t>
  </si>
  <si>
    <t xml:space="preserve">Responsibilities of the foreign scholar to the local scholarly community: studies of U.S. research in Guatemala, Chile, and Paraguay,</t>
  </si>
  <si>
    <t xml:space="preserve">(OCoLC)ocm00201653</t>
  </si>
  <si>
    <t xml:space="preserve">c1969.</t>
  </si>
  <si>
    <t xml:space="preserve">Council on Educational Cooperation with Latin America, Education and World Affairs,</t>
  </si>
  <si>
    <t xml:space="preserve">AZ548 .B55</t>
  </si>
  <si>
    <t xml:space="preserve">AZ  548            B 55</t>
  </si>
  <si>
    <t xml:space="preserve">European intellectual history, by Crane Brinton.</t>
  </si>
  <si>
    <t xml:space="preserve">Brinton, Crane, 1898-1968.</t>
  </si>
  <si>
    <t xml:space="preserve">European intellectual history,</t>
  </si>
  <si>
    <t xml:space="preserve">(OCoLC)ocm00361669</t>
  </si>
  <si>
    <t xml:space="preserve">Macmillan</t>
  </si>
  <si>
    <t xml:space="preserve">AZ601 .B71964</t>
  </si>
  <si>
    <t xml:space="preserve">AZ  601            B 71964</t>
  </si>
  <si>
    <t xml:space="preserve">7/26/2006</t>
  </si>
  <si>
    <t xml:space="preserve">Studies in medieval thought and learning from Abelard to Wyclif / Beryl Smalley.</t>
  </si>
  <si>
    <t xml:space="preserve">Smalley, Beryl.</t>
  </si>
  <si>
    <t xml:space="preserve">Studies in medieval thought and learning from Abelard to Wyclif /</t>
  </si>
  <si>
    <t xml:space="preserve">0950688266 :</t>
  </si>
  <si>
    <t xml:space="preserve">(OCoLC)ocm08357670</t>
  </si>
  <si>
    <t xml:space="preserve">Hambledon Press,</t>
  </si>
  <si>
    <t xml:space="preserve">AZ603 .S25</t>
  </si>
  <si>
    <t xml:space="preserve">AZ  603            S 25</t>
  </si>
  <si>
    <t xml:space="preserve">Mind of the European romantics : an essay in cultural history / by H.G. Schenk ; with a preface by Isaiah Berlin.</t>
  </si>
  <si>
    <t xml:space="preserve">Schenk, Hans Georg Artur Viktor.</t>
  </si>
  <si>
    <t xml:space="preserve">Mind of the European romantics : an essay in cultural history /</t>
  </si>
  <si>
    <t xml:space="preserve">(OCoLC)ocm00872007</t>
  </si>
  <si>
    <t xml:space="preserve">Constable,</t>
  </si>
  <si>
    <t xml:space="preserve">AZ604 .S3</t>
  </si>
  <si>
    <t xml:space="preserve">AZ  604            S 3</t>
  </si>
  <si>
    <t xml:space="preserve">1/27/2003</t>
  </si>
  <si>
    <t xml:space="preserve">Humanism in England during the fifteenth century.</t>
  </si>
  <si>
    <t xml:space="preserve">Weiss, Roberto.</t>
  </si>
  <si>
    <t xml:space="preserve">(OCoLC)ocm00872010</t>
  </si>
  <si>
    <t xml:space="preserve">Blackwell,</t>
  </si>
  <si>
    <t xml:space="preserve">AZ613 .W41967</t>
  </si>
  <si>
    <t xml:space="preserve">AZ  613            W 41967</t>
  </si>
  <si>
    <t xml:space="preserve">Research in the humanities and the social sciences; report of a survey, 1958-1960.</t>
  </si>
  <si>
    <t xml:space="preserve">British Academy.</t>
  </si>
  <si>
    <t xml:space="preserve">(OCoLC)ocm01413654</t>
  </si>
  <si>
    <t xml:space="preserve">AZ614 .B7</t>
  </si>
  <si>
    <t xml:space="preserve">AZ  614            B 7</t>
  </si>
  <si>
    <t xml:space="preserve">University studies, Cambridge, 1933, edited by Harold Wright ...</t>
  </si>
  <si>
    <t xml:space="preserve">WRIGHT, HAROLD, 1883-</t>
  </si>
  <si>
    <t xml:space="preserve">University studies, Cambridge, 1933,</t>
  </si>
  <si>
    <t xml:space="preserve">(OCoLC)ocm01197571</t>
  </si>
  <si>
    <t xml:space="preserve">I. Nicholson &amp; Watson,</t>
  </si>
  <si>
    <t xml:space="preserve">AZ614 .W7</t>
  </si>
  <si>
    <t xml:space="preserve">AZ  614            W 7</t>
  </si>
  <si>
    <t xml:space="preserve">Science and learning in France, with a survey of opportunities for American students in French universities; an appreciation by American scholars.</t>
  </si>
  <si>
    <t xml:space="preserve">(OCoLC)ocm02948670</t>
  </si>
  <si>
    <t xml:space="preserve">Printed by R. R. Donnelley and sons company for] the society for American fellowships in French universities,</t>
  </si>
  <si>
    <t xml:space="preserve">AZ654 .S4</t>
  </si>
  <si>
    <t xml:space="preserve">AZ  654            S 4</t>
  </si>
  <si>
    <t xml:space="preserve">Pour la haute intelligence francÂ¿Â¿aise ... preÂ¿Â¿face de M. Charles Moureu.</t>
  </si>
  <si>
    <t xml:space="preserve">BarreÂ¿Â¿s, Maurice, 1862-1923.</t>
  </si>
  <si>
    <t xml:space="preserve">Pour la haute intelligence francÂ¿Â¿aise ...</t>
  </si>
  <si>
    <t xml:space="preserve">(OCoLC)ocm03679691</t>
  </si>
  <si>
    <t xml:space="preserve">[1925]</t>
  </si>
  <si>
    <t xml:space="preserve">Plon-Nourrit et cie</t>
  </si>
  <si>
    <t xml:space="preserve">AZ656 .B3</t>
  </si>
  <si>
    <t xml:space="preserve">AZ  656            B 3</t>
  </si>
  <si>
    <t xml:space="preserve">Science &amp; ideology in Soviet society [by] Richard T. De George [and others] Edited by George Fischer.</t>
  </si>
  <si>
    <t xml:space="preserve">Science &amp; ideology in Soviet society</t>
  </si>
  <si>
    <t xml:space="preserve">(OCoLC)ocm00368963</t>
  </si>
  <si>
    <t xml:space="preserve">Atherton Press,</t>
  </si>
  <si>
    <t xml:space="preserve">AZ712 .S3</t>
  </si>
  <si>
    <t xml:space="preserve">AZ  712            S 3</t>
  </si>
  <si>
    <t xml:space="preserve">Investing in scientific progress, 1961-1970; concepts, goals, and projections.</t>
  </si>
  <si>
    <t xml:space="preserve">National Science Foundation (U.S.)</t>
  </si>
  <si>
    <t xml:space="preserve">(OCoLC)ocm03888495</t>
  </si>
  <si>
    <t xml:space="preserve">AZ800.S35 NO.30SUPPL.</t>
  </si>
  <si>
    <t xml:space="preserve">AZ  800            S 35   NO .30 SUPPL</t>
  </si>
  <si>
    <t xml:space="preserve">CSA Specialist Meeting on Water Treatment. ReÂ¿Â¿union de speÂ¿Â¿cialistes CSA sur le traitement des eaux.</t>
  </si>
  <si>
    <t xml:space="preserve">CSA Specialist Meeting on Water Treatment (1960 : Pretoria)</t>
  </si>
  <si>
    <t xml:space="preserve">CSA Specialist Meeting on Water Treatment.</t>
  </si>
  <si>
    <t xml:space="preserve">(OCoLC)ocm03253810</t>
  </si>
  <si>
    <t xml:space="preserve">[1961?]</t>
  </si>
  <si>
    <t xml:space="preserve">C.C.T.A.</t>
  </si>
  <si>
    <t xml:space="preserve">AZ800.S35 NO.64</t>
  </si>
  <si>
    <t xml:space="preserve">AZ  800            S 35   NO .64</t>
  </si>
  <si>
    <t xml:space="preserve">Migrant labour in Africa south of the Sahara; proceedings under Item II of the agenda of the Sixth Inter-African Labour Conference, Abidjan, 1961, and other relevant papers.</t>
  </si>
  <si>
    <t xml:space="preserve">Inter-African Labour Institute.</t>
  </si>
  <si>
    <t xml:space="preserve">Migrant labour in Africa south of the Sahara; proceedings under Item II of the agenda of the Sixth Inter-African Labour Conference, Abidjan, 1961, and</t>
  </si>
  <si>
    <t xml:space="preserve">(OCoLC)ocm01250167</t>
  </si>
  <si>
    <t xml:space="preserve">C. C. T. A.</t>
  </si>
  <si>
    <t xml:space="preserve">AZ800.S35 NO.79</t>
  </si>
  <si>
    <t xml:space="preserve">AZ  800            S 35   NO .79</t>
  </si>
  <si>
    <t xml:space="preserve">Symposium on Unemployed Youth; [documented contributions; reports and recommendations].</t>
  </si>
  <si>
    <t xml:space="preserve">Symposium on Unemployed Youth (1962 : Dar-es-Salaam, Tanzania)</t>
  </si>
  <si>
    <t xml:space="preserve">(OCoLC)ocm05227653</t>
  </si>
  <si>
    <t xml:space="preserve">[1963?]</t>
  </si>
  <si>
    <t xml:space="preserve">Commission for Technical Co-operation in Africa</t>
  </si>
  <si>
    <t xml:space="preserve">AZ800.S35 NO.89</t>
  </si>
  <si>
    <t xml:space="preserve">AZ  800            S 35   NO .89</t>
  </si>
  <si>
    <t xml:space="preserve">Natural history of nonsense, by Bergen Evans.</t>
  </si>
  <si>
    <t xml:space="preserve">Evans, Bergen, 1904-</t>
  </si>
  <si>
    <t xml:space="preserve">Natural history of nonsense,</t>
  </si>
  <si>
    <t xml:space="preserve">(OCoLC)ocm00248522</t>
  </si>
  <si>
    <t xml:space="preserve">A. A. Knopf,</t>
  </si>
  <si>
    <t xml:space="preserve">AZ999 .E8</t>
  </si>
  <si>
    <t xml:space="preserve">AZ  999            E 8</t>
  </si>
  <si>
    <t xml:space="preserve">Spoor of spooks, and other nonsense.</t>
  </si>
  <si>
    <t xml:space="preserve">(OCoLC)ocm00177937</t>
  </si>
  <si>
    <t xml:space="preserve">AZ999 .E82</t>
  </si>
  <si>
    <t xml:space="preserve">AZ  999            E 82</t>
  </si>
  <si>
    <t xml:space="preserve">Blunder book : colossal errors, minor mistakes, and surprising slipups that have changed the course of history / by M. Hirsh Goldberg.</t>
  </si>
  <si>
    <t xml:space="preserve">Goldberg, M. Hirsh.</t>
  </si>
  <si>
    <t xml:space="preserve">Blunder book : colossal errors, minor mistakes, and surprising slipups that have changed the course of history /</t>
  </si>
  <si>
    <t xml:space="preserve">(OCoLC)ocm10605400</t>
  </si>
  <si>
    <t xml:space="preserve">AZ999 .G61984</t>
  </si>
  <si>
    <t xml:space="preserve">AZ  999            G 61984</t>
  </si>
  <si>
    <t xml:space="preserve">Joy of ignorance, by T. Swann Harding.</t>
  </si>
  <si>
    <t xml:space="preserve">Harding, T. Swann (Thomas Swann), 1890-</t>
  </si>
  <si>
    <t xml:space="preserve">Joy of ignorance,</t>
  </si>
  <si>
    <t xml:space="preserve">(OCoLC)ocm01086931</t>
  </si>
  <si>
    <t xml:space="preserve">W. Godwin, inc.,</t>
  </si>
  <si>
    <t xml:space="preserve">AZ999 .H3</t>
  </si>
  <si>
    <t xml:space="preserve">AZ  999            H 3</t>
  </si>
  <si>
    <t xml:space="preserve">10/19/2007</t>
  </si>
  <si>
    <t xml:space="preserve">Foibles and fallacies of science; an account of celebrated scientific vagaries, by Daniel W. Hering ...</t>
  </si>
  <si>
    <t xml:space="preserve">Hering, Daniel Webster, 1850-1938.</t>
  </si>
  <si>
    <t xml:space="preserve">Foibles and fallacies of science; an account of celebrated scientific vagaries,</t>
  </si>
  <si>
    <t xml:space="preserve">(OCoLC)ocm00268216</t>
  </si>
  <si>
    <t xml:space="preserve">D. Van Nostrand company,</t>
  </si>
  <si>
    <t xml:space="preserve">AZ999 .H4</t>
  </si>
  <si>
    <t xml:space="preserve">AZ  999            H 4</t>
  </si>
  <si>
    <t xml:space="preserve">Extraordinary popular delusions and the madness of crowds, by Charles Mackay, LL. D.; a verbatim reprint, with reproductions of original illustrations, of the edition of 1852; with a foreword by Bernard M. Baruch.</t>
  </si>
  <si>
    <t xml:space="preserve">Mackay, Charles, 1814-1889.</t>
  </si>
  <si>
    <t xml:space="preserve">Extraordinary popular delusions and the madness of crowds,</t>
  </si>
  <si>
    <t xml:space="preserve">(OCoLC)ocm02358402</t>
  </si>
  <si>
    <t xml:space="preserve">[1963, c1932]</t>
  </si>
  <si>
    <t xml:space="preserve">Fraser Pub. Co.</t>
  </si>
  <si>
    <t xml:space="preserve">AZ999 .M21963</t>
  </si>
  <si>
    <t xml:space="preserve">AZ  999            M 21963</t>
  </si>
  <si>
    <t xml:space="preserve">8/25/2011</t>
  </si>
  <si>
    <t xml:space="preserve">Prevalence of nonsense [by] Ashley Montagu and Edward Darling.</t>
  </si>
  <si>
    <t xml:space="preserve">Montagu, Ashley, 1905-1999.</t>
  </si>
  <si>
    <t xml:space="preserve">Prevalence of nonsense</t>
  </si>
  <si>
    <t xml:space="preserve">(OCoLC)ocm02082677</t>
  </si>
  <si>
    <t xml:space="preserve">Harper &amp; Row</t>
  </si>
  <si>
    <t xml:space="preserve">AZ999 .M6</t>
  </si>
  <si>
    <t xml:space="preserve">AZ  999            M 6</t>
  </si>
  <si>
    <t xml:space="preserve">9/28/2009</t>
  </si>
  <si>
    <t xml:space="preserve">Adventures in error, by Vilhjalmur Stefansson.</t>
  </si>
  <si>
    <t xml:space="preserve">Stefansson, Vilhjalmur, 1879-1962.</t>
  </si>
  <si>
    <t xml:space="preserve">Adventures in error,</t>
  </si>
  <si>
    <t xml:space="preserve">(OCoLC)ocm01631876</t>
  </si>
  <si>
    <t xml:space="preserve">[c1936]</t>
  </si>
  <si>
    <t xml:space="preserve">R. M. McBride &amp; company</t>
  </si>
  <si>
    <t xml:space="preserve">AZ999 .S7</t>
  </si>
  <si>
    <t xml:space="preserve">AZ  999            S 7</t>
  </si>
  <si>
    <t xml:space="preserve">11/6/2009</t>
  </si>
  <si>
    <t xml:space="preserve">Myths, lies, and downright stupidity : get out the shovel-- why everything you know is wrong / John Stossel.</t>
  </si>
  <si>
    <t xml:space="preserve">Stossel, John.</t>
  </si>
  <si>
    <t xml:space="preserve">Myths, lies, and downright stupidity : get out the shovel-- why everything you know is wrong /</t>
  </si>
  <si>
    <t xml:space="preserve">(OCoLC)ocm67835939</t>
  </si>
  <si>
    <t xml:space="preserve">c2006.</t>
  </si>
  <si>
    <t xml:space="preserve">Hyperion,</t>
  </si>
  <si>
    <t xml:space="preserve">AZ999 .S76 2006</t>
  </si>
  <si>
    <t xml:space="preserve">AZ  999            S 76   2006</t>
  </si>
  <si>
    <t xml:space="preserve">12/12/2006</t>
  </si>
  <si>
    <t xml:space="preserve">9/13/2007</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</si>
</sst>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1967"/>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X3" activeCellId="0" sqref="X3"/>
    </sheetView>
  </sheetViews>
  <sheetFormatPr defaultRowHeight="12.8" zeroHeight="false" outlineLevelRow="0" outlineLevelCol="0"/>
  <cols>
    <col collapsed="false" customWidth="true" hidden="false" outlineLevel="0" max="1" min="1" style="0" width="7.41"/>
    <col collapsed="false" customWidth="true" hidden="false" outlineLevel="0" max="2" min="2" style="0" width="9.48"/>
    <col collapsed="false" customWidth="true" hidden="false" outlineLevel="0" max="3" min="3" style="0" width="8.79"/>
    <col collapsed="false" customWidth="true" hidden="false" outlineLevel="0" max="4" min="4" style="0" width="11.85"/>
    <col collapsed="false" customWidth="true" hidden="false" outlineLevel="0" max="5" min="5" style="0" width="13.24"/>
    <col collapsed="false" customWidth="true" hidden="false" outlineLevel="0" max="6" min="6" style="0" width="13.1"/>
    <col collapsed="false" customWidth="false" hidden="false" outlineLevel="0" max="7" min="7" style="0" width="11.57"/>
    <col collapsed="false" customWidth="true" hidden="false" outlineLevel="0" max="8" min="8" style="0" width="223.32"/>
    <col collapsed="false" customWidth="true" hidden="false" outlineLevel="0" max="9" min="9" style="0" width="103.97"/>
    <col collapsed="false" customWidth="true" hidden="false" outlineLevel="0" max="10" min="10" style="0" width="151.35"/>
    <col collapsed="false" customWidth="true" hidden="false" outlineLevel="0" max="11" min="11" style="0" width="75.77"/>
    <col collapsed="false" customWidth="true" hidden="false" outlineLevel="0" max="12" min="12" style="0" width="30.47"/>
    <col collapsed="false" customWidth="true" hidden="false" outlineLevel="0" max="13" min="13" style="0" width="20.18"/>
    <col collapsed="false" customWidth="true" hidden="false" outlineLevel="0" max="14" min="14" style="0" width="22.55"/>
    <col collapsed="false" customWidth="true" hidden="false" outlineLevel="0" max="15" min="15" style="0" width="89.94"/>
    <col collapsed="false" customWidth="true" hidden="false" outlineLevel="0" max="16" min="16" style="0" width="17.68"/>
    <col collapsed="false" customWidth="true" hidden="false" outlineLevel="0" max="17" min="17" style="0" width="12.41"/>
    <col collapsed="false" customWidth="true" hidden="false" outlineLevel="0" max="18" min="18" style="0" width="36.99"/>
    <col collapsed="false" customWidth="true" hidden="false" outlineLevel="0" max="19" min="19" style="0" width="57.7"/>
    <col collapsed="false" customWidth="true" hidden="false" outlineLevel="0" max="20" min="20" style="0" width="29.5"/>
    <col collapsed="false" customWidth="true" hidden="false" outlineLevel="0" max="21" min="21" style="0" width="7.95"/>
    <col collapsed="false" customWidth="true" hidden="false" outlineLevel="0" max="22" min="22" style="0" width="15.46"/>
    <col collapsed="false" customWidth="true" hidden="false" outlineLevel="0" max="23" min="23" style="0" width="8.38"/>
    <col collapsed="false" customWidth="true" hidden="false" outlineLevel="0" max="24" min="24" style="0" width="15.05"/>
    <col collapsed="false" customWidth="true" hidden="false" outlineLevel="0" max="25" min="25" style="0" width="16.58"/>
    <col collapsed="false" customWidth="true" hidden="false" outlineLevel="0" max="26" min="26" style="0" width="17.13"/>
    <col collapsed="false" customWidth="true" hidden="false" outlineLevel="0" max="27" min="27" style="0" width="27.28"/>
    <col collapsed="false" customWidth="true" hidden="false" outlineLevel="0" max="28" min="28" style="0" width="16.71"/>
    <col collapsed="false" customWidth="true" hidden="false" outlineLevel="0" max="29" min="29" style="0" width="17.27"/>
    <col collapsed="false" customWidth="true" hidden="false" outlineLevel="0" max="30" min="30" style="0" width="18.24"/>
    <col collapsed="false" customWidth="true" hidden="false" outlineLevel="0" max="32" min="31" style="0" width="14.49"/>
    <col collapsed="false" customWidth="true" hidden="false" outlineLevel="0" max="33" min="33" style="0" width="6.98"/>
    <col collapsed="false" customWidth="true" hidden="false" outlineLevel="0" max="34" min="34" style="0" width="20.33"/>
    <col collapsed="false" customWidth="false" hidden="false" outlineLevel="0" max="1025" min="35"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row>
    <row r="2" customFormat="false" ht="12.8" hidden="false" customHeight="false" outlineLevel="0" collapsed="false">
      <c r="A2" s="0" t="n">
        <v>576187</v>
      </c>
      <c r="B2" s="0" t="n">
        <v>615535</v>
      </c>
      <c r="C2" s="0" t="n">
        <v>690905</v>
      </c>
      <c r="D2" s="0" t="s">
        <v>34</v>
      </c>
      <c r="E2" s="0" t="s">
        <v>35</v>
      </c>
      <c r="F2" s="0" t="s">
        <v>36</v>
      </c>
      <c r="G2" s="0" t="s">
        <v>37</v>
      </c>
      <c r="H2" s="0" t="s">
        <v>38</v>
      </c>
      <c r="J2" s="0" t="s">
        <v>38</v>
      </c>
      <c r="P2" s="0" t="n">
        <v>2000</v>
      </c>
      <c r="Q2" s="0" t="s">
        <v>39</v>
      </c>
      <c r="R2" s="0" t="s">
        <v>40</v>
      </c>
      <c r="S2" s="0" t="s">
        <v>41</v>
      </c>
      <c r="V2" s="0" t="n">
        <v>0</v>
      </c>
      <c r="W2" s="0" t="n">
        <v>1</v>
      </c>
      <c r="X2" s="0" t="str">
        <f aca="false">""</f>
        <v/>
      </c>
      <c r="Y2" s="0" t="s">
        <v>39</v>
      </c>
      <c r="Z2" s="0" t="s">
        <v>42</v>
      </c>
      <c r="AA2" s="0" t="s">
        <v>43</v>
      </c>
      <c r="AE2" s="1" t="s">
        <v>44</v>
      </c>
      <c r="AH2" s="1" t="s">
        <v>44</v>
      </c>
    </row>
    <row r="3" customFormat="false" ht="12.8" hidden="false" customHeight="false" outlineLevel="0" collapsed="false">
      <c r="A3" s="0" t="n">
        <v>62073</v>
      </c>
      <c r="B3" s="0" t="n">
        <v>67433</v>
      </c>
      <c r="C3" s="0" t="n">
        <v>74408</v>
      </c>
      <c r="D3" s="0" t="s">
        <v>35</v>
      </c>
      <c r="E3" s="0" t="s">
        <v>35</v>
      </c>
      <c r="F3" s="0" t="s">
        <v>36</v>
      </c>
      <c r="G3" s="0" t="s">
        <v>37</v>
      </c>
      <c r="H3" s="0" t="s">
        <v>45</v>
      </c>
      <c r="J3" s="0" t="s">
        <v>45</v>
      </c>
      <c r="M3" s="0" t="s">
        <v>46</v>
      </c>
      <c r="N3" s="0" t="s">
        <v>47</v>
      </c>
      <c r="O3" s="0" t="s">
        <v>48</v>
      </c>
      <c r="P3" s="0" t="n">
        <v>1909</v>
      </c>
      <c r="Q3" s="0" t="s">
        <v>39</v>
      </c>
      <c r="R3" s="0" t="s">
        <v>49</v>
      </c>
      <c r="S3" s="0" t="s">
        <v>50</v>
      </c>
      <c r="T3" s="0" t="s">
        <v>51</v>
      </c>
      <c r="V3" s="0" t="n">
        <v>2</v>
      </c>
      <c r="W3" s="0" t="n">
        <v>1</v>
      </c>
      <c r="X3" s="0" t="str">
        <f aca="false">"31811010314733"</f>
        <v>31811010314733</v>
      </c>
      <c r="Y3" s="0" t="s">
        <v>39</v>
      </c>
      <c r="Z3" s="0" t="s">
        <v>42</v>
      </c>
      <c r="AA3" s="0" t="s">
        <v>43</v>
      </c>
      <c r="AE3" s="1" t="s">
        <v>52</v>
      </c>
    </row>
    <row r="4" customFormat="false" ht="12.8" hidden="false" customHeight="false" outlineLevel="0" collapsed="false">
      <c r="A4" s="0" t="n">
        <v>62073</v>
      </c>
      <c r="B4" s="0" t="n">
        <v>67433</v>
      </c>
      <c r="C4" s="0" t="n">
        <v>74409</v>
      </c>
      <c r="D4" s="0" t="s">
        <v>35</v>
      </c>
      <c r="E4" s="0" t="s">
        <v>35</v>
      </c>
      <c r="F4" s="0" t="s">
        <v>36</v>
      </c>
      <c r="G4" s="0" t="s">
        <v>37</v>
      </c>
      <c r="H4" s="0" t="s">
        <v>45</v>
      </c>
      <c r="J4" s="0" t="s">
        <v>45</v>
      </c>
      <c r="M4" s="0" t="s">
        <v>46</v>
      </c>
      <c r="N4" s="0" t="s">
        <v>47</v>
      </c>
      <c r="O4" s="0" t="s">
        <v>48</v>
      </c>
      <c r="P4" s="0" t="n">
        <v>1909</v>
      </c>
      <c r="Q4" s="0" t="s">
        <v>39</v>
      </c>
      <c r="R4" s="0" t="s">
        <v>49</v>
      </c>
      <c r="S4" s="0" t="s">
        <v>50</v>
      </c>
      <c r="T4" s="0" t="s">
        <v>53</v>
      </c>
      <c r="V4" s="0" t="n">
        <v>2</v>
      </c>
      <c r="W4" s="0" t="n">
        <v>1</v>
      </c>
      <c r="X4" s="0" t="str">
        <f aca="false">"31811010314774"</f>
        <v>31811010314774</v>
      </c>
      <c r="Y4" s="0" t="s">
        <v>39</v>
      </c>
      <c r="Z4" s="0" t="s">
        <v>42</v>
      </c>
      <c r="AA4" s="0" t="s">
        <v>43</v>
      </c>
      <c r="AE4" s="1" t="s">
        <v>52</v>
      </c>
    </row>
    <row r="5" customFormat="false" ht="12.8" hidden="false" customHeight="false" outlineLevel="0" collapsed="false">
      <c r="A5" s="0" t="n">
        <v>62073</v>
      </c>
      <c r="B5" s="0" t="n">
        <v>67433</v>
      </c>
      <c r="C5" s="0" t="n">
        <v>74411</v>
      </c>
      <c r="D5" s="0" t="s">
        <v>35</v>
      </c>
      <c r="E5" s="0" t="s">
        <v>35</v>
      </c>
      <c r="F5" s="0" t="s">
        <v>36</v>
      </c>
      <c r="G5" s="0" t="s">
        <v>37</v>
      </c>
      <c r="H5" s="0" t="s">
        <v>45</v>
      </c>
      <c r="J5" s="0" t="s">
        <v>45</v>
      </c>
      <c r="M5" s="0" t="s">
        <v>46</v>
      </c>
      <c r="N5" s="0" t="s">
        <v>47</v>
      </c>
      <c r="O5" s="0" t="s">
        <v>48</v>
      </c>
      <c r="P5" s="0" t="n">
        <v>1909</v>
      </c>
      <c r="Q5" s="0" t="s">
        <v>39</v>
      </c>
      <c r="R5" s="0" t="s">
        <v>49</v>
      </c>
      <c r="S5" s="0" t="s">
        <v>50</v>
      </c>
      <c r="T5" s="0" t="s">
        <v>54</v>
      </c>
      <c r="V5" s="0" t="n">
        <v>2</v>
      </c>
      <c r="W5" s="0" t="n">
        <v>1</v>
      </c>
      <c r="X5" s="0" t="str">
        <f aca="false">"31811010314857"</f>
        <v>31811010314857</v>
      </c>
      <c r="Y5" s="0" t="s">
        <v>39</v>
      </c>
      <c r="Z5" s="0" t="s">
        <v>42</v>
      </c>
      <c r="AA5" s="0" t="s">
        <v>43</v>
      </c>
      <c r="AE5" s="1" t="s">
        <v>52</v>
      </c>
    </row>
    <row r="6" customFormat="false" ht="12.8" hidden="false" customHeight="false" outlineLevel="0" collapsed="false">
      <c r="A6" s="0" t="n">
        <v>62073</v>
      </c>
      <c r="B6" s="0" t="n">
        <v>67433</v>
      </c>
      <c r="C6" s="0" t="n">
        <v>74413</v>
      </c>
      <c r="D6" s="0" t="s">
        <v>35</v>
      </c>
      <c r="E6" s="0" t="s">
        <v>35</v>
      </c>
      <c r="F6" s="0" t="s">
        <v>36</v>
      </c>
      <c r="G6" s="0" t="s">
        <v>37</v>
      </c>
      <c r="H6" s="0" t="s">
        <v>45</v>
      </c>
      <c r="J6" s="0" t="s">
        <v>45</v>
      </c>
      <c r="M6" s="0" t="s">
        <v>46</v>
      </c>
      <c r="N6" s="0" t="s">
        <v>47</v>
      </c>
      <c r="O6" s="0" t="s">
        <v>48</v>
      </c>
      <c r="P6" s="0" t="n">
        <v>1909</v>
      </c>
      <c r="Q6" s="0" t="s">
        <v>39</v>
      </c>
      <c r="R6" s="0" t="s">
        <v>49</v>
      </c>
      <c r="S6" s="0" t="s">
        <v>50</v>
      </c>
      <c r="T6" s="0" t="s">
        <v>55</v>
      </c>
      <c r="V6" s="0" t="n">
        <v>2</v>
      </c>
      <c r="W6" s="0" t="n">
        <v>1</v>
      </c>
      <c r="X6" s="0" t="str">
        <f aca="false">"31811010314782"</f>
        <v>31811010314782</v>
      </c>
      <c r="Y6" s="0" t="s">
        <v>39</v>
      </c>
      <c r="Z6" s="0" t="s">
        <v>42</v>
      </c>
      <c r="AA6" s="0" t="s">
        <v>43</v>
      </c>
      <c r="AE6" s="1" t="s">
        <v>52</v>
      </c>
    </row>
    <row r="7" customFormat="false" ht="12.8" hidden="false" customHeight="false" outlineLevel="0" collapsed="false">
      <c r="A7" s="0" t="n">
        <v>62073</v>
      </c>
      <c r="B7" s="0" t="n">
        <v>67433</v>
      </c>
      <c r="C7" s="0" t="n">
        <v>74415</v>
      </c>
      <c r="D7" s="0" t="s">
        <v>35</v>
      </c>
      <c r="E7" s="0" t="s">
        <v>35</v>
      </c>
      <c r="F7" s="0" t="s">
        <v>36</v>
      </c>
      <c r="G7" s="0" t="s">
        <v>37</v>
      </c>
      <c r="H7" s="0" t="s">
        <v>45</v>
      </c>
      <c r="J7" s="0" t="s">
        <v>45</v>
      </c>
      <c r="M7" s="0" t="s">
        <v>46</v>
      </c>
      <c r="N7" s="0" t="s">
        <v>47</v>
      </c>
      <c r="O7" s="0" t="s">
        <v>48</v>
      </c>
      <c r="P7" s="0" t="n">
        <v>1909</v>
      </c>
      <c r="Q7" s="0" t="s">
        <v>39</v>
      </c>
      <c r="R7" s="0" t="s">
        <v>49</v>
      </c>
      <c r="S7" s="0" t="s">
        <v>50</v>
      </c>
      <c r="T7" s="0" t="s">
        <v>56</v>
      </c>
      <c r="V7" s="0" t="n">
        <v>2</v>
      </c>
      <c r="W7" s="0" t="n">
        <v>1</v>
      </c>
      <c r="X7" s="0" t="str">
        <f aca="false">"31811010314865"</f>
        <v>31811010314865</v>
      </c>
      <c r="Y7" s="0" t="s">
        <v>39</v>
      </c>
      <c r="Z7" s="0" t="s">
        <v>42</v>
      </c>
      <c r="AA7" s="0" t="s">
        <v>43</v>
      </c>
      <c r="AE7" s="1" t="s">
        <v>52</v>
      </c>
    </row>
    <row r="8" customFormat="false" ht="12.8" hidden="false" customHeight="false" outlineLevel="0" collapsed="false">
      <c r="A8" s="0" t="n">
        <v>62073</v>
      </c>
      <c r="B8" s="0" t="n">
        <v>67433</v>
      </c>
      <c r="C8" s="0" t="n">
        <v>74416</v>
      </c>
      <c r="D8" s="0" t="s">
        <v>35</v>
      </c>
      <c r="E8" s="0" t="s">
        <v>35</v>
      </c>
      <c r="F8" s="0" t="s">
        <v>36</v>
      </c>
      <c r="G8" s="0" t="s">
        <v>37</v>
      </c>
      <c r="H8" s="0" t="s">
        <v>45</v>
      </c>
      <c r="J8" s="0" t="s">
        <v>45</v>
      </c>
      <c r="M8" s="0" t="s">
        <v>46</v>
      </c>
      <c r="N8" s="0" t="s">
        <v>47</v>
      </c>
      <c r="O8" s="0" t="s">
        <v>48</v>
      </c>
      <c r="P8" s="0" t="n">
        <v>1909</v>
      </c>
      <c r="Q8" s="0" t="s">
        <v>39</v>
      </c>
      <c r="R8" s="0" t="s">
        <v>49</v>
      </c>
      <c r="S8" s="0" t="s">
        <v>50</v>
      </c>
      <c r="T8" s="0" t="s">
        <v>57</v>
      </c>
      <c r="V8" s="0" t="n">
        <v>2</v>
      </c>
      <c r="W8" s="0" t="n">
        <v>1</v>
      </c>
      <c r="X8" s="0" t="str">
        <f aca="false">"31811010314899"</f>
        <v>31811010314899</v>
      </c>
      <c r="Y8" s="0" t="s">
        <v>39</v>
      </c>
      <c r="Z8" s="0" t="s">
        <v>42</v>
      </c>
      <c r="AA8" s="0" t="s">
        <v>43</v>
      </c>
      <c r="AE8" s="1" t="s">
        <v>52</v>
      </c>
    </row>
    <row r="9" customFormat="false" ht="12.8" hidden="false" customHeight="false" outlineLevel="0" collapsed="false">
      <c r="A9" s="0" t="n">
        <v>62073</v>
      </c>
      <c r="B9" s="0" t="n">
        <v>67433</v>
      </c>
      <c r="C9" s="0" t="n">
        <v>74417</v>
      </c>
      <c r="D9" s="0" t="s">
        <v>35</v>
      </c>
      <c r="E9" s="0" t="s">
        <v>35</v>
      </c>
      <c r="F9" s="0" t="s">
        <v>36</v>
      </c>
      <c r="G9" s="0" t="s">
        <v>37</v>
      </c>
      <c r="H9" s="0" t="s">
        <v>45</v>
      </c>
      <c r="J9" s="0" t="s">
        <v>45</v>
      </c>
      <c r="M9" s="0" t="s">
        <v>46</v>
      </c>
      <c r="N9" s="0" t="s">
        <v>47</v>
      </c>
      <c r="O9" s="0" t="s">
        <v>48</v>
      </c>
      <c r="P9" s="0" t="n">
        <v>1909</v>
      </c>
      <c r="Q9" s="0" t="s">
        <v>39</v>
      </c>
      <c r="R9" s="0" t="s">
        <v>49</v>
      </c>
      <c r="S9" s="0" t="s">
        <v>50</v>
      </c>
      <c r="T9" s="0" t="s">
        <v>58</v>
      </c>
      <c r="V9" s="0" t="n">
        <v>2</v>
      </c>
      <c r="W9" s="0" t="n">
        <v>1</v>
      </c>
      <c r="X9" s="0" t="str">
        <f aca="false">"31811010314931"</f>
        <v>31811010314931</v>
      </c>
      <c r="Y9" s="0" t="s">
        <v>39</v>
      </c>
      <c r="Z9" s="0" t="s">
        <v>42</v>
      </c>
      <c r="AA9" s="0" t="s">
        <v>43</v>
      </c>
      <c r="AE9" s="1" t="s">
        <v>52</v>
      </c>
      <c r="AH9" s="1" t="s">
        <v>59</v>
      </c>
    </row>
    <row r="10" customFormat="false" ht="12.8" hidden="false" customHeight="false" outlineLevel="0" collapsed="false">
      <c r="A10" s="0" t="n">
        <v>62073</v>
      </c>
      <c r="B10" s="0" t="n">
        <v>67433</v>
      </c>
      <c r="C10" s="0" t="n">
        <v>74418</v>
      </c>
      <c r="D10" s="0" t="s">
        <v>35</v>
      </c>
      <c r="E10" s="0" t="s">
        <v>35</v>
      </c>
      <c r="F10" s="0" t="s">
        <v>36</v>
      </c>
      <c r="G10" s="0" t="s">
        <v>37</v>
      </c>
      <c r="H10" s="0" t="s">
        <v>45</v>
      </c>
      <c r="J10" s="0" t="s">
        <v>45</v>
      </c>
      <c r="M10" s="0" t="s">
        <v>46</v>
      </c>
      <c r="N10" s="0" t="s">
        <v>47</v>
      </c>
      <c r="O10" s="0" t="s">
        <v>48</v>
      </c>
      <c r="P10" s="0" t="n">
        <v>1909</v>
      </c>
      <c r="Q10" s="0" t="s">
        <v>39</v>
      </c>
      <c r="R10" s="0" t="s">
        <v>49</v>
      </c>
      <c r="S10" s="0" t="s">
        <v>50</v>
      </c>
      <c r="T10" s="0" t="s">
        <v>60</v>
      </c>
      <c r="V10" s="0" t="n">
        <v>2</v>
      </c>
      <c r="W10" s="0" t="n">
        <v>1</v>
      </c>
      <c r="X10" s="0" t="str">
        <f aca="false">"31811010314972"</f>
        <v>31811010314972</v>
      </c>
      <c r="Y10" s="0" t="s">
        <v>39</v>
      </c>
      <c r="Z10" s="0" t="s">
        <v>42</v>
      </c>
      <c r="AA10" s="0" t="s">
        <v>43</v>
      </c>
      <c r="AE10" s="1" t="s">
        <v>52</v>
      </c>
    </row>
    <row r="11" customFormat="false" ht="12.8" hidden="false" customHeight="false" outlineLevel="0" collapsed="false">
      <c r="A11" s="0" t="n">
        <v>62073</v>
      </c>
      <c r="B11" s="0" t="n">
        <v>67433</v>
      </c>
      <c r="C11" s="0" t="n">
        <v>74419</v>
      </c>
      <c r="D11" s="0" t="s">
        <v>35</v>
      </c>
      <c r="E11" s="0" t="s">
        <v>35</v>
      </c>
      <c r="F11" s="0" t="s">
        <v>36</v>
      </c>
      <c r="G11" s="0" t="s">
        <v>37</v>
      </c>
      <c r="H11" s="0" t="s">
        <v>45</v>
      </c>
      <c r="J11" s="0" t="s">
        <v>45</v>
      </c>
      <c r="M11" s="0" t="s">
        <v>46</v>
      </c>
      <c r="N11" s="0" t="s">
        <v>47</v>
      </c>
      <c r="O11" s="0" t="s">
        <v>48</v>
      </c>
      <c r="P11" s="0" t="n">
        <v>1909</v>
      </c>
      <c r="Q11" s="0" t="s">
        <v>39</v>
      </c>
      <c r="R11" s="0" t="s">
        <v>49</v>
      </c>
      <c r="S11" s="0" t="s">
        <v>50</v>
      </c>
      <c r="T11" s="0" t="s">
        <v>61</v>
      </c>
      <c r="V11" s="0" t="n">
        <v>2</v>
      </c>
      <c r="W11" s="0" t="n">
        <v>1</v>
      </c>
      <c r="X11" s="0" t="str">
        <f aca="false">"31811010315011"</f>
        <v>31811010315011</v>
      </c>
      <c r="Y11" s="0" t="s">
        <v>39</v>
      </c>
      <c r="Z11" s="0" t="s">
        <v>42</v>
      </c>
      <c r="AA11" s="0" t="s">
        <v>43</v>
      </c>
      <c r="AE11" s="1" t="s">
        <v>52</v>
      </c>
    </row>
    <row r="12" customFormat="false" ht="12.8" hidden="false" customHeight="false" outlineLevel="0" collapsed="false">
      <c r="A12" s="0" t="n">
        <v>62073</v>
      </c>
      <c r="B12" s="0" t="n">
        <v>67433</v>
      </c>
      <c r="C12" s="0" t="n">
        <v>74420</v>
      </c>
      <c r="D12" s="0" t="s">
        <v>35</v>
      </c>
      <c r="E12" s="0" t="s">
        <v>35</v>
      </c>
      <c r="F12" s="0" t="s">
        <v>36</v>
      </c>
      <c r="G12" s="0" t="s">
        <v>37</v>
      </c>
      <c r="H12" s="0" t="s">
        <v>45</v>
      </c>
      <c r="J12" s="0" t="s">
        <v>45</v>
      </c>
      <c r="M12" s="0" t="s">
        <v>46</v>
      </c>
      <c r="N12" s="0" t="s">
        <v>47</v>
      </c>
      <c r="O12" s="0" t="s">
        <v>48</v>
      </c>
      <c r="P12" s="0" t="n">
        <v>1909</v>
      </c>
      <c r="Q12" s="0" t="s">
        <v>39</v>
      </c>
      <c r="R12" s="0" t="s">
        <v>49</v>
      </c>
      <c r="S12" s="0" t="s">
        <v>50</v>
      </c>
      <c r="T12" s="0" t="s">
        <v>62</v>
      </c>
      <c r="V12" s="0" t="n">
        <v>2</v>
      </c>
      <c r="W12" s="0" t="n">
        <v>1</v>
      </c>
      <c r="X12" s="0" t="str">
        <f aca="false">"31811010315052"</f>
        <v>31811010315052</v>
      </c>
      <c r="Y12" s="0" t="s">
        <v>39</v>
      </c>
      <c r="Z12" s="0" t="s">
        <v>42</v>
      </c>
      <c r="AA12" s="0" t="s">
        <v>43</v>
      </c>
      <c r="AE12" s="1" t="s">
        <v>52</v>
      </c>
    </row>
    <row r="13" customFormat="false" ht="12.8" hidden="false" customHeight="false" outlineLevel="0" collapsed="false">
      <c r="A13" s="0" t="n">
        <v>62073</v>
      </c>
      <c r="B13" s="0" t="n">
        <v>67433</v>
      </c>
      <c r="C13" s="0" t="n">
        <v>74422</v>
      </c>
      <c r="D13" s="0" t="s">
        <v>35</v>
      </c>
      <c r="E13" s="0" t="s">
        <v>35</v>
      </c>
      <c r="F13" s="0" t="s">
        <v>36</v>
      </c>
      <c r="G13" s="0" t="s">
        <v>37</v>
      </c>
      <c r="H13" s="0" t="s">
        <v>45</v>
      </c>
      <c r="J13" s="0" t="s">
        <v>45</v>
      </c>
      <c r="M13" s="0" t="s">
        <v>46</v>
      </c>
      <c r="N13" s="0" t="s">
        <v>47</v>
      </c>
      <c r="O13" s="0" t="s">
        <v>48</v>
      </c>
      <c r="P13" s="0" t="n">
        <v>1909</v>
      </c>
      <c r="Q13" s="0" t="s">
        <v>39</v>
      </c>
      <c r="R13" s="0" t="s">
        <v>49</v>
      </c>
      <c r="S13" s="0" t="s">
        <v>50</v>
      </c>
      <c r="T13" s="0" t="s">
        <v>63</v>
      </c>
      <c r="V13" s="0" t="n">
        <v>2</v>
      </c>
      <c r="W13" s="0" t="n">
        <v>1</v>
      </c>
      <c r="X13" s="0" t="str">
        <f aca="false">"31811010315136"</f>
        <v>31811010315136</v>
      </c>
      <c r="Y13" s="0" t="s">
        <v>39</v>
      </c>
      <c r="Z13" s="0" t="s">
        <v>42</v>
      </c>
      <c r="AA13" s="0" t="s">
        <v>43</v>
      </c>
      <c r="AE13" s="1" t="s">
        <v>52</v>
      </c>
    </row>
    <row r="14" customFormat="false" ht="12.8" hidden="false" customHeight="false" outlineLevel="0" collapsed="false">
      <c r="A14" s="0" t="n">
        <v>62073</v>
      </c>
      <c r="B14" s="0" t="n">
        <v>67433</v>
      </c>
      <c r="C14" s="0" t="n">
        <v>74423</v>
      </c>
      <c r="D14" s="0" t="s">
        <v>35</v>
      </c>
      <c r="E14" s="0" t="s">
        <v>35</v>
      </c>
      <c r="F14" s="0" t="s">
        <v>36</v>
      </c>
      <c r="G14" s="0" t="s">
        <v>37</v>
      </c>
      <c r="H14" s="0" t="s">
        <v>45</v>
      </c>
      <c r="J14" s="0" t="s">
        <v>45</v>
      </c>
      <c r="M14" s="0" t="s">
        <v>46</v>
      </c>
      <c r="N14" s="0" t="s">
        <v>47</v>
      </c>
      <c r="O14" s="0" t="s">
        <v>48</v>
      </c>
      <c r="P14" s="0" t="n">
        <v>1909</v>
      </c>
      <c r="Q14" s="0" t="s">
        <v>39</v>
      </c>
      <c r="R14" s="0" t="s">
        <v>49</v>
      </c>
      <c r="S14" s="0" t="s">
        <v>50</v>
      </c>
      <c r="T14" s="0" t="s">
        <v>64</v>
      </c>
      <c r="V14" s="0" t="n">
        <v>2</v>
      </c>
      <c r="W14" s="0" t="n">
        <v>1</v>
      </c>
      <c r="X14" s="0" t="str">
        <f aca="false">"31811010315177"</f>
        <v>31811010315177</v>
      </c>
      <c r="Y14" s="0" t="s">
        <v>39</v>
      </c>
      <c r="Z14" s="0" t="s">
        <v>42</v>
      </c>
      <c r="AA14" s="0" t="s">
        <v>43</v>
      </c>
      <c r="AE14" s="1" t="s">
        <v>52</v>
      </c>
    </row>
    <row r="15" customFormat="false" ht="12.8" hidden="false" customHeight="false" outlineLevel="0" collapsed="false">
      <c r="A15" s="0" t="n">
        <v>62073</v>
      </c>
      <c r="B15" s="0" t="n">
        <v>67433</v>
      </c>
      <c r="C15" s="0" t="n">
        <v>74424</v>
      </c>
      <c r="D15" s="0" t="s">
        <v>35</v>
      </c>
      <c r="E15" s="0" t="s">
        <v>35</v>
      </c>
      <c r="F15" s="0" t="s">
        <v>36</v>
      </c>
      <c r="G15" s="0" t="s">
        <v>37</v>
      </c>
      <c r="H15" s="0" t="s">
        <v>45</v>
      </c>
      <c r="J15" s="0" t="s">
        <v>45</v>
      </c>
      <c r="M15" s="0" t="s">
        <v>46</v>
      </c>
      <c r="N15" s="0" t="s">
        <v>47</v>
      </c>
      <c r="O15" s="0" t="s">
        <v>48</v>
      </c>
      <c r="P15" s="0" t="n">
        <v>1909</v>
      </c>
      <c r="Q15" s="0" t="s">
        <v>39</v>
      </c>
      <c r="R15" s="0" t="s">
        <v>49</v>
      </c>
      <c r="S15" s="0" t="s">
        <v>50</v>
      </c>
      <c r="T15" s="0" t="s">
        <v>65</v>
      </c>
      <c r="V15" s="0" t="n">
        <v>2</v>
      </c>
      <c r="W15" s="0" t="n">
        <v>1</v>
      </c>
      <c r="X15" s="0" t="str">
        <f aca="false">"31811010859976"</f>
        <v>31811010859976</v>
      </c>
      <c r="Y15" s="0" t="s">
        <v>39</v>
      </c>
      <c r="Z15" s="0" t="s">
        <v>42</v>
      </c>
      <c r="AA15" s="0" t="s">
        <v>43</v>
      </c>
      <c r="AE15" s="1" t="s">
        <v>52</v>
      </c>
    </row>
    <row r="16" customFormat="false" ht="12.8" hidden="false" customHeight="false" outlineLevel="0" collapsed="false">
      <c r="A16" s="0" t="n">
        <v>62073</v>
      </c>
      <c r="B16" s="0" t="n">
        <v>67433</v>
      </c>
      <c r="C16" s="0" t="n">
        <v>74425</v>
      </c>
      <c r="D16" s="0" t="s">
        <v>35</v>
      </c>
      <c r="E16" s="0" t="s">
        <v>35</v>
      </c>
      <c r="F16" s="0" t="s">
        <v>36</v>
      </c>
      <c r="G16" s="0" t="s">
        <v>37</v>
      </c>
      <c r="H16" s="0" t="s">
        <v>45</v>
      </c>
      <c r="J16" s="0" t="s">
        <v>45</v>
      </c>
      <c r="M16" s="0" t="s">
        <v>46</v>
      </c>
      <c r="N16" s="0" t="s">
        <v>47</v>
      </c>
      <c r="O16" s="0" t="s">
        <v>48</v>
      </c>
      <c r="P16" s="0" t="n">
        <v>1909</v>
      </c>
      <c r="Q16" s="0" t="s">
        <v>39</v>
      </c>
      <c r="R16" s="0" t="s">
        <v>49</v>
      </c>
      <c r="S16" s="0" t="s">
        <v>50</v>
      </c>
      <c r="T16" s="0" t="s">
        <v>66</v>
      </c>
      <c r="V16" s="0" t="n">
        <v>2</v>
      </c>
      <c r="W16" s="0" t="n">
        <v>1</v>
      </c>
      <c r="X16" s="0" t="str">
        <f aca="false">"31811010314907"</f>
        <v>31811010314907</v>
      </c>
      <c r="Y16" s="0" t="s">
        <v>39</v>
      </c>
      <c r="Z16" s="0" t="s">
        <v>42</v>
      </c>
      <c r="AA16" s="0" t="s">
        <v>43</v>
      </c>
      <c r="AE16" s="1" t="s">
        <v>52</v>
      </c>
    </row>
    <row r="17" customFormat="false" ht="12.8" hidden="false" customHeight="false" outlineLevel="0" collapsed="false">
      <c r="A17" s="0" t="n">
        <v>62073</v>
      </c>
      <c r="B17" s="0" t="n">
        <v>67433</v>
      </c>
      <c r="C17" s="0" t="n">
        <v>74426</v>
      </c>
      <c r="D17" s="0" t="s">
        <v>35</v>
      </c>
      <c r="E17" s="0" t="s">
        <v>35</v>
      </c>
      <c r="F17" s="0" t="s">
        <v>36</v>
      </c>
      <c r="G17" s="0" t="s">
        <v>37</v>
      </c>
      <c r="H17" s="0" t="s">
        <v>45</v>
      </c>
      <c r="J17" s="0" t="s">
        <v>45</v>
      </c>
      <c r="M17" s="0" t="s">
        <v>46</v>
      </c>
      <c r="N17" s="0" t="s">
        <v>47</v>
      </c>
      <c r="O17" s="0" t="s">
        <v>48</v>
      </c>
      <c r="P17" s="0" t="n">
        <v>1909</v>
      </c>
      <c r="Q17" s="0" t="s">
        <v>39</v>
      </c>
      <c r="R17" s="0" t="s">
        <v>49</v>
      </c>
      <c r="S17" s="0" t="s">
        <v>50</v>
      </c>
      <c r="T17" s="0" t="s">
        <v>67</v>
      </c>
      <c r="V17" s="0" t="n">
        <v>2</v>
      </c>
      <c r="W17" s="0" t="n">
        <v>1</v>
      </c>
      <c r="X17" s="0" t="str">
        <f aca="false">"31811010314949"</f>
        <v>31811010314949</v>
      </c>
      <c r="Y17" s="0" t="s">
        <v>39</v>
      </c>
      <c r="Z17" s="0" t="s">
        <v>42</v>
      </c>
      <c r="AA17" s="0" t="s">
        <v>43</v>
      </c>
      <c r="AE17" s="1" t="s">
        <v>52</v>
      </c>
    </row>
    <row r="18" customFormat="false" ht="12.8" hidden="false" customHeight="false" outlineLevel="0" collapsed="false">
      <c r="A18" s="0" t="n">
        <v>62073</v>
      </c>
      <c r="B18" s="0" t="n">
        <v>67433</v>
      </c>
      <c r="C18" s="0" t="n">
        <v>74427</v>
      </c>
      <c r="D18" s="0" t="s">
        <v>35</v>
      </c>
      <c r="E18" s="0" t="s">
        <v>35</v>
      </c>
      <c r="F18" s="0" t="s">
        <v>36</v>
      </c>
      <c r="G18" s="0" t="s">
        <v>37</v>
      </c>
      <c r="H18" s="0" t="s">
        <v>45</v>
      </c>
      <c r="J18" s="0" t="s">
        <v>45</v>
      </c>
      <c r="M18" s="0" t="s">
        <v>46</v>
      </c>
      <c r="N18" s="0" t="s">
        <v>47</v>
      </c>
      <c r="O18" s="0" t="s">
        <v>48</v>
      </c>
      <c r="P18" s="0" t="n">
        <v>1909</v>
      </c>
      <c r="Q18" s="0" t="s">
        <v>39</v>
      </c>
      <c r="R18" s="0" t="s">
        <v>49</v>
      </c>
      <c r="S18" s="0" t="s">
        <v>50</v>
      </c>
      <c r="T18" s="0" t="s">
        <v>68</v>
      </c>
      <c r="V18" s="0" t="n">
        <v>2</v>
      </c>
      <c r="W18" s="0" t="n">
        <v>1</v>
      </c>
      <c r="X18" s="0" t="str">
        <f aca="false">"31811010314980"</f>
        <v>31811010314980</v>
      </c>
      <c r="Y18" s="0" t="s">
        <v>39</v>
      </c>
      <c r="Z18" s="0" t="s">
        <v>42</v>
      </c>
      <c r="AA18" s="0" t="s">
        <v>43</v>
      </c>
      <c r="AE18" s="1" t="s">
        <v>52</v>
      </c>
    </row>
    <row r="19" customFormat="false" ht="12.8" hidden="false" customHeight="false" outlineLevel="0" collapsed="false">
      <c r="A19" s="0" t="n">
        <v>62073</v>
      </c>
      <c r="B19" s="0" t="n">
        <v>67433</v>
      </c>
      <c r="C19" s="0" t="n">
        <v>74428</v>
      </c>
      <c r="D19" s="0" t="s">
        <v>35</v>
      </c>
      <c r="E19" s="0" t="s">
        <v>35</v>
      </c>
      <c r="F19" s="0" t="s">
        <v>36</v>
      </c>
      <c r="G19" s="0" t="s">
        <v>37</v>
      </c>
      <c r="H19" s="0" t="s">
        <v>45</v>
      </c>
      <c r="J19" s="0" t="s">
        <v>45</v>
      </c>
      <c r="M19" s="0" t="s">
        <v>46</v>
      </c>
      <c r="N19" s="0" t="s">
        <v>47</v>
      </c>
      <c r="O19" s="0" t="s">
        <v>48</v>
      </c>
      <c r="P19" s="0" t="n">
        <v>1909</v>
      </c>
      <c r="Q19" s="0" t="s">
        <v>39</v>
      </c>
      <c r="R19" s="0" t="s">
        <v>49</v>
      </c>
      <c r="S19" s="0" t="s">
        <v>50</v>
      </c>
      <c r="T19" s="0" t="s">
        <v>69</v>
      </c>
      <c r="V19" s="0" t="n">
        <v>2</v>
      </c>
      <c r="W19" s="0" t="n">
        <v>1</v>
      </c>
      <c r="X19" s="0" t="str">
        <f aca="false">"31811010315029"</f>
        <v>31811010315029</v>
      </c>
      <c r="Y19" s="0" t="s">
        <v>39</v>
      </c>
      <c r="Z19" s="0" t="s">
        <v>42</v>
      </c>
      <c r="AA19" s="0" t="s">
        <v>43</v>
      </c>
      <c r="AE19" s="1" t="s">
        <v>52</v>
      </c>
    </row>
    <row r="20" customFormat="false" ht="12.8" hidden="false" customHeight="false" outlineLevel="0" collapsed="false">
      <c r="A20" s="0" t="n">
        <v>62073</v>
      </c>
      <c r="B20" s="0" t="n">
        <v>67433</v>
      </c>
      <c r="C20" s="0" t="n">
        <v>74430</v>
      </c>
      <c r="D20" s="0" t="s">
        <v>35</v>
      </c>
      <c r="E20" s="0" t="s">
        <v>35</v>
      </c>
      <c r="F20" s="0" t="s">
        <v>36</v>
      </c>
      <c r="G20" s="0" t="s">
        <v>37</v>
      </c>
      <c r="H20" s="0" t="s">
        <v>45</v>
      </c>
      <c r="J20" s="0" t="s">
        <v>45</v>
      </c>
      <c r="M20" s="0" t="s">
        <v>46</v>
      </c>
      <c r="N20" s="0" t="s">
        <v>47</v>
      </c>
      <c r="O20" s="0" t="s">
        <v>48</v>
      </c>
      <c r="P20" s="0" t="n">
        <v>1909</v>
      </c>
      <c r="Q20" s="0" t="s">
        <v>39</v>
      </c>
      <c r="R20" s="0" t="s">
        <v>49</v>
      </c>
      <c r="S20" s="0" t="s">
        <v>50</v>
      </c>
      <c r="T20" s="0" t="s">
        <v>70</v>
      </c>
      <c r="V20" s="0" t="n">
        <v>2</v>
      </c>
      <c r="W20" s="0" t="n">
        <v>1</v>
      </c>
      <c r="X20" s="0" t="str">
        <f aca="false">"31811010315060"</f>
        <v>31811010315060</v>
      </c>
      <c r="Y20" s="0" t="s">
        <v>39</v>
      </c>
      <c r="Z20" s="0" t="s">
        <v>42</v>
      </c>
      <c r="AA20" s="0" t="s">
        <v>43</v>
      </c>
      <c r="AE20" s="1" t="s">
        <v>52</v>
      </c>
    </row>
    <row r="21" customFormat="false" ht="12.8" hidden="false" customHeight="false" outlineLevel="0" collapsed="false">
      <c r="A21" s="0" t="n">
        <v>62073</v>
      </c>
      <c r="B21" s="0" t="n">
        <v>67433</v>
      </c>
      <c r="C21" s="0" t="n">
        <v>74431</v>
      </c>
      <c r="D21" s="0" t="s">
        <v>35</v>
      </c>
      <c r="E21" s="0" t="s">
        <v>35</v>
      </c>
      <c r="F21" s="0" t="s">
        <v>36</v>
      </c>
      <c r="G21" s="0" t="s">
        <v>37</v>
      </c>
      <c r="H21" s="0" t="s">
        <v>45</v>
      </c>
      <c r="J21" s="0" t="s">
        <v>45</v>
      </c>
      <c r="M21" s="0" t="s">
        <v>46</v>
      </c>
      <c r="N21" s="0" t="s">
        <v>47</v>
      </c>
      <c r="O21" s="0" t="s">
        <v>48</v>
      </c>
      <c r="P21" s="0" t="n">
        <v>1909</v>
      </c>
      <c r="Q21" s="0" t="s">
        <v>39</v>
      </c>
      <c r="R21" s="0" t="s">
        <v>49</v>
      </c>
      <c r="S21" s="0" t="s">
        <v>50</v>
      </c>
      <c r="T21" s="0" t="s">
        <v>71</v>
      </c>
      <c r="V21" s="0" t="n">
        <v>2</v>
      </c>
      <c r="W21" s="0" t="n">
        <v>1</v>
      </c>
      <c r="X21" s="0" t="str">
        <f aca="false">"31811010315102"</f>
        <v>31811010315102</v>
      </c>
      <c r="Y21" s="0" t="s">
        <v>39</v>
      </c>
      <c r="Z21" s="0" t="s">
        <v>42</v>
      </c>
      <c r="AA21" s="0" t="s">
        <v>43</v>
      </c>
      <c r="AE21" s="1" t="s">
        <v>52</v>
      </c>
    </row>
    <row r="22" customFormat="false" ht="12.8" hidden="false" customHeight="false" outlineLevel="0" collapsed="false">
      <c r="A22" s="0" t="n">
        <v>62073</v>
      </c>
      <c r="B22" s="0" t="n">
        <v>67433</v>
      </c>
      <c r="C22" s="0" t="n">
        <v>74432</v>
      </c>
      <c r="D22" s="0" t="s">
        <v>35</v>
      </c>
      <c r="E22" s="0" t="s">
        <v>35</v>
      </c>
      <c r="F22" s="0" t="s">
        <v>36</v>
      </c>
      <c r="G22" s="0" t="s">
        <v>37</v>
      </c>
      <c r="H22" s="0" t="s">
        <v>45</v>
      </c>
      <c r="J22" s="0" t="s">
        <v>45</v>
      </c>
      <c r="M22" s="0" t="s">
        <v>46</v>
      </c>
      <c r="N22" s="0" t="s">
        <v>47</v>
      </c>
      <c r="O22" s="0" t="s">
        <v>48</v>
      </c>
      <c r="P22" s="0" t="n">
        <v>1909</v>
      </c>
      <c r="Q22" s="0" t="s">
        <v>39</v>
      </c>
      <c r="R22" s="0" t="s">
        <v>49</v>
      </c>
      <c r="S22" s="0" t="s">
        <v>50</v>
      </c>
      <c r="T22" s="0" t="s">
        <v>72</v>
      </c>
      <c r="V22" s="0" t="n">
        <v>2</v>
      </c>
      <c r="W22" s="0" t="n">
        <v>1</v>
      </c>
      <c r="X22" s="0" t="str">
        <f aca="false">"31811010315144"</f>
        <v>31811010315144</v>
      </c>
      <c r="Y22" s="0" t="s">
        <v>39</v>
      </c>
      <c r="Z22" s="0" t="s">
        <v>42</v>
      </c>
      <c r="AA22" s="0" t="s">
        <v>43</v>
      </c>
      <c r="AE22" s="1" t="s">
        <v>52</v>
      </c>
    </row>
    <row r="23" customFormat="false" ht="12.8" hidden="false" customHeight="false" outlineLevel="0" collapsed="false">
      <c r="A23" s="0" t="n">
        <v>62073</v>
      </c>
      <c r="B23" s="0" t="n">
        <v>67433</v>
      </c>
      <c r="C23" s="0" t="n">
        <v>74433</v>
      </c>
      <c r="D23" s="0" t="s">
        <v>35</v>
      </c>
      <c r="E23" s="0" t="s">
        <v>35</v>
      </c>
      <c r="F23" s="0" t="s">
        <v>36</v>
      </c>
      <c r="G23" s="0" t="s">
        <v>37</v>
      </c>
      <c r="H23" s="0" t="s">
        <v>45</v>
      </c>
      <c r="J23" s="0" t="s">
        <v>45</v>
      </c>
      <c r="M23" s="0" t="s">
        <v>46</v>
      </c>
      <c r="N23" s="0" t="s">
        <v>47</v>
      </c>
      <c r="O23" s="0" t="s">
        <v>48</v>
      </c>
      <c r="P23" s="0" t="n">
        <v>1909</v>
      </c>
      <c r="Q23" s="0" t="s">
        <v>39</v>
      </c>
      <c r="R23" s="0" t="s">
        <v>49</v>
      </c>
      <c r="S23" s="0" t="s">
        <v>50</v>
      </c>
      <c r="T23" s="0" t="s">
        <v>73</v>
      </c>
      <c r="V23" s="0" t="n">
        <v>2</v>
      </c>
      <c r="W23" s="0" t="n">
        <v>1</v>
      </c>
      <c r="X23" s="0" t="str">
        <f aca="false">"31811010315185"</f>
        <v>31811010315185</v>
      </c>
      <c r="Y23" s="0" t="s">
        <v>39</v>
      </c>
      <c r="Z23" s="0" t="s">
        <v>42</v>
      </c>
      <c r="AA23" s="0" t="s">
        <v>43</v>
      </c>
      <c r="AE23" s="1" t="s">
        <v>52</v>
      </c>
    </row>
    <row r="24" customFormat="false" ht="12.8" hidden="false" customHeight="false" outlineLevel="0" collapsed="false">
      <c r="A24" s="0" t="n">
        <v>62073</v>
      </c>
      <c r="B24" s="0" t="n">
        <v>67433</v>
      </c>
      <c r="C24" s="0" t="n">
        <v>74434</v>
      </c>
      <c r="D24" s="0" t="s">
        <v>35</v>
      </c>
      <c r="E24" s="0" t="s">
        <v>35</v>
      </c>
      <c r="F24" s="0" t="s">
        <v>36</v>
      </c>
      <c r="G24" s="0" t="s">
        <v>37</v>
      </c>
      <c r="H24" s="0" t="s">
        <v>45</v>
      </c>
      <c r="J24" s="0" t="s">
        <v>45</v>
      </c>
      <c r="M24" s="0" t="s">
        <v>46</v>
      </c>
      <c r="N24" s="0" t="s">
        <v>47</v>
      </c>
      <c r="O24" s="0" t="s">
        <v>48</v>
      </c>
      <c r="P24" s="0" t="n">
        <v>1909</v>
      </c>
      <c r="Q24" s="0" t="s">
        <v>39</v>
      </c>
      <c r="R24" s="0" t="s">
        <v>49</v>
      </c>
      <c r="S24" s="0" t="s">
        <v>50</v>
      </c>
      <c r="T24" s="0" t="s">
        <v>74</v>
      </c>
      <c r="V24" s="0" t="n">
        <v>2</v>
      </c>
      <c r="W24" s="0" t="n">
        <v>1</v>
      </c>
      <c r="X24" s="0" t="str">
        <f aca="false">"31811010314915"</f>
        <v>31811010314915</v>
      </c>
      <c r="Y24" s="0" t="s">
        <v>39</v>
      </c>
      <c r="Z24" s="0" t="s">
        <v>42</v>
      </c>
      <c r="AA24" s="0" t="s">
        <v>43</v>
      </c>
      <c r="AE24" s="1" t="s">
        <v>52</v>
      </c>
    </row>
    <row r="25" customFormat="false" ht="12.8" hidden="false" customHeight="false" outlineLevel="0" collapsed="false">
      <c r="A25" s="0" t="n">
        <v>62073</v>
      </c>
      <c r="B25" s="0" t="n">
        <v>67433</v>
      </c>
      <c r="C25" s="0" t="n">
        <v>74435</v>
      </c>
      <c r="D25" s="0" t="s">
        <v>35</v>
      </c>
      <c r="E25" s="0" t="s">
        <v>35</v>
      </c>
      <c r="F25" s="0" t="s">
        <v>36</v>
      </c>
      <c r="G25" s="0" t="s">
        <v>37</v>
      </c>
      <c r="H25" s="0" t="s">
        <v>45</v>
      </c>
      <c r="J25" s="0" t="s">
        <v>45</v>
      </c>
      <c r="M25" s="0" t="s">
        <v>46</v>
      </c>
      <c r="N25" s="0" t="s">
        <v>47</v>
      </c>
      <c r="O25" s="0" t="s">
        <v>48</v>
      </c>
      <c r="P25" s="0" t="n">
        <v>1909</v>
      </c>
      <c r="Q25" s="0" t="s">
        <v>39</v>
      </c>
      <c r="R25" s="0" t="s">
        <v>49</v>
      </c>
      <c r="S25" s="0" t="s">
        <v>50</v>
      </c>
      <c r="T25" s="0" t="s">
        <v>75</v>
      </c>
      <c r="V25" s="0" t="n">
        <v>2</v>
      </c>
      <c r="W25" s="0" t="n">
        <v>1</v>
      </c>
      <c r="X25" s="0" t="str">
        <f aca="false">"31811010314956"</f>
        <v>31811010314956</v>
      </c>
      <c r="Y25" s="0" t="s">
        <v>39</v>
      </c>
      <c r="Z25" s="0" t="s">
        <v>42</v>
      </c>
      <c r="AA25" s="0" t="s">
        <v>43</v>
      </c>
      <c r="AE25" s="1" t="s">
        <v>52</v>
      </c>
    </row>
    <row r="26" customFormat="false" ht="12.8" hidden="false" customHeight="false" outlineLevel="0" collapsed="false">
      <c r="A26" s="0" t="n">
        <v>62073</v>
      </c>
      <c r="B26" s="0" t="n">
        <v>67433</v>
      </c>
      <c r="C26" s="0" t="n">
        <v>74436</v>
      </c>
      <c r="D26" s="0" t="s">
        <v>35</v>
      </c>
      <c r="E26" s="0" t="s">
        <v>35</v>
      </c>
      <c r="F26" s="0" t="s">
        <v>36</v>
      </c>
      <c r="G26" s="0" t="s">
        <v>37</v>
      </c>
      <c r="H26" s="0" t="s">
        <v>45</v>
      </c>
      <c r="J26" s="0" t="s">
        <v>45</v>
      </c>
      <c r="M26" s="0" t="s">
        <v>46</v>
      </c>
      <c r="N26" s="0" t="s">
        <v>47</v>
      </c>
      <c r="O26" s="0" t="s">
        <v>48</v>
      </c>
      <c r="P26" s="0" t="n">
        <v>1909</v>
      </c>
      <c r="Q26" s="0" t="s">
        <v>39</v>
      </c>
      <c r="R26" s="0" t="s">
        <v>49</v>
      </c>
      <c r="S26" s="0" t="s">
        <v>50</v>
      </c>
      <c r="T26" s="0" t="s">
        <v>76</v>
      </c>
      <c r="V26" s="0" t="n">
        <v>2</v>
      </c>
      <c r="W26" s="0" t="n">
        <v>1</v>
      </c>
      <c r="X26" s="0" t="str">
        <f aca="false">"31811010314998"</f>
        <v>31811010314998</v>
      </c>
      <c r="Y26" s="0" t="s">
        <v>39</v>
      </c>
      <c r="Z26" s="0" t="s">
        <v>42</v>
      </c>
      <c r="AA26" s="0" t="s">
        <v>43</v>
      </c>
      <c r="AE26" s="1" t="s">
        <v>52</v>
      </c>
    </row>
    <row r="27" customFormat="false" ht="12.8" hidden="false" customHeight="false" outlineLevel="0" collapsed="false">
      <c r="A27" s="0" t="n">
        <v>62073</v>
      </c>
      <c r="B27" s="0" t="n">
        <v>67433</v>
      </c>
      <c r="C27" s="0" t="n">
        <v>74437</v>
      </c>
      <c r="D27" s="0" t="s">
        <v>35</v>
      </c>
      <c r="E27" s="0" t="s">
        <v>35</v>
      </c>
      <c r="F27" s="0" t="s">
        <v>36</v>
      </c>
      <c r="G27" s="0" t="s">
        <v>37</v>
      </c>
      <c r="H27" s="0" t="s">
        <v>45</v>
      </c>
      <c r="J27" s="0" t="s">
        <v>45</v>
      </c>
      <c r="M27" s="0" t="s">
        <v>46</v>
      </c>
      <c r="N27" s="0" t="s">
        <v>47</v>
      </c>
      <c r="O27" s="0" t="s">
        <v>48</v>
      </c>
      <c r="P27" s="0" t="n">
        <v>1909</v>
      </c>
      <c r="Q27" s="0" t="s">
        <v>39</v>
      </c>
      <c r="R27" s="0" t="s">
        <v>49</v>
      </c>
      <c r="S27" s="0" t="s">
        <v>50</v>
      </c>
      <c r="T27" s="0" t="s">
        <v>77</v>
      </c>
      <c r="V27" s="0" t="n">
        <v>2</v>
      </c>
      <c r="W27" s="0" t="n">
        <v>1</v>
      </c>
      <c r="X27" s="0" t="str">
        <f aca="false">"31811010315037"</f>
        <v>31811010315037</v>
      </c>
      <c r="Y27" s="0" t="s">
        <v>39</v>
      </c>
      <c r="Z27" s="0" t="s">
        <v>42</v>
      </c>
      <c r="AA27" s="0" t="s">
        <v>43</v>
      </c>
      <c r="AE27" s="1" t="s">
        <v>52</v>
      </c>
    </row>
    <row r="28" customFormat="false" ht="12.8" hidden="false" customHeight="false" outlineLevel="0" collapsed="false">
      <c r="A28" s="0" t="n">
        <v>62073</v>
      </c>
      <c r="B28" s="0" t="n">
        <v>67433</v>
      </c>
      <c r="C28" s="0" t="n">
        <v>74438</v>
      </c>
      <c r="D28" s="0" t="s">
        <v>35</v>
      </c>
      <c r="E28" s="0" t="s">
        <v>35</v>
      </c>
      <c r="F28" s="0" t="s">
        <v>36</v>
      </c>
      <c r="G28" s="0" t="s">
        <v>37</v>
      </c>
      <c r="H28" s="0" t="s">
        <v>45</v>
      </c>
      <c r="J28" s="0" t="s">
        <v>45</v>
      </c>
      <c r="M28" s="0" t="s">
        <v>46</v>
      </c>
      <c r="N28" s="0" t="s">
        <v>47</v>
      </c>
      <c r="O28" s="0" t="s">
        <v>48</v>
      </c>
      <c r="P28" s="0" t="n">
        <v>1909</v>
      </c>
      <c r="Q28" s="0" t="s">
        <v>39</v>
      </c>
      <c r="R28" s="0" t="s">
        <v>49</v>
      </c>
      <c r="S28" s="0" t="s">
        <v>50</v>
      </c>
      <c r="T28" s="0" t="s">
        <v>78</v>
      </c>
      <c r="V28" s="0" t="n">
        <v>2</v>
      </c>
      <c r="W28" s="0" t="n">
        <v>1</v>
      </c>
      <c r="X28" s="0" t="str">
        <f aca="false">"31811010315078"</f>
        <v>31811010315078</v>
      </c>
      <c r="Y28" s="0" t="s">
        <v>39</v>
      </c>
      <c r="Z28" s="0" t="s">
        <v>42</v>
      </c>
      <c r="AA28" s="0" t="s">
        <v>43</v>
      </c>
      <c r="AE28" s="1" t="s">
        <v>52</v>
      </c>
    </row>
    <row r="29" customFormat="false" ht="12.8" hidden="false" customHeight="false" outlineLevel="0" collapsed="false">
      <c r="A29" s="0" t="n">
        <v>62073</v>
      </c>
      <c r="B29" s="0" t="n">
        <v>67433</v>
      </c>
      <c r="C29" s="0" t="n">
        <v>74439</v>
      </c>
      <c r="D29" s="0" t="s">
        <v>35</v>
      </c>
      <c r="E29" s="0" t="s">
        <v>35</v>
      </c>
      <c r="F29" s="0" t="s">
        <v>36</v>
      </c>
      <c r="G29" s="0" t="s">
        <v>37</v>
      </c>
      <c r="H29" s="0" t="s">
        <v>45</v>
      </c>
      <c r="J29" s="0" t="s">
        <v>45</v>
      </c>
      <c r="M29" s="0" t="s">
        <v>46</v>
      </c>
      <c r="N29" s="0" t="s">
        <v>47</v>
      </c>
      <c r="O29" s="0" t="s">
        <v>48</v>
      </c>
      <c r="P29" s="0" t="n">
        <v>1909</v>
      </c>
      <c r="Q29" s="0" t="s">
        <v>39</v>
      </c>
      <c r="R29" s="0" t="s">
        <v>49</v>
      </c>
      <c r="S29" s="0" t="s">
        <v>50</v>
      </c>
      <c r="T29" s="0" t="s">
        <v>79</v>
      </c>
      <c r="V29" s="0" t="n">
        <v>2</v>
      </c>
      <c r="W29" s="0" t="n">
        <v>1</v>
      </c>
      <c r="X29" s="0" t="str">
        <f aca="false">"31811010315110"</f>
        <v>31811010315110</v>
      </c>
      <c r="Y29" s="0" t="s">
        <v>39</v>
      </c>
      <c r="Z29" s="0" t="s">
        <v>42</v>
      </c>
      <c r="AA29" s="0" t="s">
        <v>43</v>
      </c>
      <c r="AE29" s="1" t="s">
        <v>52</v>
      </c>
    </row>
    <row r="30" customFormat="false" ht="12.8" hidden="false" customHeight="false" outlineLevel="0" collapsed="false">
      <c r="A30" s="0" t="n">
        <v>62073</v>
      </c>
      <c r="B30" s="0" t="n">
        <v>67433</v>
      </c>
      <c r="C30" s="0" t="n">
        <v>74440</v>
      </c>
      <c r="D30" s="0" t="s">
        <v>35</v>
      </c>
      <c r="E30" s="0" t="s">
        <v>35</v>
      </c>
      <c r="F30" s="0" t="s">
        <v>36</v>
      </c>
      <c r="G30" s="0" t="s">
        <v>37</v>
      </c>
      <c r="H30" s="0" t="s">
        <v>45</v>
      </c>
      <c r="J30" s="0" t="s">
        <v>45</v>
      </c>
      <c r="M30" s="0" t="s">
        <v>46</v>
      </c>
      <c r="N30" s="0" t="s">
        <v>47</v>
      </c>
      <c r="O30" s="0" t="s">
        <v>48</v>
      </c>
      <c r="P30" s="0" t="n">
        <v>1909</v>
      </c>
      <c r="Q30" s="0" t="s">
        <v>39</v>
      </c>
      <c r="R30" s="0" t="s">
        <v>49</v>
      </c>
      <c r="S30" s="0" t="s">
        <v>50</v>
      </c>
      <c r="T30" s="0" t="s">
        <v>80</v>
      </c>
      <c r="V30" s="0" t="n">
        <v>2</v>
      </c>
      <c r="W30" s="0" t="n">
        <v>1</v>
      </c>
      <c r="X30" s="0" t="str">
        <f aca="false">"31811010315151"</f>
        <v>31811010315151</v>
      </c>
      <c r="Y30" s="0" t="s">
        <v>39</v>
      </c>
      <c r="Z30" s="0" t="s">
        <v>42</v>
      </c>
      <c r="AA30" s="0" t="s">
        <v>43</v>
      </c>
      <c r="AE30" s="1" t="s">
        <v>52</v>
      </c>
    </row>
    <row r="31" customFormat="false" ht="12.8" hidden="false" customHeight="false" outlineLevel="0" collapsed="false">
      <c r="A31" s="0" t="n">
        <v>62073</v>
      </c>
      <c r="B31" s="0" t="n">
        <v>67433</v>
      </c>
      <c r="C31" s="0" t="n">
        <v>74442</v>
      </c>
      <c r="D31" s="0" t="s">
        <v>35</v>
      </c>
      <c r="E31" s="0" t="s">
        <v>35</v>
      </c>
      <c r="F31" s="0" t="s">
        <v>36</v>
      </c>
      <c r="G31" s="0" t="s">
        <v>37</v>
      </c>
      <c r="H31" s="0" t="s">
        <v>45</v>
      </c>
      <c r="J31" s="0" t="s">
        <v>45</v>
      </c>
      <c r="M31" s="0" t="s">
        <v>46</v>
      </c>
      <c r="N31" s="0" t="s">
        <v>47</v>
      </c>
      <c r="O31" s="0" t="s">
        <v>48</v>
      </c>
      <c r="P31" s="0" t="n">
        <v>1909</v>
      </c>
      <c r="Q31" s="0" t="s">
        <v>39</v>
      </c>
      <c r="R31" s="0" t="s">
        <v>49</v>
      </c>
      <c r="S31" s="0" t="s">
        <v>50</v>
      </c>
      <c r="T31" s="0" t="s">
        <v>81</v>
      </c>
      <c r="V31" s="0" t="n">
        <v>2</v>
      </c>
      <c r="W31" s="0" t="n">
        <v>1</v>
      </c>
      <c r="X31" s="0" t="str">
        <f aca="false">"31811010314923"</f>
        <v>31811010314923</v>
      </c>
      <c r="Y31" s="0" t="s">
        <v>39</v>
      </c>
      <c r="Z31" s="0" t="s">
        <v>42</v>
      </c>
      <c r="AA31" s="0" t="s">
        <v>43</v>
      </c>
      <c r="AE31" s="1" t="s">
        <v>52</v>
      </c>
    </row>
    <row r="32" customFormat="false" ht="12.8" hidden="false" customHeight="false" outlineLevel="0" collapsed="false">
      <c r="A32" s="0" t="n">
        <v>62073</v>
      </c>
      <c r="B32" s="0" t="n">
        <v>67433</v>
      </c>
      <c r="C32" s="0" t="n">
        <v>74443</v>
      </c>
      <c r="D32" s="0" t="s">
        <v>35</v>
      </c>
      <c r="E32" s="0" t="s">
        <v>35</v>
      </c>
      <c r="F32" s="0" t="s">
        <v>36</v>
      </c>
      <c r="G32" s="0" t="s">
        <v>37</v>
      </c>
      <c r="H32" s="0" t="s">
        <v>45</v>
      </c>
      <c r="J32" s="0" t="s">
        <v>45</v>
      </c>
      <c r="M32" s="0" t="s">
        <v>46</v>
      </c>
      <c r="N32" s="0" t="s">
        <v>47</v>
      </c>
      <c r="O32" s="0" t="s">
        <v>48</v>
      </c>
      <c r="P32" s="0" t="n">
        <v>1909</v>
      </c>
      <c r="Q32" s="0" t="s">
        <v>39</v>
      </c>
      <c r="R32" s="0" t="s">
        <v>49</v>
      </c>
      <c r="S32" s="0" t="s">
        <v>50</v>
      </c>
      <c r="T32" s="0" t="s">
        <v>82</v>
      </c>
      <c r="V32" s="0" t="n">
        <v>2</v>
      </c>
      <c r="W32" s="0" t="n">
        <v>1</v>
      </c>
      <c r="X32" s="0" t="str">
        <f aca="false">"31811010314964"</f>
        <v>31811010314964</v>
      </c>
      <c r="Y32" s="0" t="s">
        <v>39</v>
      </c>
      <c r="Z32" s="0" t="s">
        <v>42</v>
      </c>
      <c r="AA32" s="0" t="s">
        <v>43</v>
      </c>
      <c r="AE32" s="1" t="s">
        <v>52</v>
      </c>
    </row>
    <row r="33" customFormat="false" ht="12.8" hidden="false" customHeight="false" outlineLevel="0" collapsed="false">
      <c r="A33" s="0" t="n">
        <v>62073</v>
      </c>
      <c r="B33" s="0" t="n">
        <v>67433</v>
      </c>
      <c r="C33" s="0" t="n">
        <v>74444</v>
      </c>
      <c r="D33" s="0" t="s">
        <v>35</v>
      </c>
      <c r="E33" s="0" t="s">
        <v>35</v>
      </c>
      <c r="F33" s="0" t="s">
        <v>36</v>
      </c>
      <c r="G33" s="0" t="s">
        <v>37</v>
      </c>
      <c r="H33" s="0" t="s">
        <v>45</v>
      </c>
      <c r="J33" s="0" t="s">
        <v>45</v>
      </c>
      <c r="M33" s="0" t="s">
        <v>46</v>
      </c>
      <c r="N33" s="0" t="s">
        <v>47</v>
      </c>
      <c r="O33" s="0" t="s">
        <v>48</v>
      </c>
      <c r="P33" s="0" t="n">
        <v>1909</v>
      </c>
      <c r="Q33" s="0" t="s">
        <v>39</v>
      </c>
      <c r="R33" s="0" t="s">
        <v>49</v>
      </c>
      <c r="S33" s="0" t="s">
        <v>50</v>
      </c>
      <c r="T33" s="0" t="s">
        <v>83</v>
      </c>
      <c r="V33" s="0" t="n">
        <v>2</v>
      </c>
      <c r="W33" s="0" t="n">
        <v>1</v>
      </c>
      <c r="X33" s="0" t="str">
        <f aca="false">"31811010315003"</f>
        <v>31811010315003</v>
      </c>
      <c r="Y33" s="0" t="s">
        <v>39</v>
      </c>
      <c r="Z33" s="0" t="s">
        <v>42</v>
      </c>
      <c r="AA33" s="0" t="s">
        <v>43</v>
      </c>
      <c r="AE33" s="1" t="s">
        <v>52</v>
      </c>
    </row>
    <row r="34" customFormat="false" ht="12.8" hidden="false" customHeight="false" outlineLevel="0" collapsed="false">
      <c r="A34" s="0" t="n">
        <v>62073</v>
      </c>
      <c r="B34" s="0" t="n">
        <v>67433</v>
      </c>
      <c r="C34" s="0" t="n">
        <v>74445</v>
      </c>
      <c r="D34" s="0" t="s">
        <v>35</v>
      </c>
      <c r="E34" s="0" t="s">
        <v>35</v>
      </c>
      <c r="F34" s="0" t="s">
        <v>36</v>
      </c>
      <c r="G34" s="0" t="s">
        <v>37</v>
      </c>
      <c r="H34" s="0" t="s">
        <v>45</v>
      </c>
      <c r="J34" s="0" t="s">
        <v>45</v>
      </c>
      <c r="M34" s="0" t="s">
        <v>46</v>
      </c>
      <c r="N34" s="0" t="s">
        <v>47</v>
      </c>
      <c r="O34" s="0" t="s">
        <v>48</v>
      </c>
      <c r="P34" s="0" t="n">
        <v>1909</v>
      </c>
      <c r="Q34" s="0" t="s">
        <v>39</v>
      </c>
      <c r="R34" s="0" t="s">
        <v>49</v>
      </c>
      <c r="S34" s="0" t="s">
        <v>50</v>
      </c>
      <c r="T34" s="0" t="s">
        <v>84</v>
      </c>
      <c r="V34" s="0" t="n">
        <v>2</v>
      </c>
      <c r="W34" s="0" t="n">
        <v>1</v>
      </c>
      <c r="X34" s="0" t="str">
        <f aca="false">"31811010315045"</f>
        <v>31811010315045</v>
      </c>
      <c r="Y34" s="0" t="s">
        <v>39</v>
      </c>
      <c r="Z34" s="0" t="s">
        <v>42</v>
      </c>
      <c r="AA34" s="0" t="s">
        <v>43</v>
      </c>
      <c r="AE34" s="1" t="s">
        <v>52</v>
      </c>
    </row>
    <row r="35" customFormat="false" ht="12.8" hidden="false" customHeight="false" outlineLevel="0" collapsed="false">
      <c r="A35" s="0" t="n">
        <v>62073</v>
      </c>
      <c r="B35" s="0" t="n">
        <v>67433</v>
      </c>
      <c r="C35" s="0" t="n">
        <v>74446</v>
      </c>
      <c r="D35" s="0" t="s">
        <v>35</v>
      </c>
      <c r="E35" s="0" t="s">
        <v>35</v>
      </c>
      <c r="F35" s="0" t="s">
        <v>36</v>
      </c>
      <c r="G35" s="0" t="s">
        <v>37</v>
      </c>
      <c r="H35" s="0" t="s">
        <v>45</v>
      </c>
      <c r="J35" s="0" t="s">
        <v>45</v>
      </c>
      <c r="M35" s="0" t="s">
        <v>46</v>
      </c>
      <c r="N35" s="0" t="s">
        <v>47</v>
      </c>
      <c r="O35" s="0" t="s">
        <v>48</v>
      </c>
      <c r="P35" s="0" t="n">
        <v>1909</v>
      </c>
      <c r="Q35" s="0" t="s">
        <v>39</v>
      </c>
      <c r="R35" s="0" t="s">
        <v>49</v>
      </c>
      <c r="S35" s="0" t="s">
        <v>50</v>
      </c>
      <c r="T35" s="0" t="s">
        <v>85</v>
      </c>
      <c r="V35" s="0" t="n">
        <v>2</v>
      </c>
      <c r="W35" s="0" t="n">
        <v>1</v>
      </c>
      <c r="X35" s="0" t="str">
        <f aca="false">"31811010315086"</f>
        <v>31811010315086</v>
      </c>
      <c r="Y35" s="0" t="s">
        <v>39</v>
      </c>
      <c r="Z35" s="0" t="s">
        <v>42</v>
      </c>
      <c r="AA35" s="0" t="s">
        <v>43</v>
      </c>
      <c r="AE35" s="1" t="s">
        <v>52</v>
      </c>
    </row>
    <row r="36" customFormat="false" ht="12.8" hidden="false" customHeight="false" outlineLevel="0" collapsed="false">
      <c r="A36" s="0" t="n">
        <v>62073</v>
      </c>
      <c r="B36" s="0" t="n">
        <v>67433</v>
      </c>
      <c r="C36" s="0" t="n">
        <v>74447</v>
      </c>
      <c r="D36" s="0" t="s">
        <v>35</v>
      </c>
      <c r="E36" s="0" t="s">
        <v>35</v>
      </c>
      <c r="F36" s="0" t="s">
        <v>36</v>
      </c>
      <c r="G36" s="0" t="s">
        <v>37</v>
      </c>
      <c r="H36" s="0" t="s">
        <v>45</v>
      </c>
      <c r="J36" s="0" t="s">
        <v>45</v>
      </c>
      <c r="M36" s="0" t="s">
        <v>46</v>
      </c>
      <c r="N36" s="0" t="s">
        <v>47</v>
      </c>
      <c r="O36" s="0" t="s">
        <v>48</v>
      </c>
      <c r="P36" s="0" t="n">
        <v>1909</v>
      </c>
      <c r="Q36" s="0" t="s">
        <v>39</v>
      </c>
      <c r="R36" s="0" t="s">
        <v>49</v>
      </c>
      <c r="S36" s="0" t="s">
        <v>50</v>
      </c>
      <c r="T36" s="0" t="s">
        <v>86</v>
      </c>
      <c r="V36" s="0" t="n">
        <v>2</v>
      </c>
      <c r="W36" s="0" t="n">
        <v>1</v>
      </c>
      <c r="X36" s="0" t="str">
        <f aca="false">"31811010315128"</f>
        <v>31811010315128</v>
      </c>
      <c r="Y36" s="0" t="s">
        <v>39</v>
      </c>
      <c r="Z36" s="0" t="s">
        <v>42</v>
      </c>
      <c r="AA36" s="0" t="s">
        <v>43</v>
      </c>
      <c r="AE36" s="1" t="s">
        <v>52</v>
      </c>
    </row>
    <row r="37" customFormat="false" ht="12.8" hidden="false" customHeight="false" outlineLevel="0" collapsed="false">
      <c r="A37" s="0" t="n">
        <v>62073</v>
      </c>
      <c r="B37" s="0" t="n">
        <v>67433</v>
      </c>
      <c r="C37" s="0" t="n">
        <v>74448</v>
      </c>
      <c r="D37" s="0" t="s">
        <v>35</v>
      </c>
      <c r="E37" s="0" t="s">
        <v>35</v>
      </c>
      <c r="F37" s="0" t="s">
        <v>36</v>
      </c>
      <c r="G37" s="0" t="s">
        <v>37</v>
      </c>
      <c r="H37" s="0" t="s">
        <v>45</v>
      </c>
      <c r="J37" s="0" t="s">
        <v>45</v>
      </c>
      <c r="M37" s="0" t="s">
        <v>46</v>
      </c>
      <c r="N37" s="0" t="s">
        <v>47</v>
      </c>
      <c r="O37" s="0" t="s">
        <v>48</v>
      </c>
      <c r="P37" s="0" t="n">
        <v>1909</v>
      </c>
      <c r="Q37" s="0" t="s">
        <v>39</v>
      </c>
      <c r="R37" s="0" t="s">
        <v>49</v>
      </c>
      <c r="S37" s="0" t="s">
        <v>50</v>
      </c>
      <c r="T37" s="0" t="s">
        <v>87</v>
      </c>
      <c r="V37" s="0" t="n">
        <v>2</v>
      </c>
      <c r="W37" s="0" t="n">
        <v>1</v>
      </c>
      <c r="X37" s="0" t="str">
        <f aca="false">"31811010315169"</f>
        <v>31811010315169</v>
      </c>
      <c r="Y37" s="0" t="s">
        <v>39</v>
      </c>
      <c r="Z37" s="0" t="s">
        <v>42</v>
      </c>
      <c r="AA37" s="0" t="s">
        <v>43</v>
      </c>
      <c r="AE37" s="1" t="s">
        <v>52</v>
      </c>
    </row>
    <row r="38" customFormat="false" ht="12.8" hidden="false" customHeight="false" outlineLevel="0" collapsed="false">
      <c r="A38" s="0" t="n">
        <v>62073</v>
      </c>
      <c r="B38" s="0" t="n">
        <v>67433</v>
      </c>
      <c r="C38" s="0" t="n">
        <v>74449</v>
      </c>
      <c r="D38" s="0" t="s">
        <v>35</v>
      </c>
      <c r="E38" s="0" t="s">
        <v>35</v>
      </c>
      <c r="F38" s="0" t="s">
        <v>36</v>
      </c>
      <c r="G38" s="0" t="s">
        <v>37</v>
      </c>
      <c r="H38" s="0" t="s">
        <v>45</v>
      </c>
      <c r="J38" s="0" t="s">
        <v>45</v>
      </c>
      <c r="M38" s="0" t="s">
        <v>46</v>
      </c>
      <c r="N38" s="0" t="s">
        <v>47</v>
      </c>
      <c r="O38" s="0" t="s">
        <v>48</v>
      </c>
      <c r="P38" s="0" t="n">
        <v>1909</v>
      </c>
      <c r="Q38" s="0" t="s">
        <v>39</v>
      </c>
      <c r="R38" s="0" t="s">
        <v>49</v>
      </c>
      <c r="S38" s="0" t="s">
        <v>50</v>
      </c>
      <c r="T38" s="0" t="s">
        <v>88</v>
      </c>
      <c r="V38" s="0" t="n">
        <v>2</v>
      </c>
      <c r="W38" s="0" t="n">
        <v>1</v>
      </c>
      <c r="X38" s="0" t="str">
        <f aca="false">"31811010315201"</f>
        <v>31811010315201</v>
      </c>
      <c r="Y38" s="0" t="s">
        <v>39</v>
      </c>
      <c r="Z38" s="0" t="s">
        <v>42</v>
      </c>
      <c r="AA38" s="0" t="s">
        <v>43</v>
      </c>
      <c r="AE38" s="1" t="s">
        <v>52</v>
      </c>
    </row>
    <row r="39" customFormat="false" ht="12.8" hidden="false" customHeight="false" outlineLevel="0" collapsed="false">
      <c r="A39" s="0" t="n">
        <v>62073</v>
      </c>
      <c r="B39" s="0" t="n">
        <v>67433</v>
      </c>
      <c r="C39" s="0" t="n">
        <v>74450</v>
      </c>
      <c r="D39" s="0" t="s">
        <v>35</v>
      </c>
      <c r="E39" s="0" t="s">
        <v>35</v>
      </c>
      <c r="F39" s="0" t="s">
        <v>36</v>
      </c>
      <c r="G39" s="0" t="s">
        <v>37</v>
      </c>
      <c r="H39" s="0" t="s">
        <v>45</v>
      </c>
      <c r="J39" s="0" t="s">
        <v>45</v>
      </c>
      <c r="M39" s="0" t="s">
        <v>46</v>
      </c>
      <c r="N39" s="0" t="s">
        <v>47</v>
      </c>
      <c r="O39" s="0" t="s">
        <v>48</v>
      </c>
      <c r="P39" s="0" t="n">
        <v>1909</v>
      </c>
      <c r="Q39" s="0" t="s">
        <v>39</v>
      </c>
      <c r="R39" s="0" t="s">
        <v>49</v>
      </c>
      <c r="S39" s="0" t="s">
        <v>50</v>
      </c>
      <c r="T39" s="0" t="s">
        <v>89</v>
      </c>
      <c r="V39" s="0" t="n">
        <v>2</v>
      </c>
      <c r="W39" s="0" t="n">
        <v>1</v>
      </c>
      <c r="X39" s="0" t="str">
        <f aca="false">"31811010315276"</f>
        <v>31811010315276</v>
      </c>
      <c r="Y39" s="0" t="s">
        <v>39</v>
      </c>
      <c r="Z39" s="0" t="s">
        <v>42</v>
      </c>
      <c r="AA39" s="0" t="s">
        <v>43</v>
      </c>
      <c r="AE39" s="1" t="s">
        <v>52</v>
      </c>
    </row>
    <row r="40" customFormat="false" ht="12.8" hidden="false" customHeight="false" outlineLevel="0" collapsed="false">
      <c r="A40" s="0" t="n">
        <v>62073</v>
      </c>
      <c r="B40" s="0" t="n">
        <v>67433</v>
      </c>
      <c r="C40" s="0" t="n">
        <v>74451</v>
      </c>
      <c r="D40" s="0" t="s">
        <v>35</v>
      </c>
      <c r="E40" s="0" t="s">
        <v>35</v>
      </c>
      <c r="F40" s="0" t="s">
        <v>36</v>
      </c>
      <c r="G40" s="0" t="s">
        <v>37</v>
      </c>
      <c r="H40" s="0" t="s">
        <v>45</v>
      </c>
      <c r="J40" s="0" t="s">
        <v>45</v>
      </c>
      <c r="M40" s="0" t="s">
        <v>46</v>
      </c>
      <c r="N40" s="0" t="s">
        <v>47</v>
      </c>
      <c r="O40" s="0" t="s">
        <v>48</v>
      </c>
      <c r="P40" s="0" t="n">
        <v>1909</v>
      </c>
      <c r="Q40" s="0" t="s">
        <v>39</v>
      </c>
      <c r="R40" s="0" t="s">
        <v>49</v>
      </c>
      <c r="S40" s="0" t="s">
        <v>50</v>
      </c>
      <c r="T40" s="0" t="s">
        <v>90</v>
      </c>
      <c r="V40" s="0" t="n">
        <v>2</v>
      </c>
      <c r="W40" s="0" t="n">
        <v>1</v>
      </c>
      <c r="X40" s="0" t="str">
        <f aca="false">"31811010315219"</f>
        <v>31811010315219</v>
      </c>
      <c r="Y40" s="0" t="s">
        <v>39</v>
      </c>
      <c r="Z40" s="0" t="s">
        <v>42</v>
      </c>
      <c r="AA40" s="0" t="s">
        <v>43</v>
      </c>
      <c r="AE40" s="1" t="s">
        <v>52</v>
      </c>
    </row>
    <row r="41" customFormat="false" ht="12.8" hidden="false" customHeight="false" outlineLevel="0" collapsed="false">
      <c r="A41" s="0" t="n">
        <v>62073</v>
      </c>
      <c r="B41" s="0" t="n">
        <v>67433</v>
      </c>
      <c r="C41" s="0" t="n">
        <v>74452</v>
      </c>
      <c r="D41" s="0" t="s">
        <v>35</v>
      </c>
      <c r="E41" s="0" t="s">
        <v>35</v>
      </c>
      <c r="F41" s="0" t="s">
        <v>36</v>
      </c>
      <c r="G41" s="0" t="s">
        <v>37</v>
      </c>
      <c r="H41" s="0" t="s">
        <v>45</v>
      </c>
      <c r="J41" s="0" t="s">
        <v>45</v>
      </c>
      <c r="M41" s="0" t="s">
        <v>46</v>
      </c>
      <c r="N41" s="0" t="s">
        <v>47</v>
      </c>
      <c r="O41" s="0" t="s">
        <v>48</v>
      </c>
      <c r="P41" s="0" t="n">
        <v>1909</v>
      </c>
      <c r="Q41" s="0" t="s">
        <v>39</v>
      </c>
      <c r="R41" s="0" t="s">
        <v>49</v>
      </c>
      <c r="S41" s="0" t="s">
        <v>50</v>
      </c>
      <c r="T41" s="0" t="s">
        <v>91</v>
      </c>
      <c r="V41" s="0" t="n">
        <v>2</v>
      </c>
      <c r="W41" s="0" t="n">
        <v>1</v>
      </c>
      <c r="X41" s="0" t="str">
        <f aca="false">"31811010315250"</f>
        <v>31811010315250</v>
      </c>
      <c r="Y41" s="0" t="s">
        <v>39</v>
      </c>
      <c r="Z41" s="0" t="s">
        <v>42</v>
      </c>
      <c r="AA41" s="0" t="s">
        <v>43</v>
      </c>
      <c r="AE41" s="1" t="s">
        <v>52</v>
      </c>
    </row>
    <row r="42" customFormat="false" ht="12.8" hidden="false" customHeight="false" outlineLevel="0" collapsed="false">
      <c r="A42" s="0" t="n">
        <v>62073</v>
      </c>
      <c r="B42" s="0" t="n">
        <v>67433</v>
      </c>
      <c r="C42" s="0" t="n">
        <v>74453</v>
      </c>
      <c r="D42" s="0" t="s">
        <v>35</v>
      </c>
      <c r="E42" s="0" t="s">
        <v>35</v>
      </c>
      <c r="F42" s="0" t="s">
        <v>36</v>
      </c>
      <c r="G42" s="0" t="s">
        <v>37</v>
      </c>
      <c r="H42" s="0" t="s">
        <v>45</v>
      </c>
      <c r="J42" s="0" t="s">
        <v>45</v>
      </c>
      <c r="M42" s="0" t="s">
        <v>46</v>
      </c>
      <c r="N42" s="0" t="s">
        <v>47</v>
      </c>
      <c r="O42" s="0" t="s">
        <v>48</v>
      </c>
      <c r="P42" s="0" t="n">
        <v>1909</v>
      </c>
      <c r="Q42" s="0" t="s">
        <v>39</v>
      </c>
      <c r="R42" s="0" t="s">
        <v>49</v>
      </c>
      <c r="S42" s="0" t="s">
        <v>50</v>
      </c>
      <c r="T42" s="0" t="s">
        <v>92</v>
      </c>
      <c r="V42" s="0" t="n">
        <v>2</v>
      </c>
      <c r="W42" s="0" t="n">
        <v>1</v>
      </c>
      <c r="X42" s="0" t="str">
        <f aca="false">"31811010315292"</f>
        <v>31811010315292</v>
      </c>
      <c r="Y42" s="0" t="s">
        <v>39</v>
      </c>
      <c r="Z42" s="0" t="s">
        <v>42</v>
      </c>
      <c r="AA42" s="0" t="s">
        <v>43</v>
      </c>
      <c r="AE42" s="1" t="s">
        <v>52</v>
      </c>
    </row>
    <row r="43" customFormat="false" ht="12.8" hidden="false" customHeight="false" outlineLevel="0" collapsed="false">
      <c r="A43" s="0" t="n">
        <v>62073</v>
      </c>
      <c r="B43" s="0" t="n">
        <v>67433</v>
      </c>
      <c r="C43" s="0" t="n">
        <v>74454</v>
      </c>
      <c r="D43" s="0" t="s">
        <v>35</v>
      </c>
      <c r="E43" s="0" t="s">
        <v>35</v>
      </c>
      <c r="F43" s="0" t="s">
        <v>36</v>
      </c>
      <c r="G43" s="0" t="s">
        <v>37</v>
      </c>
      <c r="H43" s="0" t="s">
        <v>45</v>
      </c>
      <c r="J43" s="0" t="s">
        <v>45</v>
      </c>
      <c r="M43" s="0" t="s">
        <v>46</v>
      </c>
      <c r="N43" s="0" t="s">
        <v>47</v>
      </c>
      <c r="O43" s="0" t="s">
        <v>48</v>
      </c>
      <c r="P43" s="0" t="n">
        <v>1909</v>
      </c>
      <c r="Q43" s="0" t="s">
        <v>39</v>
      </c>
      <c r="R43" s="0" t="s">
        <v>49</v>
      </c>
      <c r="S43" s="0" t="s">
        <v>50</v>
      </c>
      <c r="T43" s="0" t="s">
        <v>93</v>
      </c>
      <c r="V43" s="0" t="n">
        <v>2</v>
      </c>
      <c r="W43" s="0" t="n">
        <v>1</v>
      </c>
      <c r="X43" s="0" t="str">
        <f aca="false">"31811010315334"</f>
        <v>31811010315334</v>
      </c>
      <c r="Y43" s="0" t="s">
        <v>39</v>
      </c>
      <c r="Z43" s="0" t="s">
        <v>42</v>
      </c>
      <c r="AA43" s="0" t="s">
        <v>43</v>
      </c>
      <c r="AE43" s="1" t="s">
        <v>52</v>
      </c>
    </row>
    <row r="44" customFormat="false" ht="12.8" hidden="false" customHeight="false" outlineLevel="0" collapsed="false">
      <c r="A44" s="0" t="n">
        <v>62073</v>
      </c>
      <c r="B44" s="0" t="n">
        <v>67433</v>
      </c>
      <c r="C44" s="0" t="n">
        <v>74456</v>
      </c>
      <c r="D44" s="0" t="s">
        <v>35</v>
      </c>
      <c r="E44" s="0" t="s">
        <v>35</v>
      </c>
      <c r="F44" s="0" t="s">
        <v>36</v>
      </c>
      <c r="G44" s="0" t="s">
        <v>37</v>
      </c>
      <c r="H44" s="0" t="s">
        <v>45</v>
      </c>
      <c r="J44" s="0" t="s">
        <v>45</v>
      </c>
      <c r="M44" s="0" t="s">
        <v>46</v>
      </c>
      <c r="N44" s="0" t="s">
        <v>47</v>
      </c>
      <c r="O44" s="0" t="s">
        <v>48</v>
      </c>
      <c r="P44" s="0" t="n">
        <v>1909</v>
      </c>
      <c r="Q44" s="0" t="s">
        <v>39</v>
      </c>
      <c r="R44" s="0" t="s">
        <v>49</v>
      </c>
      <c r="S44" s="0" t="s">
        <v>50</v>
      </c>
      <c r="T44" s="0" t="s">
        <v>94</v>
      </c>
      <c r="V44" s="0" t="n">
        <v>2</v>
      </c>
      <c r="W44" s="0" t="n">
        <v>1</v>
      </c>
      <c r="X44" s="0" t="str">
        <f aca="false">"31811010315417"</f>
        <v>31811010315417</v>
      </c>
      <c r="Y44" s="0" t="s">
        <v>39</v>
      </c>
      <c r="Z44" s="0" t="s">
        <v>42</v>
      </c>
      <c r="AA44" s="0" t="s">
        <v>43</v>
      </c>
      <c r="AE44" s="1" t="s">
        <v>52</v>
      </c>
    </row>
    <row r="45" customFormat="false" ht="12.8" hidden="false" customHeight="false" outlineLevel="0" collapsed="false">
      <c r="A45" s="0" t="n">
        <v>62073</v>
      </c>
      <c r="B45" s="0" t="n">
        <v>67433</v>
      </c>
      <c r="C45" s="0" t="n">
        <v>74457</v>
      </c>
      <c r="D45" s="0" t="s">
        <v>35</v>
      </c>
      <c r="E45" s="0" t="s">
        <v>35</v>
      </c>
      <c r="F45" s="0" t="s">
        <v>36</v>
      </c>
      <c r="G45" s="0" t="s">
        <v>37</v>
      </c>
      <c r="H45" s="0" t="s">
        <v>45</v>
      </c>
      <c r="J45" s="0" t="s">
        <v>45</v>
      </c>
      <c r="M45" s="0" t="s">
        <v>46</v>
      </c>
      <c r="N45" s="0" t="s">
        <v>47</v>
      </c>
      <c r="O45" s="0" t="s">
        <v>48</v>
      </c>
      <c r="P45" s="0" t="n">
        <v>1909</v>
      </c>
      <c r="Q45" s="0" t="s">
        <v>39</v>
      </c>
      <c r="R45" s="0" t="s">
        <v>49</v>
      </c>
      <c r="S45" s="0" t="s">
        <v>50</v>
      </c>
      <c r="T45" s="0" t="s">
        <v>95</v>
      </c>
      <c r="V45" s="0" t="n">
        <v>2</v>
      </c>
      <c r="W45" s="0" t="n">
        <v>1</v>
      </c>
      <c r="X45" s="0" t="str">
        <f aca="false">"31811010859984"</f>
        <v>31811010859984</v>
      </c>
      <c r="Y45" s="0" t="s">
        <v>39</v>
      </c>
      <c r="Z45" s="0" t="s">
        <v>42</v>
      </c>
      <c r="AA45" s="0" t="s">
        <v>43</v>
      </c>
      <c r="AE45" s="1" t="s">
        <v>52</v>
      </c>
    </row>
    <row r="46" customFormat="false" ht="12.8" hidden="false" customHeight="false" outlineLevel="0" collapsed="false">
      <c r="A46" s="0" t="n">
        <v>551554</v>
      </c>
      <c r="B46" s="0" t="n">
        <v>590064</v>
      </c>
      <c r="C46" s="0" t="n">
        <v>666542</v>
      </c>
      <c r="D46" s="0" t="s">
        <v>35</v>
      </c>
      <c r="E46" s="0" t="s">
        <v>35</v>
      </c>
      <c r="F46" s="0" t="s">
        <v>36</v>
      </c>
      <c r="G46" s="0" t="s">
        <v>37</v>
      </c>
      <c r="H46" s="0" t="s">
        <v>96</v>
      </c>
      <c r="I46" s="0" t="s">
        <v>97</v>
      </c>
      <c r="J46" s="0" t="s">
        <v>98</v>
      </c>
      <c r="L46" s="0" t="s">
        <v>99</v>
      </c>
      <c r="M46" s="0" t="s">
        <v>100</v>
      </c>
      <c r="N46" s="0" t="s">
        <v>101</v>
      </c>
      <c r="O46" s="0" t="s">
        <v>102</v>
      </c>
      <c r="P46" s="0" t="n">
        <v>2000</v>
      </c>
      <c r="Q46" s="0" t="s">
        <v>39</v>
      </c>
      <c r="R46" s="0" t="s">
        <v>103</v>
      </c>
      <c r="S46" s="0" t="s">
        <v>104</v>
      </c>
      <c r="V46" s="0" t="n">
        <v>1</v>
      </c>
      <c r="W46" s="0" t="n">
        <v>1</v>
      </c>
      <c r="X46" s="0" t="str">
        <f aca="false">"31811012472745"</f>
        <v>31811012472745</v>
      </c>
      <c r="Y46" s="0" t="s">
        <v>39</v>
      </c>
      <c r="Z46" s="0" t="s">
        <v>42</v>
      </c>
      <c r="AA46" s="0" t="s">
        <v>43</v>
      </c>
      <c r="AE46" s="1" t="s">
        <v>52</v>
      </c>
      <c r="AH46" s="1" t="s">
        <v>105</v>
      </c>
    </row>
    <row r="47" customFormat="false" ht="12.8" hidden="false" customHeight="false" outlineLevel="0" collapsed="false">
      <c r="A47" s="0" t="n">
        <v>158493</v>
      </c>
      <c r="B47" s="0" t="n">
        <v>172312</v>
      </c>
      <c r="C47" s="0" t="n">
        <v>193160</v>
      </c>
      <c r="D47" s="0" t="s">
        <v>35</v>
      </c>
      <c r="E47" s="0" t="s">
        <v>35</v>
      </c>
      <c r="F47" s="0" t="s">
        <v>36</v>
      </c>
      <c r="G47" s="0" t="s">
        <v>37</v>
      </c>
      <c r="H47" s="0" t="s">
        <v>106</v>
      </c>
      <c r="J47" s="0" t="s">
        <v>107</v>
      </c>
      <c r="K47" s="0" t="s">
        <v>108</v>
      </c>
      <c r="M47" s="0" t="s">
        <v>109</v>
      </c>
      <c r="N47" s="0" t="n">
        <v>1967</v>
      </c>
      <c r="O47" s="0" t="s">
        <v>110</v>
      </c>
      <c r="P47" s="0" t="n">
        <v>1967</v>
      </c>
      <c r="Q47" s="0" t="s">
        <v>39</v>
      </c>
      <c r="R47" s="0" t="s">
        <v>111</v>
      </c>
      <c r="S47" s="0" t="s">
        <v>112</v>
      </c>
      <c r="V47" s="0" t="n">
        <v>1</v>
      </c>
      <c r="W47" s="0" t="n">
        <v>1</v>
      </c>
      <c r="X47" s="0" t="str">
        <f aca="false">"31811010758491"</f>
        <v>31811010758491</v>
      </c>
      <c r="Y47" s="0" t="s">
        <v>39</v>
      </c>
      <c r="Z47" s="0" t="s">
        <v>42</v>
      </c>
      <c r="AA47" s="0" t="s">
        <v>43</v>
      </c>
      <c r="AE47" s="1" t="s">
        <v>52</v>
      </c>
      <c r="AH47" s="1" t="s">
        <v>113</v>
      </c>
    </row>
    <row r="48" customFormat="false" ht="12.8" hidden="false" customHeight="false" outlineLevel="0" collapsed="false">
      <c r="A48" s="0" t="n">
        <v>633086</v>
      </c>
      <c r="B48" s="0" t="n">
        <v>682584</v>
      </c>
      <c r="C48" s="0" t="n">
        <v>755657</v>
      </c>
      <c r="D48" s="0" t="s">
        <v>35</v>
      </c>
      <c r="E48" s="0" t="s">
        <v>35</v>
      </c>
      <c r="F48" s="0" t="s">
        <v>36</v>
      </c>
      <c r="G48" s="0" t="s">
        <v>37</v>
      </c>
      <c r="H48" s="0" t="s">
        <v>114</v>
      </c>
      <c r="I48" s="0" t="s">
        <v>115</v>
      </c>
      <c r="J48" s="0" t="s">
        <v>116</v>
      </c>
      <c r="L48" s="0" t="n">
        <v>226143279</v>
      </c>
      <c r="M48" s="0" t="s">
        <v>117</v>
      </c>
      <c r="N48" s="0" t="n">
        <v>1981</v>
      </c>
      <c r="O48" s="0" t="s">
        <v>118</v>
      </c>
      <c r="P48" s="0" t="n">
        <v>1981</v>
      </c>
      <c r="Q48" s="0" t="s">
        <v>39</v>
      </c>
      <c r="R48" s="0" t="s">
        <v>119</v>
      </c>
      <c r="S48" s="0" t="s">
        <v>120</v>
      </c>
      <c r="V48" s="0" t="n">
        <v>1</v>
      </c>
      <c r="W48" s="0" t="n">
        <v>1</v>
      </c>
      <c r="X48" s="0" t="str">
        <f aca="false">"31811012717537"</f>
        <v>31811012717537</v>
      </c>
      <c r="Y48" s="0" t="s">
        <v>39</v>
      </c>
      <c r="Z48" s="0" t="s">
        <v>42</v>
      </c>
      <c r="AA48" s="0" t="s">
        <v>43</v>
      </c>
      <c r="AE48" s="1" t="s">
        <v>121</v>
      </c>
      <c r="AF48" s="1" t="s">
        <v>122</v>
      </c>
      <c r="AH48" s="1" t="s">
        <v>123</v>
      </c>
    </row>
    <row r="49" customFormat="false" ht="12.8" hidden="false" customHeight="false" outlineLevel="0" collapsed="false">
      <c r="A49" s="0" t="n">
        <v>526044</v>
      </c>
      <c r="B49" s="0" t="n">
        <v>563636</v>
      </c>
      <c r="C49" s="0" t="n">
        <v>637161</v>
      </c>
      <c r="D49" s="0" t="s">
        <v>35</v>
      </c>
      <c r="E49" s="0" t="s">
        <v>35</v>
      </c>
      <c r="F49" s="0" t="s">
        <v>36</v>
      </c>
      <c r="G49" s="0" t="s">
        <v>37</v>
      </c>
      <c r="H49" s="0" t="s">
        <v>124</v>
      </c>
      <c r="I49" s="0" t="s">
        <v>125</v>
      </c>
      <c r="J49" s="0" t="s">
        <v>126</v>
      </c>
      <c r="M49" s="0" t="s">
        <v>127</v>
      </c>
      <c r="N49" s="0" t="s">
        <v>128</v>
      </c>
      <c r="O49" s="0" t="s">
        <v>129</v>
      </c>
      <c r="P49" s="0" t="n">
        <v>1967</v>
      </c>
      <c r="Q49" s="0" t="s">
        <v>39</v>
      </c>
      <c r="R49" s="0" t="s">
        <v>130</v>
      </c>
      <c r="S49" s="0" t="s">
        <v>131</v>
      </c>
      <c r="V49" s="0" t="n">
        <v>1</v>
      </c>
      <c r="W49" s="0" t="n">
        <v>1</v>
      </c>
      <c r="X49" s="0" t="str">
        <f aca="false">"31811010758673"</f>
        <v>31811010758673</v>
      </c>
      <c r="Y49" s="0" t="s">
        <v>39</v>
      </c>
      <c r="Z49" s="0" t="s">
        <v>42</v>
      </c>
      <c r="AA49" s="0" t="s">
        <v>43</v>
      </c>
      <c r="AE49" s="1" t="s">
        <v>52</v>
      </c>
      <c r="AH49" s="1" t="s">
        <v>132</v>
      </c>
    </row>
    <row r="50" customFormat="false" ht="12.8" hidden="false" customHeight="false" outlineLevel="0" collapsed="false">
      <c r="A50" s="0" t="n">
        <v>75567</v>
      </c>
      <c r="B50" s="0" t="n">
        <v>81889</v>
      </c>
      <c r="C50" s="0" t="n">
        <v>91850</v>
      </c>
      <c r="D50" s="0" t="s">
        <v>35</v>
      </c>
      <c r="E50" s="0" t="s">
        <v>35</v>
      </c>
      <c r="F50" s="0" t="s">
        <v>36</v>
      </c>
      <c r="G50" s="0" t="s">
        <v>37</v>
      </c>
      <c r="H50" s="0" t="s">
        <v>133</v>
      </c>
      <c r="I50" s="0" t="s">
        <v>134</v>
      </c>
      <c r="J50" s="0" t="s">
        <v>135</v>
      </c>
      <c r="K50" s="0" t="s">
        <v>136</v>
      </c>
      <c r="L50" s="0" t="s">
        <v>137</v>
      </c>
      <c r="M50" s="0" t="s">
        <v>138</v>
      </c>
      <c r="N50" s="0" t="s">
        <v>139</v>
      </c>
      <c r="O50" s="0" t="s">
        <v>140</v>
      </c>
      <c r="P50" s="0" t="n">
        <v>1979</v>
      </c>
      <c r="Q50" s="0" t="s">
        <v>39</v>
      </c>
      <c r="R50" s="0" t="s">
        <v>141</v>
      </c>
      <c r="S50" s="0" t="s">
        <v>142</v>
      </c>
      <c r="V50" s="0" t="n">
        <v>1</v>
      </c>
      <c r="W50" s="0" t="n">
        <v>1</v>
      </c>
      <c r="X50" s="0" t="str">
        <f aca="false">"31811010243536"</f>
        <v>31811010243536</v>
      </c>
      <c r="Y50" s="0" t="s">
        <v>39</v>
      </c>
      <c r="Z50" s="0" t="s">
        <v>42</v>
      </c>
      <c r="AA50" s="0" t="s">
        <v>43</v>
      </c>
      <c r="AE50" s="1" t="s">
        <v>52</v>
      </c>
      <c r="AH50" s="1" t="s">
        <v>143</v>
      </c>
    </row>
    <row r="51" customFormat="false" ht="12.8" hidden="false" customHeight="false" outlineLevel="0" collapsed="false">
      <c r="A51" s="0" t="n">
        <v>309111</v>
      </c>
      <c r="B51" s="0" t="n">
        <v>336944</v>
      </c>
      <c r="C51" s="0" t="n">
        <v>376018</v>
      </c>
      <c r="D51" s="0" t="s">
        <v>35</v>
      </c>
      <c r="E51" s="0" t="s">
        <v>35</v>
      </c>
      <c r="F51" s="0" t="s">
        <v>36</v>
      </c>
      <c r="G51" s="0" t="s">
        <v>37</v>
      </c>
      <c r="H51" s="0" t="s">
        <v>144</v>
      </c>
      <c r="I51" s="0" t="s">
        <v>145</v>
      </c>
      <c r="J51" s="0" t="s">
        <v>146</v>
      </c>
      <c r="L51" s="0" t="n">
        <v>821211099</v>
      </c>
      <c r="M51" s="0" t="s">
        <v>147</v>
      </c>
      <c r="N51" s="0" t="s">
        <v>148</v>
      </c>
      <c r="O51" s="0" t="s">
        <v>149</v>
      </c>
      <c r="P51" s="0" t="n">
        <v>1969</v>
      </c>
      <c r="Q51" s="0" t="s">
        <v>39</v>
      </c>
      <c r="R51" s="0" t="s">
        <v>150</v>
      </c>
      <c r="S51" s="0" t="s">
        <v>151</v>
      </c>
      <c r="V51" s="0" t="n">
        <v>1</v>
      </c>
      <c r="W51" s="0" t="n">
        <v>1</v>
      </c>
      <c r="X51" s="0" t="str">
        <f aca="false">"31811010758715"</f>
        <v>31811010758715</v>
      </c>
      <c r="Y51" s="0" t="s">
        <v>39</v>
      </c>
      <c r="Z51" s="0" t="s">
        <v>42</v>
      </c>
      <c r="AA51" s="0" t="s">
        <v>43</v>
      </c>
      <c r="AE51" s="1" t="s">
        <v>52</v>
      </c>
    </row>
    <row r="52" customFormat="false" ht="12.8" hidden="false" customHeight="false" outlineLevel="0" collapsed="false">
      <c r="A52" s="0" t="n">
        <v>29770</v>
      </c>
      <c r="B52" s="0" t="n">
        <v>32706</v>
      </c>
      <c r="C52" s="0" t="n">
        <v>36641</v>
      </c>
      <c r="D52" s="0" t="s">
        <v>35</v>
      </c>
      <c r="E52" s="0" t="s">
        <v>35</v>
      </c>
      <c r="F52" s="0" t="s">
        <v>36</v>
      </c>
      <c r="G52" s="0" t="s">
        <v>37</v>
      </c>
      <c r="H52" s="0" t="s">
        <v>152</v>
      </c>
      <c r="J52" s="0" t="s">
        <v>153</v>
      </c>
      <c r="K52" s="0" t="s">
        <v>154</v>
      </c>
      <c r="L52" s="0" t="n">
        <v>804007551</v>
      </c>
      <c r="M52" s="0" t="s">
        <v>155</v>
      </c>
      <c r="N52" s="0" t="s">
        <v>156</v>
      </c>
      <c r="O52" s="0" t="s">
        <v>157</v>
      </c>
      <c r="P52" s="0" t="n">
        <v>1977</v>
      </c>
      <c r="Q52" s="0" t="s">
        <v>39</v>
      </c>
      <c r="R52" s="0" t="s">
        <v>158</v>
      </c>
      <c r="S52" s="0" t="s">
        <v>159</v>
      </c>
      <c r="V52" s="0" t="n">
        <v>1</v>
      </c>
      <c r="W52" s="0" t="n">
        <v>1</v>
      </c>
      <c r="X52" s="0" t="str">
        <f aca="false">"31811010000084"</f>
        <v>31811010000084</v>
      </c>
      <c r="Y52" s="0" t="s">
        <v>39</v>
      </c>
      <c r="Z52" s="0" t="s">
        <v>42</v>
      </c>
      <c r="AA52" s="0" t="s">
        <v>43</v>
      </c>
      <c r="AE52" s="1" t="s">
        <v>52</v>
      </c>
    </row>
    <row r="53" customFormat="false" ht="12.8" hidden="false" customHeight="false" outlineLevel="0" collapsed="false">
      <c r="A53" s="0" t="n">
        <v>318055</v>
      </c>
      <c r="B53" s="0" t="n">
        <v>346222</v>
      </c>
      <c r="C53" s="0" t="n">
        <v>386577</v>
      </c>
      <c r="D53" s="0" t="s">
        <v>35</v>
      </c>
      <c r="E53" s="0" t="s">
        <v>35</v>
      </c>
      <c r="F53" s="0" t="s">
        <v>36</v>
      </c>
      <c r="G53" s="0" t="s">
        <v>37</v>
      </c>
      <c r="H53" s="0" t="s">
        <v>160</v>
      </c>
      <c r="I53" s="0" t="s">
        <v>161</v>
      </c>
      <c r="J53" s="0" t="s">
        <v>162</v>
      </c>
      <c r="L53" s="0" t="n">
        <v>224619144</v>
      </c>
      <c r="M53" s="0" t="s">
        <v>163</v>
      </c>
      <c r="N53" s="0" t="n">
        <v>1970</v>
      </c>
      <c r="O53" s="0" t="s">
        <v>164</v>
      </c>
      <c r="P53" s="0" t="n">
        <v>1970</v>
      </c>
      <c r="Q53" s="0" t="s">
        <v>39</v>
      </c>
      <c r="R53" s="0" t="s">
        <v>165</v>
      </c>
      <c r="S53" s="0" t="s">
        <v>166</v>
      </c>
      <c r="V53" s="0" t="n">
        <v>1</v>
      </c>
      <c r="W53" s="0" t="n">
        <v>1</v>
      </c>
      <c r="X53" s="0" t="str">
        <f aca="false">"31811010000498"</f>
        <v>31811010000498</v>
      </c>
      <c r="Y53" s="0" t="s">
        <v>39</v>
      </c>
      <c r="Z53" s="0" t="s">
        <v>42</v>
      </c>
      <c r="AA53" s="0" t="s">
        <v>43</v>
      </c>
      <c r="AE53" s="1" t="s">
        <v>52</v>
      </c>
    </row>
    <row r="54" customFormat="false" ht="12.8" hidden="false" customHeight="false" outlineLevel="0" collapsed="false">
      <c r="A54" s="0" t="n">
        <v>358261</v>
      </c>
      <c r="B54" s="0" t="n">
        <v>387763</v>
      </c>
      <c r="C54" s="0" t="n">
        <v>431314</v>
      </c>
      <c r="D54" s="0" t="s">
        <v>35</v>
      </c>
      <c r="E54" s="0" t="s">
        <v>35</v>
      </c>
      <c r="F54" s="0" t="s">
        <v>36</v>
      </c>
      <c r="G54" s="0" t="s">
        <v>37</v>
      </c>
      <c r="H54" s="0" t="s">
        <v>167</v>
      </c>
      <c r="I54" s="0" t="s">
        <v>168</v>
      </c>
      <c r="J54" s="0" t="s">
        <v>169</v>
      </c>
      <c r="L54" s="0" t="s">
        <v>170</v>
      </c>
      <c r="M54" s="0" t="s">
        <v>171</v>
      </c>
      <c r="N54" s="0" t="s">
        <v>172</v>
      </c>
      <c r="O54" s="0" t="s">
        <v>173</v>
      </c>
      <c r="P54" s="0" t="n">
        <v>1974</v>
      </c>
      <c r="Q54" s="0" t="s">
        <v>39</v>
      </c>
      <c r="R54" s="0" t="s">
        <v>174</v>
      </c>
      <c r="S54" s="0" t="s">
        <v>175</v>
      </c>
      <c r="V54" s="0" t="n">
        <v>1</v>
      </c>
      <c r="W54" s="0" t="n">
        <v>1</v>
      </c>
      <c r="X54" s="0" t="str">
        <f aca="false">"31811010000555"</f>
        <v>31811010000555</v>
      </c>
      <c r="Y54" s="0" t="s">
        <v>39</v>
      </c>
      <c r="Z54" s="0" t="s">
        <v>42</v>
      </c>
      <c r="AA54" s="0" t="s">
        <v>43</v>
      </c>
      <c r="AE54" s="1" t="s">
        <v>52</v>
      </c>
      <c r="AH54" s="1" t="s">
        <v>176</v>
      </c>
    </row>
    <row r="55" customFormat="false" ht="12.8" hidden="false" customHeight="false" outlineLevel="0" collapsed="false">
      <c r="A55" s="0" t="n">
        <v>471509</v>
      </c>
      <c r="B55" s="0" t="n">
        <v>503562</v>
      </c>
      <c r="C55" s="0" t="n">
        <v>565433</v>
      </c>
      <c r="D55" s="0" t="s">
        <v>35</v>
      </c>
      <c r="E55" s="0" t="s">
        <v>35</v>
      </c>
      <c r="F55" s="0" t="s">
        <v>36</v>
      </c>
      <c r="G55" s="0" t="s">
        <v>37</v>
      </c>
      <c r="H55" s="0" t="s">
        <v>177</v>
      </c>
      <c r="I55" s="0" t="s">
        <v>178</v>
      </c>
      <c r="J55" s="0" t="s">
        <v>177</v>
      </c>
      <c r="K55" s="0" t="s">
        <v>108</v>
      </c>
      <c r="M55" s="0" t="s">
        <v>179</v>
      </c>
      <c r="N55" s="0" t="s">
        <v>180</v>
      </c>
      <c r="O55" s="0" t="s">
        <v>181</v>
      </c>
      <c r="P55" s="0" t="n">
        <v>1961</v>
      </c>
      <c r="Q55" s="0" t="s">
        <v>39</v>
      </c>
      <c r="R55" s="0" t="s">
        <v>182</v>
      </c>
      <c r="S55" s="0" t="s">
        <v>183</v>
      </c>
      <c r="V55" s="0" t="n">
        <v>1</v>
      </c>
      <c r="W55" s="0" t="n">
        <v>1</v>
      </c>
      <c r="X55" s="0" t="str">
        <f aca="false">"31811010000522"</f>
        <v>31811010000522</v>
      </c>
      <c r="Y55" s="0" t="s">
        <v>39</v>
      </c>
      <c r="Z55" s="0" t="s">
        <v>42</v>
      </c>
      <c r="AA55" s="0" t="s">
        <v>43</v>
      </c>
      <c r="AE55" s="1" t="s">
        <v>52</v>
      </c>
      <c r="AH55" s="1" t="s">
        <v>184</v>
      </c>
    </row>
    <row r="56" customFormat="false" ht="12.8" hidden="false" customHeight="false" outlineLevel="0" collapsed="false">
      <c r="A56" s="0" t="n">
        <v>241207</v>
      </c>
      <c r="B56" s="0" t="n">
        <v>264396</v>
      </c>
      <c r="C56" s="0" t="n">
        <v>297274</v>
      </c>
      <c r="D56" s="0" t="s">
        <v>35</v>
      </c>
      <c r="E56" s="0" t="s">
        <v>35</v>
      </c>
      <c r="F56" s="0" t="s">
        <v>36</v>
      </c>
      <c r="G56" s="0" t="s">
        <v>37</v>
      </c>
      <c r="H56" s="0" t="s">
        <v>185</v>
      </c>
      <c r="J56" s="0" t="s">
        <v>186</v>
      </c>
      <c r="L56" s="0" t="n">
        <v>800835778</v>
      </c>
      <c r="M56" s="0" t="s">
        <v>187</v>
      </c>
      <c r="N56" s="0" t="s">
        <v>188</v>
      </c>
      <c r="O56" s="0" t="s">
        <v>189</v>
      </c>
      <c r="P56" s="0" t="n">
        <v>1969</v>
      </c>
      <c r="Q56" s="0" t="s">
        <v>39</v>
      </c>
      <c r="R56" s="0" t="s">
        <v>190</v>
      </c>
      <c r="S56" s="0" t="s">
        <v>191</v>
      </c>
      <c r="V56" s="0" t="n">
        <v>1</v>
      </c>
      <c r="W56" s="0" t="n">
        <v>1</v>
      </c>
      <c r="X56" s="0" t="str">
        <f aca="false">"31811010000456"</f>
        <v>31811010000456</v>
      </c>
      <c r="Y56" s="0" t="s">
        <v>39</v>
      </c>
      <c r="Z56" s="0" t="s">
        <v>42</v>
      </c>
      <c r="AA56" s="0" t="s">
        <v>43</v>
      </c>
      <c r="AE56" s="1" t="s">
        <v>52</v>
      </c>
    </row>
    <row r="57" customFormat="false" ht="12.8" hidden="false" customHeight="false" outlineLevel="0" collapsed="false">
      <c r="A57" s="0" t="n">
        <v>229713</v>
      </c>
      <c r="B57" s="0" t="n">
        <v>251892</v>
      </c>
      <c r="C57" s="0" t="n">
        <v>283741</v>
      </c>
      <c r="D57" s="0" t="s">
        <v>35</v>
      </c>
      <c r="E57" s="0" t="s">
        <v>35</v>
      </c>
      <c r="F57" s="0" t="s">
        <v>36</v>
      </c>
      <c r="G57" s="0" t="s">
        <v>37</v>
      </c>
      <c r="H57" s="0" t="s">
        <v>192</v>
      </c>
      <c r="J57" s="0" t="s">
        <v>193</v>
      </c>
      <c r="M57" s="0" t="s">
        <v>194</v>
      </c>
      <c r="N57" s="0" t="s">
        <v>195</v>
      </c>
      <c r="O57" s="0" t="s">
        <v>196</v>
      </c>
      <c r="P57" s="0" t="n">
        <v>1960</v>
      </c>
      <c r="Q57" s="0" t="s">
        <v>39</v>
      </c>
      <c r="R57" s="0" t="s">
        <v>197</v>
      </c>
      <c r="S57" s="0" t="s">
        <v>198</v>
      </c>
      <c r="V57" s="0" t="n">
        <v>1</v>
      </c>
      <c r="W57" s="0" t="n">
        <v>1</v>
      </c>
      <c r="X57" s="0" t="str">
        <f aca="false">"31811010001595"</f>
        <v>31811010001595</v>
      </c>
      <c r="Y57" s="0" t="s">
        <v>39</v>
      </c>
      <c r="Z57" s="0" t="s">
        <v>42</v>
      </c>
      <c r="AA57" s="0" t="s">
        <v>43</v>
      </c>
      <c r="AE57" s="1" t="s">
        <v>52</v>
      </c>
    </row>
    <row r="58" customFormat="false" ht="12.8" hidden="false" customHeight="false" outlineLevel="0" collapsed="false">
      <c r="A58" s="0" t="n">
        <v>61655</v>
      </c>
      <c r="B58" s="0" t="n">
        <v>66999</v>
      </c>
      <c r="C58" s="0" t="n">
        <v>73975</v>
      </c>
      <c r="D58" s="0" t="s">
        <v>35</v>
      </c>
      <c r="E58" s="0" t="s">
        <v>35</v>
      </c>
      <c r="F58" s="0" t="s">
        <v>36</v>
      </c>
      <c r="G58" s="0" t="s">
        <v>37</v>
      </c>
      <c r="H58" s="0" t="s">
        <v>199</v>
      </c>
      <c r="I58" s="0" t="s">
        <v>200</v>
      </c>
      <c r="J58" s="0" t="s">
        <v>201</v>
      </c>
      <c r="M58" s="0" t="s">
        <v>202</v>
      </c>
      <c r="N58" s="0" t="s">
        <v>203</v>
      </c>
      <c r="O58" s="0" t="s">
        <v>204</v>
      </c>
      <c r="P58" s="0" t="n">
        <v>1957</v>
      </c>
      <c r="Q58" s="0" t="s">
        <v>39</v>
      </c>
      <c r="R58" s="0" t="s">
        <v>205</v>
      </c>
      <c r="S58" s="0" t="s">
        <v>206</v>
      </c>
      <c r="V58" s="0" t="n">
        <v>1</v>
      </c>
      <c r="W58" s="0" t="n">
        <v>1</v>
      </c>
      <c r="X58" s="0" t="str">
        <f aca="false">"31811010001538"</f>
        <v>31811010001538</v>
      </c>
      <c r="Y58" s="0" t="s">
        <v>39</v>
      </c>
      <c r="Z58" s="0" t="s">
        <v>42</v>
      </c>
      <c r="AA58" s="0" t="s">
        <v>43</v>
      </c>
      <c r="AE58" s="1" t="s">
        <v>52</v>
      </c>
    </row>
    <row r="59" customFormat="false" ht="12.8" hidden="false" customHeight="false" outlineLevel="0" collapsed="false">
      <c r="A59" s="0" t="n">
        <v>312117</v>
      </c>
      <c r="B59" s="0" t="n">
        <v>340061</v>
      </c>
      <c r="C59" s="0" t="n">
        <v>379681</v>
      </c>
      <c r="D59" s="0" t="s">
        <v>35</v>
      </c>
      <c r="E59" s="0" t="s">
        <v>35</v>
      </c>
      <c r="F59" s="0" t="s">
        <v>36</v>
      </c>
      <c r="G59" s="0" t="s">
        <v>37</v>
      </c>
      <c r="H59" s="0" t="s">
        <v>207</v>
      </c>
      <c r="J59" s="0" t="s">
        <v>208</v>
      </c>
      <c r="L59" s="0" t="n">
        <v>836914287</v>
      </c>
      <c r="M59" s="0" t="s">
        <v>209</v>
      </c>
      <c r="N59" s="0" t="s">
        <v>210</v>
      </c>
      <c r="O59" s="0" t="s">
        <v>211</v>
      </c>
      <c r="P59" s="0" t="n">
        <v>1969</v>
      </c>
      <c r="Q59" s="0" t="s">
        <v>39</v>
      </c>
      <c r="R59" s="0" t="s">
        <v>212</v>
      </c>
      <c r="S59" s="0" t="s">
        <v>213</v>
      </c>
      <c r="V59" s="0" t="n">
        <v>1</v>
      </c>
      <c r="W59" s="0" t="n">
        <v>1</v>
      </c>
      <c r="X59" s="0" t="str">
        <f aca="false">"31811010001272"</f>
        <v>31811010001272</v>
      </c>
      <c r="Y59" s="0" t="s">
        <v>39</v>
      </c>
      <c r="Z59" s="0" t="s">
        <v>42</v>
      </c>
      <c r="AA59" s="0" t="s">
        <v>43</v>
      </c>
      <c r="AE59" s="1" t="s">
        <v>52</v>
      </c>
    </row>
    <row r="60" customFormat="false" ht="12.8" hidden="false" customHeight="false" outlineLevel="0" collapsed="false">
      <c r="A60" s="0" t="n">
        <v>374415</v>
      </c>
      <c r="B60" s="0" t="n">
        <v>405277</v>
      </c>
      <c r="C60" s="0" t="n">
        <v>451475</v>
      </c>
      <c r="D60" s="0" t="s">
        <v>35</v>
      </c>
      <c r="E60" s="0" t="s">
        <v>35</v>
      </c>
      <c r="F60" s="0" t="s">
        <v>36</v>
      </c>
      <c r="G60" s="0" t="s">
        <v>37</v>
      </c>
      <c r="H60" s="0" t="s">
        <v>214</v>
      </c>
      <c r="I60" s="0" t="s">
        <v>215</v>
      </c>
      <c r="J60" s="0" t="s">
        <v>216</v>
      </c>
      <c r="M60" s="0" t="s">
        <v>217</v>
      </c>
      <c r="N60" s="0" t="s">
        <v>180</v>
      </c>
      <c r="O60" s="0" t="s">
        <v>218</v>
      </c>
      <c r="P60" s="0" t="n">
        <v>1961</v>
      </c>
      <c r="Q60" s="0" t="s">
        <v>39</v>
      </c>
      <c r="R60" s="0" t="s">
        <v>219</v>
      </c>
      <c r="S60" s="0" t="s">
        <v>220</v>
      </c>
      <c r="V60" s="0" t="n">
        <v>1</v>
      </c>
      <c r="W60" s="0" t="n">
        <v>1</v>
      </c>
      <c r="X60" s="0" t="str">
        <f aca="false">"31811010001314"</f>
        <v>31811010001314</v>
      </c>
      <c r="Y60" s="0" t="s">
        <v>39</v>
      </c>
      <c r="Z60" s="0" t="s">
        <v>42</v>
      </c>
      <c r="AA60" s="0" t="s">
        <v>43</v>
      </c>
      <c r="AE60" s="1" t="s">
        <v>52</v>
      </c>
    </row>
    <row r="61" customFormat="false" ht="12.8" hidden="false" customHeight="false" outlineLevel="0" collapsed="false">
      <c r="A61" s="0" t="n">
        <v>181620</v>
      </c>
      <c r="B61" s="0" t="n">
        <v>198678</v>
      </c>
      <c r="C61" s="0" t="n">
        <v>223399</v>
      </c>
      <c r="D61" s="0" t="s">
        <v>35</v>
      </c>
      <c r="E61" s="0" t="s">
        <v>35</v>
      </c>
      <c r="F61" s="0" t="s">
        <v>36</v>
      </c>
      <c r="G61" s="0" t="s">
        <v>37</v>
      </c>
      <c r="H61" s="0" t="s">
        <v>221</v>
      </c>
      <c r="J61" s="0" t="s">
        <v>222</v>
      </c>
      <c r="M61" s="0" t="s">
        <v>223</v>
      </c>
      <c r="N61" s="0" t="n">
        <v>1942</v>
      </c>
      <c r="O61" s="0" t="s">
        <v>224</v>
      </c>
      <c r="P61" s="0" t="n">
        <v>1942</v>
      </c>
      <c r="Q61" s="0" t="s">
        <v>39</v>
      </c>
      <c r="R61" s="0" t="s">
        <v>225</v>
      </c>
      <c r="S61" s="0" t="s">
        <v>226</v>
      </c>
      <c r="V61" s="0" t="n">
        <v>1</v>
      </c>
      <c r="W61" s="0" t="n">
        <v>1</v>
      </c>
      <c r="X61" s="0" t="str">
        <f aca="false">"31811010000126"</f>
        <v>31811010000126</v>
      </c>
      <c r="Y61" s="0" t="s">
        <v>39</v>
      </c>
      <c r="Z61" s="0" t="s">
        <v>42</v>
      </c>
      <c r="AA61" s="0" t="s">
        <v>43</v>
      </c>
      <c r="AE61" s="1" t="s">
        <v>52</v>
      </c>
    </row>
    <row r="62" customFormat="false" ht="12.8" hidden="false" customHeight="false" outlineLevel="0" collapsed="false">
      <c r="A62" s="0" t="n">
        <v>160610</v>
      </c>
      <c r="B62" s="0" t="n">
        <v>174719</v>
      </c>
      <c r="C62" s="0" t="n">
        <v>195885</v>
      </c>
      <c r="D62" s="0" t="s">
        <v>35</v>
      </c>
      <c r="E62" s="0" t="s">
        <v>35</v>
      </c>
      <c r="F62" s="0" t="s">
        <v>36</v>
      </c>
      <c r="G62" s="0" t="s">
        <v>227</v>
      </c>
      <c r="H62" s="0" t="s">
        <v>228</v>
      </c>
      <c r="I62" s="0" t="s">
        <v>229</v>
      </c>
      <c r="J62" s="0" t="s">
        <v>230</v>
      </c>
      <c r="K62" s="0" t="s">
        <v>231</v>
      </c>
      <c r="M62" s="0" t="s">
        <v>232</v>
      </c>
      <c r="N62" s="0" t="n">
        <v>1962</v>
      </c>
      <c r="O62" s="0" t="s">
        <v>233</v>
      </c>
      <c r="P62" s="0" t="n">
        <v>1962</v>
      </c>
      <c r="Q62" s="0" t="s">
        <v>39</v>
      </c>
      <c r="R62" s="0" t="s">
        <v>234</v>
      </c>
      <c r="S62" s="0" t="s">
        <v>235</v>
      </c>
      <c r="V62" s="0" t="n">
        <v>1</v>
      </c>
      <c r="W62" s="0" t="n">
        <v>1</v>
      </c>
      <c r="X62" s="0" t="str">
        <f aca="false">"31811010758731"</f>
        <v>31811010758731</v>
      </c>
      <c r="Y62" s="0" t="s">
        <v>39</v>
      </c>
      <c r="Z62" s="0" t="s">
        <v>42</v>
      </c>
      <c r="AA62" s="0" t="s">
        <v>43</v>
      </c>
      <c r="AE62" s="1" t="s">
        <v>52</v>
      </c>
    </row>
    <row r="63" customFormat="false" ht="12.8" hidden="false" customHeight="false" outlineLevel="0" collapsed="false">
      <c r="A63" s="0" t="n">
        <v>304592</v>
      </c>
      <c r="B63" s="0" t="n">
        <v>332150</v>
      </c>
      <c r="C63" s="0" t="n">
        <v>370862</v>
      </c>
      <c r="D63" s="0" t="s">
        <v>35</v>
      </c>
      <c r="E63" s="0" t="s">
        <v>35</v>
      </c>
      <c r="F63" s="0" t="s">
        <v>36</v>
      </c>
      <c r="G63" s="0" t="s">
        <v>227</v>
      </c>
      <c r="H63" s="0" t="s">
        <v>236</v>
      </c>
      <c r="I63" s="0" t="s">
        <v>237</v>
      </c>
      <c r="J63" s="0" t="s">
        <v>236</v>
      </c>
      <c r="M63" s="0" t="s">
        <v>238</v>
      </c>
      <c r="N63" s="0" t="s">
        <v>239</v>
      </c>
      <c r="O63" s="0" t="s">
        <v>240</v>
      </c>
      <c r="P63" s="0" t="n">
        <v>1900</v>
      </c>
      <c r="Q63" s="0" t="s">
        <v>39</v>
      </c>
      <c r="R63" s="0" t="s">
        <v>241</v>
      </c>
      <c r="S63" s="0" t="s">
        <v>242</v>
      </c>
      <c r="T63" s="0" t="s">
        <v>51</v>
      </c>
      <c r="V63" s="0" t="n">
        <v>1</v>
      </c>
      <c r="W63" s="0" t="n">
        <v>1</v>
      </c>
      <c r="X63" s="0" t="str">
        <f aca="false">"31811010750365"</f>
        <v>31811010750365</v>
      </c>
      <c r="Y63" s="0" t="s">
        <v>39</v>
      </c>
      <c r="Z63" s="0" t="s">
        <v>42</v>
      </c>
      <c r="AA63" s="0" t="s">
        <v>43</v>
      </c>
      <c r="AE63" s="1" t="s">
        <v>52</v>
      </c>
    </row>
    <row r="64" customFormat="false" ht="12.8" hidden="false" customHeight="false" outlineLevel="0" collapsed="false">
      <c r="A64" s="0" t="n">
        <v>304592</v>
      </c>
      <c r="B64" s="0" t="n">
        <v>332150</v>
      </c>
      <c r="C64" s="0" t="n">
        <v>370863</v>
      </c>
      <c r="D64" s="0" t="s">
        <v>35</v>
      </c>
      <c r="E64" s="0" t="s">
        <v>35</v>
      </c>
      <c r="F64" s="0" t="s">
        <v>36</v>
      </c>
      <c r="G64" s="0" t="s">
        <v>227</v>
      </c>
      <c r="H64" s="0" t="s">
        <v>236</v>
      </c>
      <c r="I64" s="0" t="s">
        <v>237</v>
      </c>
      <c r="J64" s="0" t="s">
        <v>236</v>
      </c>
      <c r="M64" s="0" t="s">
        <v>238</v>
      </c>
      <c r="N64" s="0" t="s">
        <v>239</v>
      </c>
      <c r="O64" s="0" t="s">
        <v>240</v>
      </c>
      <c r="P64" s="0" t="n">
        <v>1900</v>
      </c>
      <c r="Q64" s="0" t="s">
        <v>39</v>
      </c>
      <c r="R64" s="0" t="s">
        <v>241</v>
      </c>
      <c r="S64" s="0" t="s">
        <v>242</v>
      </c>
      <c r="T64" s="0" t="s">
        <v>53</v>
      </c>
      <c r="V64" s="0" t="n">
        <v>1</v>
      </c>
      <c r="W64" s="0" t="n">
        <v>1</v>
      </c>
      <c r="X64" s="0" t="str">
        <f aca="false">"31811010750290"</f>
        <v>31811010750290</v>
      </c>
      <c r="Y64" s="0" t="s">
        <v>39</v>
      </c>
      <c r="Z64" s="0" t="s">
        <v>42</v>
      </c>
      <c r="AA64" s="0" t="s">
        <v>43</v>
      </c>
      <c r="AE64" s="1" t="s">
        <v>52</v>
      </c>
    </row>
    <row r="65" customFormat="false" ht="12.8" hidden="false" customHeight="false" outlineLevel="0" collapsed="false">
      <c r="A65" s="0" t="n">
        <v>304592</v>
      </c>
      <c r="B65" s="0" t="n">
        <v>332150</v>
      </c>
      <c r="C65" s="0" t="n">
        <v>370864</v>
      </c>
      <c r="D65" s="0" t="s">
        <v>35</v>
      </c>
      <c r="E65" s="0" t="s">
        <v>35</v>
      </c>
      <c r="F65" s="0" t="s">
        <v>36</v>
      </c>
      <c r="G65" s="0" t="s">
        <v>227</v>
      </c>
      <c r="H65" s="0" t="s">
        <v>236</v>
      </c>
      <c r="I65" s="0" t="s">
        <v>237</v>
      </c>
      <c r="J65" s="0" t="s">
        <v>236</v>
      </c>
      <c r="M65" s="0" t="s">
        <v>238</v>
      </c>
      <c r="N65" s="0" t="s">
        <v>239</v>
      </c>
      <c r="O65" s="0" t="s">
        <v>240</v>
      </c>
      <c r="P65" s="0" t="n">
        <v>1900</v>
      </c>
      <c r="Q65" s="0" t="s">
        <v>39</v>
      </c>
      <c r="R65" s="0" t="s">
        <v>241</v>
      </c>
      <c r="S65" s="0" t="s">
        <v>242</v>
      </c>
      <c r="T65" s="0" t="s">
        <v>243</v>
      </c>
      <c r="V65" s="0" t="n">
        <v>1</v>
      </c>
      <c r="W65" s="0" t="n">
        <v>1</v>
      </c>
      <c r="X65" s="0" t="str">
        <f aca="false">"31811010750258"</f>
        <v>31811010750258</v>
      </c>
      <c r="Y65" s="0" t="s">
        <v>39</v>
      </c>
      <c r="Z65" s="0" t="s">
        <v>42</v>
      </c>
      <c r="AA65" s="0" t="s">
        <v>43</v>
      </c>
      <c r="AE65" s="1" t="s">
        <v>52</v>
      </c>
    </row>
    <row r="66" customFormat="false" ht="12.8" hidden="false" customHeight="false" outlineLevel="0" collapsed="false">
      <c r="A66" s="0" t="n">
        <v>82865</v>
      </c>
      <c r="B66" s="0" t="n">
        <v>89704</v>
      </c>
      <c r="C66" s="0" t="n">
        <v>100823</v>
      </c>
      <c r="D66" s="0" t="s">
        <v>35</v>
      </c>
      <c r="E66" s="0" t="s">
        <v>35</v>
      </c>
      <c r="F66" s="0" t="s">
        <v>36</v>
      </c>
      <c r="G66" s="0" t="s">
        <v>37</v>
      </c>
      <c r="H66" s="0" t="s">
        <v>244</v>
      </c>
      <c r="I66" s="0" t="s">
        <v>245</v>
      </c>
      <c r="J66" s="0" t="s">
        <v>246</v>
      </c>
      <c r="L66" s="0" t="n">
        <v>231052863</v>
      </c>
      <c r="M66" s="0" t="s">
        <v>247</v>
      </c>
      <c r="N66" s="0" t="n">
        <v>1982</v>
      </c>
      <c r="O66" s="0" t="s">
        <v>248</v>
      </c>
      <c r="P66" s="0" t="n">
        <v>1982</v>
      </c>
      <c r="Q66" s="0" t="s">
        <v>39</v>
      </c>
      <c r="R66" s="0" t="s">
        <v>249</v>
      </c>
      <c r="S66" s="0" t="s">
        <v>250</v>
      </c>
      <c r="V66" s="0" t="n">
        <v>1</v>
      </c>
      <c r="W66" s="0" t="n">
        <v>1</v>
      </c>
      <c r="X66" s="0" t="str">
        <f aca="false">"31811010750217"</f>
        <v>31811010750217</v>
      </c>
      <c r="Y66" s="0" t="s">
        <v>39</v>
      </c>
      <c r="Z66" s="0" t="s">
        <v>42</v>
      </c>
      <c r="AA66" s="0" t="s">
        <v>43</v>
      </c>
      <c r="AE66" s="1" t="s">
        <v>52</v>
      </c>
    </row>
    <row r="67" customFormat="false" ht="12.8" hidden="false" customHeight="false" outlineLevel="0" collapsed="false">
      <c r="A67" s="0" t="n">
        <v>369458</v>
      </c>
      <c r="B67" s="0" t="n">
        <v>399338</v>
      </c>
      <c r="C67" s="0" t="n">
        <v>444515</v>
      </c>
      <c r="D67" s="0" t="s">
        <v>35</v>
      </c>
      <c r="E67" s="0" t="s">
        <v>35</v>
      </c>
      <c r="F67" s="0" t="s">
        <v>36</v>
      </c>
      <c r="G67" s="0" t="s">
        <v>37</v>
      </c>
      <c r="H67" s="0" t="s">
        <v>251</v>
      </c>
      <c r="I67" s="0" t="s">
        <v>252</v>
      </c>
      <c r="J67" s="0" t="s">
        <v>253</v>
      </c>
      <c r="L67" s="0" t="s">
        <v>254</v>
      </c>
      <c r="M67" s="0" t="s">
        <v>255</v>
      </c>
      <c r="N67" s="0" t="n">
        <v>1989</v>
      </c>
      <c r="O67" s="0" t="s">
        <v>256</v>
      </c>
      <c r="P67" s="0" t="n">
        <v>1989</v>
      </c>
      <c r="Q67" s="0" t="s">
        <v>39</v>
      </c>
      <c r="R67" s="0" t="s">
        <v>257</v>
      </c>
      <c r="S67" s="0" t="s">
        <v>258</v>
      </c>
      <c r="V67" s="0" t="n">
        <v>4</v>
      </c>
      <c r="W67" s="0" t="n">
        <v>1</v>
      </c>
      <c r="X67" s="0" t="str">
        <f aca="false">"31811010000761"</f>
        <v>31811010000761</v>
      </c>
      <c r="Y67" s="0" t="s">
        <v>39</v>
      </c>
      <c r="Z67" s="0" t="s">
        <v>42</v>
      </c>
      <c r="AA67" s="0" t="s">
        <v>43</v>
      </c>
      <c r="AE67" s="1" t="s">
        <v>52</v>
      </c>
      <c r="AH67" s="1" t="s">
        <v>259</v>
      </c>
    </row>
    <row r="68" customFormat="false" ht="12.8" hidden="false" customHeight="false" outlineLevel="0" collapsed="false">
      <c r="A68" s="0" t="n">
        <v>134663</v>
      </c>
      <c r="B68" s="0" t="n">
        <v>145090</v>
      </c>
      <c r="C68" s="0" t="n">
        <v>161390</v>
      </c>
      <c r="D68" s="0" t="s">
        <v>35</v>
      </c>
      <c r="E68" s="0" t="s">
        <v>35</v>
      </c>
      <c r="F68" s="0" t="s">
        <v>36</v>
      </c>
      <c r="G68" s="0" t="s">
        <v>37</v>
      </c>
      <c r="H68" s="0" t="s">
        <v>260</v>
      </c>
      <c r="I68" s="0" t="s">
        <v>261</v>
      </c>
      <c r="J68" s="0" t="s">
        <v>262</v>
      </c>
      <c r="L68" s="0" t="n">
        <v>879753935</v>
      </c>
      <c r="M68" s="0" t="s">
        <v>263</v>
      </c>
      <c r="N68" s="0" t="s">
        <v>264</v>
      </c>
      <c r="O68" s="0" t="s">
        <v>265</v>
      </c>
      <c r="P68" s="0" t="n">
        <v>1987</v>
      </c>
      <c r="Q68" s="0" t="s">
        <v>39</v>
      </c>
      <c r="R68" s="0" t="s">
        <v>266</v>
      </c>
      <c r="S68" s="0" t="s">
        <v>267</v>
      </c>
      <c r="V68" s="0" t="n">
        <v>1</v>
      </c>
      <c r="W68" s="0" t="n">
        <v>1</v>
      </c>
      <c r="X68" s="0" t="str">
        <f aca="false">"31811010000704"</f>
        <v>31811010000704</v>
      </c>
      <c r="Y68" s="0" t="s">
        <v>39</v>
      </c>
      <c r="Z68" s="0" t="s">
        <v>42</v>
      </c>
      <c r="AA68" s="0" t="s">
        <v>43</v>
      </c>
      <c r="AE68" s="1" t="s">
        <v>52</v>
      </c>
      <c r="AH68" s="1" t="s">
        <v>268</v>
      </c>
    </row>
    <row r="69" customFormat="false" ht="12.8" hidden="false" customHeight="false" outlineLevel="0" collapsed="false">
      <c r="A69" s="0" t="n">
        <v>219851</v>
      </c>
      <c r="B69" s="0" t="n">
        <v>241157</v>
      </c>
      <c r="C69" s="0" t="n">
        <v>271772</v>
      </c>
      <c r="D69" s="0" t="s">
        <v>35</v>
      </c>
      <c r="E69" s="0" t="s">
        <v>35</v>
      </c>
      <c r="F69" s="0" t="s">
        <v>36</v>
      </c>
      <c r="G69" s="0" t="s">
        <v>37</v>
      </c>
      <c r="H69" s="0" t="s">
        <v>269</v>
      </c>
      <c r="I69" s="0" t="s">
        <v>270</v>
      </c>
      <c r="J69" s="0" t="s">
        <v>271</v>
      </c>
      <c r="K69" s="0" t="s">
        <v>272</v>
      </c>
      <c r="L69" s="0" t="s">
        <v>273</v>
      </c>
      <c r="M69" s="0" t="s">
        <v>274</v>
      </c>
      <c r="N69" s="0" t="s">
        <v>275</v>
      </c>
      <c r="O69" s="0" t="s">
        <v>276</v>
      </c>
      <c r="P69" s="0" t="n">
        <v>1981</v>
      </c>
      <c r="Q69" s="0" t="s">
        <v>39</v>
      </c>
      <c r="R69" s="0" t="s">
        <v>277</v>
      </c>
      <c r="S69" s="0" t="s">
        <v>278</v>
      </c>
      <c r="V69" s="0" t="n">
        <v>1</v>
      </c>
      <c r="W69" s="0" t="n">
        <v>1</v>
      </c>
      <c r="X69" s="0" t="str">
        <f aca="false">"31811010000928"</f>
        <v>31811010000928</v>
      </c>
      <c r="Y69" s="0" t="s">
        <v>39</v>
      </c>
      <c r="Z69" s="0" t="s">
        <v>42</v>
      </c>
      <c r="AA69" s="0" t="s">
        <v>43</v>
      </c>
      <c r="AE69" s="1" t="s">
        <v>52</v>
      </c>
    </row>
    <row r="70" customFormat="false" ht="12.8" hidden="false" customHeight="false" outlineLevel="0" collapsed="false">
      <c r="A70" s="0" t="n">
        <v>480644</v>
      </c>
      <c r="B70" s="0" t="n">
        <v>512926</v>
      </c>
      <c r="C70" s="0" t="n">
        <v>575633</v>
      </c>
      <c r="D70" s="0" t="s">
        <v>35</v>
      </c>
      <c r="E70" s="0" t="s">
        <v>35</v>
      </c>
      <c r="F70" s="0" t="s">
        <v>36</v>
      </c>
      <c r="G70" s="0" t="s">
        <v>37</v>
      </c>
      <c r="H70" s="0" t="s">
        <v>279</v>
      </c>
      <c r="I70" s="0" t="s">
        <v>280</v>
      </c>
      <c r="J70" s="0" t="s">
        <v>279</v>
      </c>
      <c r="M70" s="0" t="s">
        <v>281</v>
      </c>
      <c r="N70" s="0" t="s">
        <v>282</v>
      </c>
      <c r="O70" s="0" t="s">
        <v>283</v>
      </c>
      <c r="P70" s="0" t="n">
        <v>1963</v>
      </c>
      <c r="Q70" s="0" t="s">
        <v>39</v>
      </c>
      <c r="R70" s="0" t="s">
        <v>284</v>
      </c>
      <c r="S70" s="0" t="s">
        <v>285</v>
      </c>
      <c r="V70" s="0" t="n">
        <v>1</v>
      </c>
      <c r="W70" s="0" t="n">
        <v>1</v>
      </c>
      <c r="X70" s="0" t="str">
        <f aca="false">"31811010001066"</f>
        <v>31811010001066</v>
      </c>
      <c r="Y70" s="0" t="s">
        <v>39</v>
      </c>
      <c r="Z70" s="0" t="s">
        <v>42</v>
      </c>
      <c r="AA70" s="0" t="s">
        <v>43</v>
      </c>
      <c r="AE70" s="1" t="s">
        <v>52</v>
      </c>
    </row>
    <row r="71" customFormat="false" ht="12.8" hidden="false" customHeight="false" outlineLevel="0" collapsed="false">
      <c r="A71" s="0" t="n">
        <v>363514</v>
      </c>
      <c r="B71" s="0" t="n">
        <v>393180</v>
      </c>
      <c r="C71" s="0" t="n">
        <v>437131</v>
      </c>
      <c r="D71" s="0" t="s">
        <v>35</v>
      </c>
      <c r="E71" s="0" t="s">
        <v>35</v>
      </c>
      <c r="F71" s="0" t="s">
        <v>36</v>
      </c>
      <c r="G71" s="0" t="s">
        <v>37</v>
      </c>
      <c r="H71" s="0" t="s">
        <v>286</v>
      </c>
      <c r="I71" s="0" t="s">
        <v>287</v>
      </c>
      <c r="J71" s="0" t="s">
        <v>288</v>
      </c>
      <c r="M71" s="0" t="s">
        <v>289</v>
      </c>
      <c r="N71" s="0" t="n">
        <v>1935</v>
      </c>
      <c r="O71" s="0" t="s">
        <v>290</v>
      </c>
      <c r="P71" s="0" t="n">
        <v>1935</v>
      </c>
      <c r="Q71" s="0" t="s">
        <v>39</v>
      </c>
      <c r="R71" s="0" t="s">
        <v>291</v>
      </c>
      <c r="S71" s="0" t="s">
        <v>292</v>
      </c>
      <c r="V71" s="0" t="n">
        <v>1</v>
      </c>
      <c r="W71" s="0" t="n">
        <v>1</v>
      </c>
      <c r="X71" s="0" t="str">
        <f aca="false">"31811010001819"</f>
        <v>31811010001819</v>
      </c>
      <c r="Y71" s="0" t="s">
        <v>39</v>
      </c>
      <c r="Z71" s="0" t="s">
        <v>42</v>
      </c>
      <c r="AA71" s="0" t="s">
        <v>43</v>
      </c>
      <c r="AE71" s="1" t="s">
        <v>52</v>
      </c>
    </row>
    <row r="72" customFormat="false" ht="12.8" hidden="false" customHeight="false" outlineLevel="0" collapsed="false">
      <c r="A72" s="0" t="n">
        <v>217079</v>
      </c>
      <c r="B72" s="0" t="n">
        <v>238127</v>
      </c>
      <c r="C72" s="0" t="n">
        <v>268312</v>
      </c>
      <c r="D72" s="0" t="s">
        <v>35</v>
      </c>
      <c r="E72" s="0" t="s">
        <v>35</v>
      </c>
      <c r="F72" s="0" t="s">
        <v>36</v>
      </c>
      <c r="G72" s="0" t="s">
        <v>37</v>
      </c>
      <c r="H72" s="0" t="s">
        <v>293</v>
      </c>
      <c r="I72" s="0" t="s">
        <v>294</v>
      </c>
      <c r="J72" s="0" t="s">
        <v>293</v>
      </c>
      <c r="M72" s="0" t="s">
        <v>295</v>
      </c>
      <c r="N72" s="0" t="s">
        <v>296</v>
      </c>
      <c r="O72" s="0" t="s">
        <v>297</v>
      </c>
      <c r="P72" s="0" t="n">
        <v>1970</v>
      </c>
      <c r="Q72" s="0" t="s">
        <v>39</v>
      </c>
      <c r="R72" s="0" t="s">
        <v>298</v>
      </c>
      <c r="S72" s="0" t="s">
        <v>299</v>
      </c>
      <c r="V72" s="0" t="n">
        <v>1</v>
      </c>
      <c r="W72" s="0" t="n">
        <v>1</v>
      </c>
      <c r="X72" s="0" t="str">
        <f aca="false">"31811010001421"</f>
        <v>31811010001421</v>
      </c>
      <c r="Y72" s="0" t="s">
        <v>39</v>
      </c>
      <c r="Z72" s="0" t="s">
        <v>42</v>
      </c>
      <c r="AA72" s="0" t="s">
        <v>43</v>
      </c>
      <c r="AE72" s="1" t="s">
        <v>52</v>
      </c>
      <c r="AH72" s="1" t="s">
        <v>300</v>
      </c>
    </row>
    <row r="73" customFormat="false" ht="12.8" hidden="false" customHeight="false" outlineLevel="0" collapsed="false">
      <c r="A73" s="0" t="n">
        <v>355829</v>
      </c>
      <c r="B73" s="0" t="n">
        <v>385247</v>
      </c>
      <c r="C73" s="0" t="n">
        <v>428641</v>
      </c>
      <c r="D73" s="0" t="s">
        <v>35</v>
      </c>
      <c r="E73" s="0" t="s">
        <v>35</v>
      </c>
      <c r="F73" s="0" t="s">
        <v>36</v>
      </c>
      <c r="G73" s="0" t="s">
        <v>37</v>
      </c>
      <c r="H73" s="0" t="s">
        <v>301</v>
      </c>
      <c r="I73" s="0" t="s">
        <v>302</v>
      </c>
      <c r="J73" s="0" t="s">
        <v>301</v>
      </c>
      <c r="M73" s="0" t="s">
        <v>303</v>
      </c>
      <c r="N73" s="0" t="n">
        <v>1967</v>
      </c>
      <c r="O73" s="0" t="s">
        <v>304</v>
      </c>
      <c r="P73" s="0" t="n">
        <v>1967</v>
      </c>
      <c r="Q73" s="0" t="s">
        <v>39</v>
      </c>
      <c r="R73" s="0" t="s">
        <v>305</v>
      </c>
      <c r="S73" s="0" t="s">
        <v>306</v>
      </c>
      <c r="V73" s="0" t="n">
        <v>1</v>
      </c>
      <c r="W73" s="0" t="n">
        <v>1</v>
      </c>
      <c r="X73" s="0" t="str">
        <f aca="false">"31811010001439"</f>
        <v>31811010001439</v>
      </c>
      <c r="Y73" s="0" t="s">
        <v>39</v>
      </c>
      <c r="Z73" s="0" t="s">
        <v>42</v>
      </c>
      <c r="AA73" s="0" t="s">
        <v>43</v>
      </c>
      <c r="AE73" s="1" t="s">
        <v>52</v>
      </c>
    </row>
    <row r="74" customFormat="false" ht="12.8" hidden="false" customHeight="false" outlineLevel="0" collapsed="false">
      <c r="A74" s="0" t="n">
        <v>52776</v>
      </c>
      <c r="B74" s="0" t="n">
        <v>57175</v>
      </c>
      <c r="C74" s="0" t="n">
        <v>62925</v>
      </c>
      <c r="D74" s="0" t="s">
        <v>35</v>
      </c>
      <c r="E74" s="0" t="s">
        <v>35</v>
      </c>
      <c r="F74" s="0" t="s">
        <v>36</v>
      </c>
      <c r="G74" s="0" t="s">
        <v>37</v>
      </c>
      <c r="H74" s="0" t="s">
        <v>307</v>
      </c>
      <c r="I74" s="0" t="s">
        <v>308</v>
      </c>
      <c r="J74" s="0" t="s">
        <v>307</v>
      </c>
      <c r="M74" s="0" t="s">
        <v>309</v>
      </c>
      <c r="N74" s="0" t="n">
        <v>1967</v>
      </c>
      <c r="O74" s="0" t="s">
        <v>310</v>
      </c>
      <c r="P74" s="0" t="n">
        <v>1967</v>
      </c>
      <c r="Q74" s="0" t="s">
        <v>39</v>
      </c>
      <c r="R74" s="0" t="s">
        <v>311</v>
      </c>
      <c r="S74" s="0" t="s">
        <v>312</v>
      </c>
      <c r="V74" s="0" t="n">
        <v>1</v>
      </c>
      <c r="W74" s="0" t="n">
        <v>1</v>
      </c>
      <c r="X74" s="0" t="str">
        <f aca="false">"31811010001447"</f>
        <v>31811010001447</v>
      </c>
      <c r="Y74" s="0" t="s">
        <v>39</v>
      </c>
      <c r="Z74" s="0" t="s">
        <v>42</v>
      </c>
      <c r="AA74" s="0" t="s">
        <v>43</v>
      </c>
      <c r="AE74" s="1" t="s">
        <v>52</v>
      </c>
    </row>
    <row r="75" customFormat="false" ht="12.8" hidden="false" customHeight="false" outlineLevel="0" collapsed="false">
      <c r="A75" s="0" t="n">
        <v>373981</v>
      </c>
      <c r="B75" s="0" t="n">
        <v>404745</v>
      </c>
      <c r="C75" s="0" t="n">
        <v>450867</v>
      </c>
      <c r="D75" s="0" t="s">
        <v>35</v>
      </c>
      <c r="E75" s="0" t="s">
        <v>35</v>
      </c>
      <c r="F75" s="0" t="s">
        <v>36</v>
      </c>
      <c r="G75" s="0" t="s">
        <v>37</v>
      </c>
      <c r="H75" s="0" t="s">
        <v>313</v>
      </c>
      <c r="I75" s="0" t="s">
        <v>308</v>
      </c>
      <c r="J75" s="0" t="s">
        <v>314</v>
      </c>
      <c r="M75" s="0" t="s">
        <v>315</v>
      </c>
      <c r="N75" s="0" t="n">
        <v>1964</v>
      </c>
      <c r="O75" s="0" t="s">
        <v>316</v>
      </c>
      <c r="P75" s="0" t="n">
        <v>1964</v>
      </c>
      <c r="Q75" s="0" t="s">
        <v>39</v>
      </c>
      <c r="R75" s="0" t="s">
        <v>317</v>
      </c>
      <c r="S75" s="0" t="s">
        <v>318</v>
      </c>
      <c r="V75" s="0" t="n">
        <v>1</v>
      </c>
      <c r="W75" s="0" t="n">
        <v>1</v>
      </c>
      <c r="X75" s="0" t="str">
        <f aca="false">"31811010001405"</f>
        <v>31811010001405</v>
      </c>
      <c r="Y75" s="0" t="s">
        <v>39</v>
      </c>
      <c r="Z75" s="0" t="s">
        <v>42</v>
      </c>
      <c r="AA75" s="0" t="s">
        <v>43</v>
      </c>
      <c r="AE75" s="1" t="s">
        <v>52</v>
      </c>
    </row>
    <row r="76" customFormat="false" ht="12.8" hidden="false" customHeight="false" outlineLevel="0" collapsed="false">
      <c r="A76" s="0" t="n">
        <v>371810</v>
      </c>
      <c r="B76" s="0" t="n">
        <v>402078</v>
      </c>
      <c r="C76" s="0" t="n">
        <v>447794</v>
      </c>
      <c r="D76" s="0" t="s">
        <v>35</v>
      </c>
      <c r="E76" s="0" t="s">
        <v>35</v>
      </c>
      <c r="F76" s="0" t="s">
        <v>36</v>
      </c>
      <c r="G76" s="0" t="s">
        <v>37</v>
      </c>
      <c r="H76" s="0" t="s">
        <v>319</v>
      </c>
      <c r="I76" s="0" t="s">
        <v>308</v>
      </c>
      <c r="J76" s="0" t="s">
        <v>319</v>
      </c>
      <c r="M76" s="0" t="s">
        <v>320</v>
      </c>
      <c r="N76" s="0" t="n">
        <v>1970</v>
      </c>
      <c r="O76" s="0" t="s">
        <v>310</v>
      </c>
      <c r="P76" s="0" t="n">
        <v>1970</v>
      </c>
      <c r="Q76" s="0" t="s">
        <v>39</v>
      </c>
      <c r="R76" s="0" t="s">
        <v>321</v>
      </c>
      <c r="S76" s="0" t="s">
        <v>322</v>
      </c>
      <c r="V76" s="0" t="n">
        <v>1</v>
      </c>
      <c r="W76" s="0" t="n">
        <v>1</v>
      </c>
      <c r="X76" s="0" t="str">
        <f aca="false">"31811010001397"</f>
        <v>31811010001397</v>
      </c>
      <c r="Y76" s="0" t="s">
        <v>39</v>
      </c>
      <c r="Z76" s="0" t="s">
        <v>42</v>
      </c>
      <c r="AA76" s="0" t="s">
        <v>43</v>
      </c>
      <c r="AE76" s="1" t="s">
        <v>52</v>
      </c>
    </row>
    <row r="77" customFormat="false" ht="12.8" hidden="false" customHeight="false" outlineLevel="0" collapsed="false">
      <c r="A77" s="0" t="n">
        <v>173599</v>
      </c>
      <c r="B77" s="0" t="n">
        <v>189660</v>
      </c>
      <c r="C77" s="0" t="n">
        <v>212887</v>
      </c>
      <c r="D77" s="0" t="s">
        <v>35</v>
      </c>
      <c r="E77" s="0" t="s">
        <v>35</v>
      </c>
      <c r="F77" s="0" t="s">
        <v>36</v>
      </c>
      <c r="G77" s="0" t="s">
        <v>37</v>
      </c>
      <c r="H77" s="0" t="s">
        <v>323</v>
      </c>
      <c r="I77" s="0" t="s">
        <v>324</v>
      </c>
      <c r="J77" s="0" t="s">
        <v>323</v>
      </c>
      <c r="L77" s="0" t="n">
        <v>670227544</v>
      </c>
      <c r="M77" s="0" t="s">
        <v>325</v>
      </c>
      <c r="N77" s="0" t="s">
        <v>326</v>
      </c>
      <c r="O77" s="0" t="s">
        <v>327</v>
      </c>
      <c r="P77" s="0" t="n">
        <v>1973</v>
      </c>
      <c r="Q77" s="0" t="s">
        <v>39</v>
      </c>
      <c r="R77" s="0" t="s">
        <v>328</v>
      </c>
      <c r="S77" s="0" t="s">
        <v>329</v>
      </c>
      <c r="V77" s="0" t="n">
        <v>1</v>
      </c>
      <c r="W77" s="0" t="n">
        <v>1</v>
      </c>
      <c r="X77" s="0" t="str">
        <f aca="false">"31811010001330"</f>
        <v>31811010001330</v>
      </c>
      <c r="Y77" s="0" t="s">
        <v>39</v>
      </c>
      <c r="Z77" s="0" t="s">
        <v>42</v>
      </c>
      <c r="AA77" s="0" t="s">
        <v>43</v>
      </c>
      <c r="AE77" s="1" t="s">
        <v>52</v>
      </c>
    </row>
    <row r="78" customFormat="false" ht="12.8" hidden="false" customHeight="false" outlineLevel="0" collapsed="false">
      <c r="A78" s="0" t="n">
        <v>274250</v>
      </c>
      <c r="B78" s="0" t="n">
        <v>300059</v>
      </c>
      <c r="C78" s="0" t="n">
        <v>336409</v>
      </c>
      <c r="D78" s="0" t="s">
        <v>35</v>
      </c>
      <c r="E78" s="0" t="s">
        <v>35</v>
      </c>
      <c r="F78" s="0" t="s">
        <v>36</v>
      </c>
      <c r="G78" s="0" t="s">
        <v>37</v>
      </c>
      <c r="H78" s="0" t="s">
        <v>330</v>
      </c>
      <c r="I78" s="0" t="s">
        <v>331</v>
      </c>
      <c r="J78" s="0" t="s">
        <v>330</v>
      </c>
      <c r="M78" s="0" t="s">
        <v>332</v>
      </c>
      <c r="N78" s="0" t="s">
        <v>333</v>
      </c>
      <c r="O78" s="0" t="s">
        <v>211</v>
      </c>
      <c r="P78" s="0" t="n">
        <v>1968</v>
      </c>
      <c r="Q78" s="0" t="s">
        <v>39</v>
      </c>
      <c r="R78" s="0" t="s">
        <v>334</v>
      </c>
      <c r="S78" s="0" t="s">
        <v>335</v>
      </c>
      <c r="V78" s="0" t="n">
        <v>1</v>
      </c>
      <c r="W78" s="0" t="n">
        <v>1</v>
      </c>
      <c r="X78" s="0" t="str">
        <f aca="false">"31811010000605"</f>
        <v>31811010000605</v>
      </c>
      <c r="Y78" s="0" t="s">
        <v>39</v>
      </c>
      <c r="Z78" s="0" t="s">
        <v>42</v>
      </c>
      <c r="AA78" s="0" t="s">
        <v>43</v>
      </c>
      <c r="AE78" s="1" t="s">
        <v>52</v>
      </c>
    </row>
    <row r="79" customFormat="false" ht="12.8" hidden="false" customHeight="false" outlineLevel="0" collapsed="false">
      <c r="A79" s="0" t="n">
        <v>156012</v>
      </c>
      <c r="B79" s="0" t="n">
        <v>169502</v>
      </c>
      <c r="C79" s="0" t="n">
        <v>189994</v>
      </c>
      <c r="D79" s="0" t="s">
        <v>35</v>
      </c>
      <c r="E79" s="0" t="s">
        <v>35</v>
      </c>
      <c r="F79" s="0" t="s">
        <v>36</v>
      </c>
      <c r="G79" s="0" t="s">
        <v>37</v>
      </c>
      <c r="H79" s="0" t="s">
        <v>336</v>
      </c>
      <c r="I79" s="0" t="s">
        <v>337</v>
      </c>
      <c r="J79" s="0" t="s">
        <v>338</v>
      </c>
      <c r="M79" s="0" t="s">
        <v>339</v>
      </c>
      <c r="N79" s="0" t="s">
        <v>340</v>
      </c>
      <c r="O79" s="0" t="s">
        <v>341</v>
      </c>
      <c r="P79" s="0" t="n">
        <v>1961</v>
      </c>
      <c r="Q79" s="0" t="s">
        <v>39</v>
      </c>
      <c r="R79" s="0" t="s">
        <v>342</v>
      </c>
      <c r="S79" s="0" t="s">
        <v>343</v>
      </c>
      <c r="V79" s="0" t="n">
        <v>1</v>
      </c>
      <c r="W79" s="0" t="n">
        <v>1</v>
      </c>
      <c r="X79" s="0" t="str">
        <f aca="false">"31811010002270"</f>
        <v>31811010002270</v>
      </c>
      <c r="Y79" s="0" t="s">
        <v>39</v>
      </c>
      <c r="Z79" s="0" t="s">
        <v>42</v>
      </c>
      <c r="AA79" s="0" t="s">
        <v>43</v>
      </c>
      <c r="AE79" s="1" t="s">
        <v>52</v>
      </c>
    </row>
    <row r="80" customFormat="false" ht="12.8" hidden="false" customHeight="false" outlineLevel="0" collapsed="false">
      <c r="A80" s="0" t="n">
        <v>57024</v>
      </c>
      <c r="B80" s="0" t="n">
        <v>61896</v>
      </c>
      <c r="C80" s="0" t="n">
        <v>68360</v>
      </c>
      <c r="D80" s="0" t="s">
        <v>35</v>
      </c>
      <c r="E80" s="0" t="s">
        <v>35</v>
      </c>
      <c r="F80" s="0" t="s">
        <v>36</v>
      </c>
      <c r="G80" s="0" t="s">
        <v>37</v>
      </c>
      <c r="H80" s="0" t="s">
        <v>344</v>
      </c>
      <c r="I80" s="0" t="s">
        <v>345</v>
      </c>
      <c r="J80" s="0" t="s">
        <v>346</v>
      </c>
      <c r="L80" s="1" t="s">
        <v>347</v>
      </c>
      <c r="M80" s="0" t="s">
        <v>348</v>
      </c>
      <c r="N80" s="0" t="s">
        <v>349</v>
      </c>
      <c r="O80" s="0" t="s">
        <v>350</v>
      </c>
      <c r="P80" s="0" t="n">
        <v>1979</v>
      </c>
      <c r="Q80" s="0" t="s">
        <v>39</v>
      </c>
      <c r="R80" s="0" t="s">
        <v>351</v>
      </c>
      <c r="S80" s="0" t="s">
        <v>352</v>
      </c>
      <c r="V80" s="0" t="n">
        <v>1</v>
      </c>
      <c r="W80" s="0" t="n">
        <v>1</v>
      </c>
      <c r="X80" s="0" t="str">
        <f aca="false">"31811010002262"</f>
        <v>31811010002262</v>
      </c>
      <c r="Y80" s="0" t="s">
        <v>39</v>
      </c>
      <c r="Z80" s="0" t="s">
        <v>42</v>
      </c>
      <c r="AA80" s="0" t="s">
        <v>43</v>
      </c>
      <c r="AE80" s="1" t="s">
        <v>52</v>
      </c>
      <c r="AH80" s="1" t="s">
        <v>353</v>
      </c>
    </row>
    <row r="81" customFormat="false" ht="12.8" hidden="false" customHeight="false" outlineLevel="0" collapsed="false">
      <c r="A81" s="0" t="n">
        <v>111956</v>
      </c>
      <c r="B81" s="0" t="n">
        <v>120508</v>
      </c>
      <c r="C81" s="0" t="n">
        <v>134523</v>
      </c>
      <c r="D81" s="0" t="s">
        <v>35</v>
      </c>
      <c r="E81" s="0" t="s">
        <v>35</v>
      </c>
      <c r="F81" s="0" t="s">
        <v>36</v>
      </c>
      <c r="G81" s="0" t="s">
        <v>37</v>
      </c>
      <c r="H81" s="0" t="s">
        <v>354</v>
      </c>
      <c r="I81" s="0" t="s">
        <v>355</v>
      </c>
      <c r="J81" s="0" t="s">
        <v>356</v>
      </c>
      <c r="L81" s="1" t="s">
        <v>357</v>
      </c>
      <c r="M81" s="0" t="s">
        <v>358</v>
      </c>
      <c r="N81" s="0" t="n">
        <v>1975</v>
      </c>
      <c r="O81" s="0" t="s">
        <v>359</v>
      </c>
      <c r="P81" s="0" t="n">
        <v>1975</v>
      </c>
      <c r="Q81" s="0" t="s">
        <v>39</v>
      </c>
      <c r="R81" s="0" t="s">
        <v>360</v>
      </c>
      <c r="S81" s="0" t="s">
        <v>361</v>
      </c>
      <c r="V81" s="0" t="n">
        <v>1</v>
      </c>
      <c r="W81" s="0" t="n">
        <v>1</v>
      </c>
      <c r="X81" s="0" t="str">
        <f aca="false">"31811010002890"</f>
        <v>31811010002890</v>
      </c>
      <c r="Y81" s="0" t="s">
        <v>39</v>
      </c>
      <c r="Z81" s="0" t="s">
        <v>42</v>
      </c>
      <c r="AA81" s="0" t="s">
        <v>43</v>
      </c>
      <c r="AE81" s="1" t="s">
        <v>52</v>
      </c>
    </row>
    <row r="82" customFormat="false" ht="12.8" hidden="false" customHeight="false" outlineLevel="0" collapsed="false">
      <c r="A82" s="0" t="n">
        <v>263932</v>
      </c>
      <c r="B82" s="0" t="n">
        <v>289052</v>
      </c>
      <c r="C82" s="0" t="n">
        <v>324664</v>
      </c>
      <c r="D82" s="0" t="s">
        <v>35</v>
      </c>
      <c r="E82" s="0" t="s">
        <v>35</v>
      </c>
      <c r="F82" s="0" t="s">
        <v>36</v>
      </c>
      <c r="G82" s="0" t="s">
        <v>37</v>
      </c>
      <c r="H82" s="0" t="s">
        <v>362</v>
      </c>
      <c r="I82" s="0" t="s">
        <v>363</v>
      </c>
      <c r="J82" s="0" t="s">
        <v>362</v>
      </c>
      <c r="M82" s="0" t="s">
        <v>364</v>
      </c>
      <c r="N82" s="0" t="s">
        <v>365</v>
      </c>
      <c r="O82" s="0" t="s">
        <v>366</v>
      </c>
      <c r="P82" s="0" t="n">
        <v>1966</v>
      </c>
      <c r="Q82" s="0" t="s">
        <v>39</v>
      </c>
      <c r="R82" s="0" t="s">
        <v>367</v>
      </c>
      <c r="S82" s="0" t="s">
        <v>368</v>
      </c>
      <c r="V82" s="0" t="n">
        <v>1</v>
      </c>
      <c r="W82" s="0" t="n">
        <v>1</v>
      </c>
      <c r="X82" s="0" t="str">
        <f aca="false">"31811010002866"</f>
        <v>31811010002866</v>
      </c>
      <c r="Y82" s="0" t="s">
        <v>39</v>
      </c>
      <c r="Z82" s="0" t="s">
        <v>42</v>
      </c>
      <c r="AA82" s="0" t="s">
        <v>43</v>
      </c>
      <c r="AE82" s="1" t="s">
        <v>52</v>
      </c>
    </row>
    <row r="83" customFormat="false" ht="12.8" hidden="false" customHeight="false" outlineLevel="0" collapsed="false">
      <c r="A83" s="0" t="n">
        <v>474958</v>
      </c>
      <c r="B83" s="0" t="n">
        <v>507108</v>
      </c>
      <c r="C83" s="0" t="n">
        <v>569481</v>
      </c>
      <c r="D83" s="0" t="s">
        <v>35</v>
      </c>
      <c r="E83" s="0" t="s">
        <v>35</v>
      </c>
      <c r="F83" s="0" t="s">
        <v>36</v>
      </c>
      <c r="G83" s="0" t="s">
        <v>37</v>
      </c>
      <c r="H83" s="0" t="s">
        <v>369</v>
      </c>
      <c r="I83" s="0" t="s">
        <v>370</v>
      </c>
      <c r="J83" s="0" t="s">
        <v>371</v>
      </c>
      <c r="M83" s="0" t="s">
        <v>372</v>
      </c>
      <c r="N83" s="0" t="s">
        <v>333</v>
      </c>
      <c r="O83" s="0" t="s">
        <v>373</v>
      </c>
      <c r="P83" s="0" t="n">
        <v>1968</v>
      </c>
      <c r="Q83" s="0" t="s">
        <v>39</v>
      </c>
      <c r="R83" s="0" t="s">
        <v>374</v>
      </c>
      <c r="S83" s="0" t="s">
        <v>375</v>
      </c>
      <c r="V83" s="0" t="n">
        <v>1</v>
      </c>
      <c r="W83" s="0" t="n">
        <v>1</v>
      </c>
      <c r="X83" s="0" t="str">
        <f aca="false">"31811010002429"</f>
        <v>31811010002429</v>
      </c>
      <c r="Y83" s="0" t="s">
        <v>39</v>
      </c>
      <c r="Z83" s="0" t="s">
        <v>42</v>
      </c>
      <c r="AA83" s="0" t="s">
        <v>43</v>
      </c>
      <c r="AE83" s="1" t="s">
        <v>52</v>
      </c>
    </row>
    <row r="84" customFormat="false" ht="12.8" hidden="false" customHeight="false" outlineLevel="0" collapsed="false">
      <c r="A84" s="0" t="n">
        <v>251928</v>
      </c>
      <c r="B84" s="0" t="n">
        <v>276037</v>
      </c>
      <c r="C84" s="0" t="n">
        <v>310419</v>
      </c>
      <c r="D84" s="0" t="s">
        <v>35</v>
      </c>
      <c r="E84" s="0" t="s">
        <v>35</v>
      </c>
      <c r="F84" s="0" t="s">
        <v>36</v>
      </c>
      <c r="G84" s="0" t="s">
        <v>37</v>
      </c>
      <c r="H84" s="0" t="s">
        <v>376</v>
      </c>
      <c r="I84" s="0" t="s">
        <v>377</v>
      </c>
      <c r="J84" s="0" t="s">
        <v>378</v>
      </c>
      <c r="M84" s="0" t="s">
        <v>379</v>
      </c>
      <c r="N84" s="0" t="s">
        <v>380</v>
      </c>
      <c r="O84" s="0" t="s">
        <v>381</v>
      </c>
      <c r="P84" s="0" t="n">
        <v>1966</v>
      </c>
      <c r="Q84" s="0" t="s">
        <v>39</v>
      </c>
      <c r="R84" s="0" t="s">
        <v>382</v>
      </c>
      <c r="S84" s="0" t="s">
        <v>383</v>
      </c>
      <c r="V84" s="0" t="n">
        <v>1</v>
      </c>
      <c r="W84" s="0" t="n">
        <v>1</v>
      </c>
      <c r="X84" s="0" t="str">
        <f aca="false">"31811010002437"</f>
        <v>31811010002437</v>
      </c>
      <c r="Y84" s="0" t="s">
        <v>39</v>
      </c>
      <c r="Z84" s="0" t="s">
        <v>42</v>
      </c>
      <c r="AA84" s="0" t="s">
        <v>43</v>
      </c>
      <c r="AE84" s="1" t="s">
        <v>52</v>
      </c>
    </row>
    <row r="85" customFormat="false" ht="12.8" hidden="false" customHeight="false" outlineLevel="0" collapsed="false">
      <c r="A85" s="0" t="n">
        <v>224228</v>
      </c>
      <c r="B85" s="0" t="n">
        <v>245970</v>
      </c>
      <c r="C85" s="0" t="n">
        <v>277195</v>
      </c>
      <c r="D85" s="0" t="s">
        <v>35</v>
      </c>
      <c r="E85" s="0" t="s">
        <v>35</v>
      </c>
      <c r="F85" s="0" t="s">
        <v>36</v>
      </c>
      <c r="G85" s="0" t="s">
        <v>37</v>
      </c>
      <c r="H85" s="0" t="s">
        <v>384</v>
      </c>
      <c r="I85" s="0" t="s">
        <v>385</v>
      </c>
      <c r="J85" s="0" t="s">
        <v>384</v>
      </c>
      <c r="K85" s="0" t="s">
        <v>108</v>
      </c>
      <c r="M85" s="0" t="s">
        <v>386</v>
      </c>
      <c r="N85" s="0" t="n">
        <v>1967</v>
      </c>
      <c r="O85" s="0" t="s">
        <v>387</v>
      </c>
      <c r="P85" s="0" t="n">
        <v>1967</v>
      </c>
      <c r="Q85" s="0" t="s">
        <v>39</v>
      </c>
      <c r="R85" s="0" t="s">
        <v>388</v>
      </c>
      <c r="S85" s="0" t="s">
        <v>389</v>
      </c>
      <c r="V85" s="0" t="n">
        <v>1</v>
      </c>
      <c r="W85" s="0" t="n">
        <v>1</v>
      </c>
      <c r="X85" s="0" t="str">
        <f aca="false">"31811010002445"</f>
        <v>31811010002445</v>
      </c>
      <c r="Y85" s="0" t="s">
        <v>39</v>
      </c>
      <c r="Z85" s="0" t="s">
        <v>42</v>
      </c>
      <c r="AA85" s="0" t="s">
        <v>43</v>
      </c>
      <c r="AE85" s="1" t="s">
        <v>52</v>
      </c>
    </row>
    <row r="86" customFormat="false" ht="12.8" hidden="false" customHeight="false" outlineLevel="0" collapsed="false">
      <c r="A86" s="0" t="n">
        <v>210448</v>
      </c>
      <c r="B86" s="0" t="n">
        <v>230880</v>
      </c>
      <c r="C86" s="0" t="n">
        <v>259884</v>
      </c>
      <c r="D86" s="0" t="s">
        <v>35</v>
      </c>
      <c r="E86" s="0" t="s">
        <v>35</v>
      </c>
      <c r="F86" s="0" t="s">
        <v>36</v>
      </c>
      <c r="G86" s="0" t="s">
        <v>37</v>
      </c>
      <c r="H86" s="0" t="s">
        <v>390</v>
      </c>
      <c r="I86" s="0" t="s">
        <v>391</v>
      </c>
      <c r="J86" s="0" t="s">
        <v>390</v>
      </c>
      <c r="M86" s="0" t="s">
        <v>392</v>
      </c>
      <c r="N86" s="0" t="n">
        <v>1969</v>
      </c>
      <c r="O86" s="0" t="s">
        <v>393</v>
      </c>
      <c r="P86" s="0" t="n">
        <v>1969</v>
      </c>
      <c r="Q86" s="0" t="s">
        <v>39</v>
      </c>
      <c r="R86" s="0" t="s">
        <v>394</v>
      </c>
      <c r="S86" s="0" t="s">
        <v>395</v>
      </c>
      <c r="V86" s="0" t="n">
        <v>1</v>
      </c>
      <c r="W86" s="0" t="n">
        <v>1</v>
      </c>
      <c r="X86" s="0" t="str">
        <f aca="false">"31811010002304"</f>
        <v>31811010002304</v>
      </c>
      <c r="Y86" s="0" t="s">
        <v>39</v>
      </c>
      <c r="Z86" s="0" t="s">
        <v>42</v>
      </c>
      <c r="AA86" s="0" t="s">
        <v>43</v>
      </c>
      <c r="AE86" s="1" t="s">
        <v>52</v>
      </c>
    </row>
    <row r="87" customFormat="false" ht="12.8" hidden="false" customHeight="false" outlineLevel="0" collapsed="false">
      <c r="A87" s="0" t="n">
        <v>148948</v>
      </c>
      <c r="B87" s="0" t="n">
        <v>161468</v>
      </c>
      <c r="C87" s="0" t="n">
        <v>181297</v>
      </c>
      <c r="D87" s="0" t="s">
        <v>35</v>
      </c>
      <c r="E87" s="0" t="s">
        <v>35</v>
      </c>
      <c r="F87" s="0" t="s">
        <v>36</v>
      </c>
      <c r="G87" s="0" t="s">
        <v>37</v>
      </c>
      <c r="H87" s="0" t="s">
        <v>396</v>
      </c>
      <c r="I87" s="0" t="s">
        <v>397</v>
      </c>
      <c r="J87" s="0" t="s">
        <v>396</v>
      </c>
      <c r="M87" s="0" t="s">
        <v>398</v>
      </c>
      <c r="N87" s="0" t="s">
        <v>148</v>
      </c>
      <c r="O87" s="0" t="s">
        <v>399</v>
      </c>
      <c r="P87" s="0" t="n">
        <v>1969</v>
      </c>
      <c r="Q87" s="0" t="s">
        <v>39</v>
      </c>
      <c r="R87" s="0" t="s">
        <v>400</v>
      </c>
      <c r="S87" s="0" t="s">
        <v>401</v>
      </c>
      <c r="V87" s="0" t="n">
        <v>1</v>
      </c>
      <c r="W87" s="0" t="n">
        <v>1</v>
      </c>
      <c r="X87" s="0" t="str">
        <f aca="false">"31811010002379"</f>
        <v>31811010002379</v>
      </c>
      <c r="Y87" s="0" t="s">
        <v>39</v>
      </c>
      <c r="Z87" s="0" t="s">
        <v>42</v>
      </c>
      <c r="AA87" s="0" t="s">
        <v>43</v>
      </c>
      <c r="AE87" s="1" t="s">
        <v>52</v>
      </c>
      <c r="AH87" s="1" t="s">
        <v>402</v>
      </c>
    </row>
    <row r="88" customFormat="false" ht="12.8" hidden="false" customHeight="false" outlineLevel="0" collapsed="false">
      <c r="A88" s="0" t="n">
        <v>83062</v>
      </c>
      <c r="B88" s="0" t="n">
        <v>89925</v>
      </c>
      <c r="C88" s="0" t="n">
        <v>101051</v>
      </c>
      <c r="D88" s="0" t="s">
        <v>35</v>
      </c>
      <c r="E88" s="0" t="s">
        <v>35</v>
      </c>
      <c r="F88" s="0" t="s">
        <v>36</v>
      </c>
      <c r="G88" s="0" t="s">
        <v>37</v>
      </c>
      <c r="H88" s="0" t="s">
        <v>403</v>
      </c>
      <c r="I88" s="0" t="s">
        <v>404</v>
      </c>
      <c r="J88" s="0" t="s">
        <v>405</v>
      </c>
      <c r="L88" s="0" t="s">
        <v>406</v>
      </c>
      <c r="M88" s="0" t="s">
        <v>407</v>
      </c>
      <c r="N88" s="0" t="s">
        <v>408</v>
      </c>
      <c r="O88" s="0" t="s">
        <v>409</v>
      </c>
      <c r="P88" s="0" t="n">
        <v>1981</v>
      </c>
      <c r="Q88" s="0" t="s">
        <v>39</v>
      </c>
      <c r="R88" s="0" t="s">
        <v>410</v>
      </c>
      <c r="S88" s="0" t="s">
        <v>411</v>
      </c>
      <c r="V88" s="0" t="n">
        <v>1</v>
      </c>
      <c r="W88" s="0" t="n">
        <v>1</v>
      </c>
      <c r="X88" s="0" t="str">
        <f aca="false">"31811010002338"</f>
        <v>31811010002338</v>
      </c>
      <c r="Y88" s="0" t="s">
        <v>39</v>
      </c>
      <c r="Z88" s="0" t="s">
        <v>42</v>
      </c>
      <c r="AA88" s="0" t="s">
        <v>43</v>
      </c>
      <c r="AE88" s="1" t="s">
        <v>52</v>
      </c>
    </row>
    <row r="89" customFormat="false" ht="12.8" hidden="false" customHeight="false" outlineLevel="0" collapsed="false">
      <c r="A89" s="0" t="n">
        <v>398494</v>
      </c>
      <c r="B89" s="0" t="n">
        <v>430313</v>
      </c>
      <c r="C89" s="0" t="n">
        <v>479682</v>
      </c>
      <c r="D89" s="0" t="s">
        <v>35</v>
      </c>
      <c r="E89" s="0" t="s">
        <v>35</v>
      </c>
      <c r="F89" s="0" t="s">
        <v>36</v>
      </c>
      <c r="G89" s="0" t="s">
        <v>412</v>
      </c>
      <c r="H89" s="0" t="s">
        <v>413</v>
      </c>
      <c r="I89" s="0" t="s">
        <v>414</v>
      </c>
      <c r="J89" s="0" t="s">
        <v>413</v>
      </c>
      <c r="M89" s="0" t="s">
        <v>415</v>
      </c>
      <c r="N89" s="0" t="n">
        <v>1911</v>
      </c>
      <c r="P89" s="0" t="n">
        <v>1911</v>
      </c>
      <c r="Q89" s="0" t="s">
        <v>39</v>
      </c>
      <c r="R89" s="0" t="s">
        <v>416</v>
      </c>
      <c r="S89" s="0" t="s">
        <v>417</v>
      </c>
      <c r="V89" s="0" t="n">
        <v>1</v>
      </c>
      <c r="W89" s="0" t="n">
        <v>1</v>
      </c>
      <c r="X89" s="0" t="str">
        <f aca="false">"31811003176917"</f>
        <v>31811003176917</v>
      </c>
      <c r="Y89" s="0" t="s">
        <v>39</v>
      </c>
      <c r="Z89" s="0" t="s">
        <v>42</v>
      </c>
      <c r="AA89" s="0" t="s">
        <v>43</v>
      </c>
      <c r="AE89" s="1" t="s">
        <v>52</v>
      </c>
    </row>
    <row r="90" customFormat="false" ht="12.8" hidden="false" customHeight="false" outlineLevel="0" collapsed="false">
      <c r="A90" s="0" t="n">
        <v>530872</v>
      </c>
      <c r="B90" s="0" t="n">
        <v>568814</v>
      </c>
      <c r="C90" s="0" t="n">
        <v>643049</v>
      </c>
      <c r="D90" s="0" t="s">
        <v>35</v>
      </c>
      <c r="E90" s="0" t="s">
        <v>35</v>
      </c>
      <c r="F90" s="0" t="s">
        <v>36</v>
      </c>
      <c r="G90" s="0" t="s">
        <v>418</v>
      </c>
      <c r="H90" s="0" t="s">
        <v>419</v>
      </c>
      <c r="J90" s="0" t="s">
        <v>420</v>
      </c>
      <c r="M90" s="0" t="s">
        <v>421</v>
      </c>
      <c r="N90" s="0" t="n">
        <v>1883</v>
      </c>
      <c r="O90" s="0" t="s">
        <v>422</v>
      </c>
      <c r="P90" s="0" t="n">
        <v>1883</v>
      </c>
      <c r="Q90" s="0" t="s">
        <v>39</v>
      </c>
      <c r="R90" s="0" t="s">
        <v>423</v>
      </c>
      <c r="S90" s="0" t="s">
        <v>424</v>
      </c>
      <c r="V90" s="0" t="n">
        <v>1</v>
      </c>
      <c r="W90" s="0" t="n">
        <v>1</v>
      </c>
      <c r="X90" s="0" t="str">
        <f aca="false">"31811010041302"</f>
        <v>31811010041302</v>
      </c>
      <c r="Y90" s="0" t="s">
        <v>39</v>
      </c>
      <c r="Z90" s="0" t="s">
        <v>42</v>
      </c>
      <c r="AA90" s="0" t="s">
        <v>43</v>
      </c>
      <c r="AE90" s="1" t="s">
        <v>52</v>
      </c>
    </row>
    <row r="91" customFormat="false" ht="12.8" hidden="false" customHeight="false" outlineLevel="0" collapsed="false">
      <c r="A91" s="0" t="n">
        <v>460500</v>
      </c>
      <c r="B91" s="0" t="n">
        <v>492111</v>
      </c>
      <c r="C91" s="0" t="n">
        <v>552629</v>
      </c>
      <c r="D91" s="0" t="s">
        <v>35</v>
      </c>
      <c r="E91" s="0" t="s">
        <v>35</v>
      </c>
      <c r="F91" s="0" t="s">
        <v>36</v>
      </c>
      <c r="G91" s="0" t="s">
        <v>37</v>
      </c>
      <c r="H91" s="0" t="s">
        <v>425</v>
      </c>
      <c r="I91" s="0" t="s">
        <v>426</v>
      </c>
      <c r="J91" s="0" t="s">
        <v>427</v>
      </c>
      <c r="K91" s="0" t="s">
        <v>428</v>
      </c>
      <c r="L91" s="0" t="n">
        <v>897747445</v>
      </c>
      <c r="M91" s="0" t="s">
        <v>429</v>
      </c>
      <c r="N91" s="0" t="n">
        <v>1994</v>
      </c>
      <c r="O91" s="0" t="s">
        <v>430</v>
      </c>
      <c r="P91" s="0" t="n">
        <v>1994</v>
      </c>
      <c r="Q91" s="0" t="s">
        <v>39</v>
      </c>
      <c r="R91" s="0" t="s">
        <v>431</v>
      </c>
      <c r="S91" s="0" t="s">
        <v>432</v>
      </c>
      <c r="V91" s="0" t="n">
        <v>1</v>
      </c>
      <c r="W91" s="0" t="n">
        <v>1</v>
      </c>
      <c r="X91" s="0" t="str">
        <f aca="false">"31811013716512"</f>
        <v>31811013716512</v>
      </c>
      <c r="Y91" s="0" t="s">
        <v>39</v>
      </c>
      <c r="Z91" s="0" t="s">
        <v>42</v>
      </c>
      <c r="AA91" s="0" t="s">
        <v>43</v>
      </c>
      <c r="AE91" s="1" t="s">
        <v>52</v>
      </c>
      <c r="AF91" s="1" t="s">
        <v>433</v>
      </c>
    </row>
    <row r="92" customFormat="false" ht="12.8" hidden="false" customHeight="false" outlineLevel="0" collapsed="false">
      <c r="A92" s="0" t="n">
        <v>158304</v>
      </c>
      <c r="B92" s="0" t="n">
        <v>172086</v>
      </c>
      <c r="C92" s="0" t="n">
        <v>192913</v>
      </c>
      <c r="D92" s="0" t="s">
        <v>35</v>
      </c>
      <c r="E92" s="0" t="s">
        <v>35</v>
      </c>
      <c r="F92" s="0" t="s">
        <v>36</v>
      </c>
      <c r="G92" s="0" t="s">
        <v>37</v>
      </c>
      <c r="H92" s="0" t="s">
        <v>434</v>
      </c>
      <c r="I92" s="0" t="s">
        <v>435</v>
      </c>
      <c r="J92" s="0" t="s">
        <v>436</v>
      </c>
      <c r="M92" s="0" t="s">
        <v>437</v>
      </c>
      <c r="N92" s="0" t="n">
        <v>1968</v>
      </c>
      <c r="O92" s="0" t="s">
        <v>438</v>
      </c>
      <c r="P92" s="0" t="n">
        <v>1968</v>
      </c>
      <c r="Q92" s="0" t="s">
        <v>39</v>
      </c>
      <c r="R92" s="0" t="s">
        <v>439</v>
      </c>
      <c r="S92" s="0" t="s">
        <v>440</v>
      </c>
      <c r="V92" s="0" t="n">
        <v>1</v>
      </c>
      <c r="W92" s="0" t="n">
        <v>1</v>
      </c>
      <c r="X92" s="0" t="str">
        <f aca="false">"31811010750316"</f>
        <v>31811010750316</v>
      </c>
      <c r="Y92" s="0" t="s">
        <v>39</v>
      </c>
      <c r="Z92" s="0" t="s">
        <v>42</v>
      </c>
      <c r="AA92" s="0" t="s">
        <v>43</v>
      </c>
      <c r="AE92" s="1" t="s">
        <v>52</v>
      </c>
    </row>
    <row r="93" customFormat="false" ht="12.8" hidden="false" customHeight="false" outlineLevel="0" collapsed="false">
      <c r="A93" s="0" t="n">
        <v>300936</v>
      </c>
      <c r="B93" s="0" t="n">
        <v>328303</v>
      </c>
      <c r="C93" s="0" t="n">
        <v>366708</v>
      </c>
      <c r="D93" s="0" t="s">
        <v>35</v>
      </c>
      <c r="E93" s="0" t="s">
        <v>35</v>
      </c>
      <c r="F93" s="0" t="s">
        <v>36</v>
      </c>
      <c r="G93" s="0" t="s">
        <v>37</v>
      </c>
      <c r="H93" s="0" t="s">
        <v>441</v>
      </c>
      <c r="I93" s="0" t="s">
        <v>442</v>
      </c>
      <c r="J93" s="0" t="s">
        <v>443</v>
      </c>
      <c r="M93" s="0" t="s">
        <v>444</v>
      </c>
      <c r="N93" s="0" t="n">
        <v>1924</v>
      </c>
      <c r="O93" s="0" t="s">
        <v>445</v>
      </c>
      <c r="P93" s="0" t="n">
        <v>1924</v>
      </c>
      <c r="Q93" s="0" t="s">
        <v>39</v>
      </c>
      <c r="R93" s="0" t="s">
        <v>446</v>
      </c>
      <c r="S93" s="0" t="s">
        <v>447</v>
      </c>
      <c r="V93" s="0" t="n">
        <v>1</v>
      </c>
      <c r="W93" s="0" t="n">
        <v>1</v>
      </c>
      <c r="X93" s="0" t="str">
        <f aca="false">"31811010750274"</f>
        <v>31811010750274</v>
      </c>
      <c r="Y93" s="0" t="s">
        <v>39</v>
      </c>
      <c r="Z93" s="0" t="s">
        <v>42</v>
      </c>
      <c r="AA93" s="0" t="s">
        <v>43</v>
      </c>
      <c r="AE93" s="1" t="s">
        <v>52</v>
      </c>
    </row>
    <row r="94" customFormat="false" ht="12.8" hidden="false" customHeight="false" outlineLevel="0" collapsed="false">
      <c r="A94" s="0" t="n">
        <v>202537</v>
      </c>
      <c r="B94" s="0" t="n">
        <v>222194</v>
      </c>
      <c r="C94" s="0" t="n">
        <v>250084</v>
      </c>
      <c r="D94" s="0" t="s">
        <v>35</v>
      </c>
      <c r="E94" s="0" t="s">
        <v>35</v>
      </c>
      <c r="F94" s="0" t="s">
        <v>36</v>
      </c>
      <c r="G94" s="0" t="s">
        <v>37</v>
      </c>
      <c r="H94" s="0" t="s">
        <v>448</v>
      </c>
      <c r="I94" s="0" t="s">
        <v>449</v>
      </c>
      <c r="J94" s="0" t="s">
        <v>450</v>
      </c>
      <c r="M94" s="0" t="s">
        <v>451</v>
      </c>
      <c r="N94" s="0" t="n">
        <v>1961</v>
      </c>
      <c r="O94" s="0" t="s">
        <v>248</v>
      </c>
      <c r="P94" s="0" t="n">
        <v>1961</v>
      </c>
      <c r="Q94" s="0" t="s">
        <v>39</v>
      </c>
      <c r="R94" s="0" t="s">
        <v>452</v>
      </c>
      <c r="S94" s="0" t="s">
        <v>453</v>
      </c>
      <c r="V94" s="0" t="n">
        <v>1</v>
      </c>
      <c r="W94" s="0" t="n">
        <v>1</v>
      </c>
      <c r="X94" s="0" t="str">
        <f aca="false">"31811010750233"</f>
        <v>31811010750233</v>
      </c>
      <c r="Y94" s="0" t="s">
        <v>39</v>
      </c>
      <c r="Z94" s="0" t="s">
        <v>42</v>
      </c>
      <c r="AA94" s="0" t="s">
        <v>43</v>
      </c>
      <c r="AE94" s="1" t="s">
        <v>52</v>
      </c>
      <c r="AH94" s="1" t="s">
        <v>454</v>
      </c>
    </row>
    <row r="95" customFormat="false" ht="12.8" hidden="false" customHeight="false" outlineLevel="0" collapsed="false">
      <c r="A95" s="0" t="n">
        <v>452932</v>
      </c>
      <c r="B95" s="0" t="n">
        <v>539165</v>
      </c>
      <c r="C95" s="0" t="n">
        <v>606508</v>
      </c>
      <c r="D95" s="0" t="s">
        <v>35</v>
      </c>
      <c r="E95" s="0" t="s">
        <v>35</v>
      </c>
      <c r="F95" s="0" t="s">
        <v>36</v>
      </c>
      <c r="G95" s="0" t="s">
        <v>412</v>
      </c>
      <c r="H95" s="0" t="s">
        <v>455</v>
      </c>
      <c r="I95" s="0" t="s">
        <v>456</v>
      </c>
      <c r="J95" s="0" t="s">
        <v>455</v>
      </c>
      <c r="M95" s="0" t="s">
        <v>457</v>
      </c>
      <c r="N95" s="0" t="n">
        <v>1963</v>
      </c>
      <c r="P95" s="0" t="n">
        <v>1963</v>
      </c>
      <c r="Q95" s="0" t="s">
        <v>39</v>
      </c>
      <c r="R95" s="0" t="s">
        <v>458</v>
      </c>
      <c r="S95" s="0" t="s">
        <v>459</v>
      </c>
      <c r="V95" s="0" t="n">
        <v>1</v>
      </c>
      <c r="W95" s="0" t="n">
        <v>1</v>
      </c>
      <c r="X95" s="0" t="str">
        <f aca="false">"31811010335407"</f>
        <v>31811010335407</v>
      </c>
      <c r="Y95" s="0" t="s">
        <v>39</v>
      </c>
      <c r="Z95" s="0" t="s">
        <v>42</v>
      </c>
      <c r="AA95" s="0" t="s">
        <v>43</v>
      </c>
      <c r="AE95" s="1" t="s">
        <v>52</v>
      </c>
      <c r="AH95" s="1" t="s">
        <v>460</v>
      </c>
    </row>
    <row r="96" customFormat="false" ht="12.8" hidden="false" customHeight="false" outlineLevel="0" collapsed="false">
      <c r="A96" s="0" t="n">
        <v>452934</v>
      </c>
      <c r="B96" s="0" t="n">
        <v>539167</v>
      </c>
      <c r="C96" s="0" t="n">
        <v>606544</v>
      </c>
      <c r="D96" s="0" t="s">
        <v>35</v>
      </c>
      <c r="E96" s="0" t="s">
        <v>35</v>
      </c>
      <c r="F96" s="0" t="s">
        <v>36</v>
      </c>
      <c r="G96" s="0" t="s">
        <v>412</v>
      </c>
      <c r="H96" s="0" t="s">
        <v>461</v>
      </c>
      <c r="J96" s="0" t="s">
        <v>461</v>
      </c>
      <c r="M96" s="0" t="s">
        <v>462</v>
      </c>
      <c r="N96" s="0" t="n">
        <v>1965</v>
      </c>
      <c r="P96" s="0" t="n">
        <v>1965</v>
      </c>
      <c r="Q96" s="0" t="s">
        <v>39</v>
      </c>
      <c r="R96" s="0" t="s">
        <v>463</v>
      </c>
      <c r="S96" s="0" t="s">
        <v>464</v>
      </c>
      <c r="V96" s="0" t="n">
        <v>1</v>
      </c>
      <c r="W96" s="0" t="n">
        <v>1</v>
      </c>
      <c r="X96" s="0" t="str">
        <f aca="false">"31811010335449"</f>
        <v>31811010335449</v>
      </c>
      <c r="Y96" s="0" t="s">
        <v>39</v>
      </c>
      <c r="Z96" s="0" t="s">
        <v>42</v>
      </c>
      <c r="AA96" s="0" t="s">
        <v>43</v>
      </c>
      <c r="AE96" s="1" t="s">
        <v>52</v>
      </c>
    </row>
    <row r="97" customFormat="false" ht="12.8" hidden="false" customHeight="false" outlineLevel="0" collapsed="false">
      <c r="A97" s="0" t="n">
        <v>304007</v>
      </c>
      <c r="B97" s="0" t="n">
        <v>331532</v>
      </c>
      <c r="C97" s="0" t="n">
        <v>370181</v>
      </c>
      <c r="D97" s="0" t="s">
        <v>35</v>
      </c>
      <c r="E97" s="0" t="s">
        <v>35</v>
      </c>
      <c r="F97" s="0" t="s">
        <v>36</v>
      </c>
      <c r="G97" s="0" t="s">
        <v>37</v>
      </c>
      <c r="H97" s="0" t="s">
        <v>465</v>
      </c>
      <c r="I97" s="0" t="s">
        <v>466</v>
      </c>
      <c r="J97" s="0" t="s">
        <v>465</v>
      </c>
      <c r="M97" s="0" t="s">
        <v>467</v>
      </c>
      <c r="N97" s="0" t="n">
        <v>1968</v>
      </c>
      <c r="O97" s="0" t="s">
        <v>468</v>
      </c>
      <c r="P97" s="0" t="n">
        <v>1968</v>
      </c>
      <c r="Q97" s="0" t="s">
        <v>39</v>
      </c>
      <c r="R97" s="0" t="s">
        <v>469</v>
      </c>
      <c r="S97" s="0" t="s">
        <v>470</v>
      </c>
      <c r="V97" s="0" t="n">
        <v>1</v>
      </c>
      <c r="W97" s="0" t="n">
        <v>1</v>
      </c>
      <c r="X97" s="0" t="str">
        <f aca="false">"31811010335480"</f>
        <v>31811010335480</v>
      </c>
      <c r="Y97" s="0" t="s">
        <v>39</v>
      </c>
      <c r="Z97" s="0" t="s">
        <v>42</v>
      </c>
      <c r="AA97" s="0" t="s">
        <v>43</v>
      </c>
      <c r="AE97" s="1" t="s">
        <v>52</v>
      </c>
    </row>
    <row r="98" customFormat="false" ht="12.8" hidden="false" customHeight="false" outlineLevel="0" collapsed="false">
      <c r="A98" s="0" t="n">
        <v>173629</v>
      </c>
      <c r="B98" s="0" t="n">
        <v>189696</v>
      </c>
      <c r="C98" s="0" t="n">
        <v>212923</v>
      </c>
      <c r="D98" s="0" t="s">
        <v>35</v>
      </c>
      <c r="E98" s="0" t="s">
        <v>35</v>
      </c>
      <c r="F98" s="0" t="s">
        <v>36</v>
      </c>
      <c r="G98" s="0" t="s">
        <v>37</v>
      </c>
      <c r="H98" s="0" t="s">
        <v>471</v>
      </c>
      <c r="I98" s="0" t="s">
        <v>472</v>
      </c>
      <c r="J98" s="0" t="s">
        <v>473</v>
      </c>
      <c r="M98" s="0" t="s">
        <v>474</v>
      </c>
      <c r="N98" s="0" t="s">
        <v>475</v>
      </c>
      <c r="O98" s="0" t="s">
        <v>476</v>
      </c>
      <c r="P98" s="0" t="n">
        <v>1963</v>
      </c>
      <c r="Q98" s="0" t="s">
        <v>39</v>
      </c>
      <c r="R98" s="0" t="s">
        <v>477</v>
      </c>
      <c r="S98" s="0" t="s">
        <v>478</v>
      </c>
      <c r="V98" s="0" t="n">
        <v>1</v>
      </c>
      <c r="W98" s="0" t="n">
        <v>1</v>
      </c>
      <c r="X98" s="0" t="str">
        <f aca="false">"31811010335522"</f>
        <v>31811010335522</v>
      </c>
      <c r="Y98" s="0" t="s">
        <v>39</v>
      </c>
      <c r="Z98" s="0" t="s">
        <v>42</v>
      </c>
      <c r="AA98" s="0" t="s">
        <v>43</v>
      </c>
      <c r="AE98" s="1" t="s">
        <v>52</v>
      </c>
      <c r="AH98" s="1" t="s">
        <v>479</v>
      </c>
    </row>
    <row r="99" customFormat="false" ht="12.8" hidden="false" customHeight="false" outlineLevel="0" collapsed="false">
      <c r="A99" s="0" t="n">
        <v>256061</v>
      </c>
      <c r="B99" s="0" t="n">
        <v>280542</v>
      </c>
      <c r="C99" s="0" t="n">
        <v>315111</v>
      </c>
      <c r="D99" s="0" t="s">
        <v>35</v>
      </c>
      <c r="E99" s="0" t="s">
        <v>35</v>
      </c>
      <c r="F99" s="0" t="s">
        <v>480</v>
      </c>
      <c r="G99" s="0" t="s">
        <v>481</v>
      </c>
      <c r="H99" s="0" t="s">
        <v>482</v>
      </c>
      <c r="J99" s="0" t="s">
        <v>483</v>
      </c>
      <c r="M99" s="0" t="s">
        <v>484</v>
      </c>
      <c r="N99" s="1" t="s">
        <v>485</v>
      </c>
      <c r="O99" s="0" t="s">
        <v>486</v>
      </c>
      <c r="P99" s="0" t="n">
        <v>1963</v>
      </c>
      <c r="Q99" s="0" t="s">
        <v>39</v>
      </c>
      <c r="R99" s="0" t="s">
        <v>487</v>
      </c>
      <c r="S99" s="0" t="s">
        <v>488</v>
      </c>
      <c r="T99" s="0" t="n">
        <v>1993</v>
      </c>
      <c r="V99" s="0" t="n">
        <v>1</v>
      </c>
      <c r="W99" s="0" t="n">
        <v>1</v>
      </c>
      <c r="X99" s="0" t="str">
        <f aca="false">"31811010335332"</f>
        <v>31811010335332</v>
      </c>
      <c r="Y99" s="0" t="s">
        <v>39</v>
      </c>
      <c r="Z99" s="0" t="s">
        <v>42</v>
      </c>
      <c r="AA99" s="0" t="s">
        <v>43</v>
      </c>
      <c r="AE99" s="1" t="s">
        <v>52</v>
      </c>
    </row>
    <row r="100" customFormat="false" ht="12.8" hidden="false" customHeight="false" outlineLevel="0" collapsed="false">
      <c r="A100" s="0" t="n">
        <v>309126</v>
      </c>
      <c r="B100" s="0" t="n">
        <v>336959</v>
      </c>
      <c r="C100" s="0" t="n">
        <v>376033</v>
      </c>
      <c r="D100" s="0" t="s">
        <v>35</v>
      </c>
      <c r="E100" s="0" t="s">
        <v>35</v>
      </c>
      <c r="F100" s="0" t="s">
        <v>36</v>
      </c>
      <c r="G100" s="0" t="s">
        <v>37</v>
      </c>
      <c r="H100" s="0" t="s">
        <v>489</v>
      </c>
      <c r="I100" s="0" t="s">
        <v>466</v>
      </c>
      <c r="J100" s="0" t="s">
        <v>489</v>
      </c>
      <c r="L100" s="0" t="n">
        <v>853620784</v>
      </c>
      <c r="M100" s="0" t="s">
        <v>490</v>
      </c>
      <c r="N100" s="0" t="n">
        <v>1970</v>
      </c>
      <c r="O100" s="0" t="s">
        <v>491</v>
      </c>
      <c r="P100" s="0" t="n">
        <v>1970</v>
      </c>
      <c r="Q100" s="0" t="s">
        <v>39</v>
      </c>
      <c r="R100" s="0" t="s">
        <v>492</v>
      </c>
      <c r="S100" s="0" t="s">
        <v>493</v>
      </c>
      <c r="V100" s="0" t="n">
        <v>1</v>
      </c>
      <c r="W100" s="0" t="n">
        <v>1</v>
      </c>
      <c r="X100" s="0" t="str">
        <f aca="false">"31811010335258"</f>
        <v>31811010335258</v>
      </c>
      <c r="Y100" s="0" t="s">
        <v>39</v>
      </c>
      <c r="Z100" s="0" t="s">
        <v>42</v>
      </c>
      <c r="AA100" s="0" t="s">
        <v>43</v>
      </c>
      <c r="AE100" s="1" t="s">
        <v>52</v>
      </c>
    </row>
    <row r="101" customFormat="false" ht="12.8" hidden="false" customHeight="false" outlineLevel="0" collapsed="false">
      <c r="A101" s="0" t="n">
        <v>100225</v>
      </c>
      <c r="B101" s="0" t="n">
        <v>108019</v>
      </c>
      <c r="C101" s="0" t="n">
        <v>120735</v>
      </c>
      <c r="D101" s="0" t="s">
        <v>35</v>
      </c>
      <c r="E101" s="0" t="s">
        <v>35</v>
      </c>
      <c r="F101" s="0" t="s">
        <v>36</v>
      </c>
      <c r="G101" s="0" t="s">
        <v>37</v>
      </c>
      <c r="H101" s="0" t="s">
        <v>494</v>
      </c>
      <c r="I101" s="0" t="s">
        <v>495</v>
      </c>
      <c r="J101" s="0" t="s">
        <v>494</v>
      </c>
      <c r="L101" s="0" t="n">
        <v>199522359</v>
      </c>
      <c r="M101" s="0" t="s">
        <v>496</v>
      </c>
      <c r="N101" s="0" t="n">
        <v>1970</v>
      </c>
      <c r="O101" s="0" t="s">
        <v>497</v>
      </c>
      <c r="P101" s="0" t="n">
        <v>1970</v>
      </c>
      <c r="Q101" s="0" t="s">
        <v>39</v>
      </c>
      <c r="R101" s="0" t="s">
        <v>498</v>
      </c>
      <c r="S101" s="0" t="s">
        <v>499</v>
      </c>
      <c r="V101" s="0" t="n">
        <v>1</v>
      </c>
      <c r="W101" s="0" t="n">
        <v>1</v>
      </c>
      <c r="X101" s="0" t="str">
        <f aca="false">"31811010335290"</f>
        <v>31811010335290</v>
      </c>
      <c r="Y101" s="0" t="s">
        <v>39</v>
      </c>
      <c r="Z101" s="0" t="s">
        <v>42</v>
      </c>
      <c r="AA101" s="0" t="s">
        <v>43</v>
      </c>
      <c r="AE101" s="1" t="s">
        <v>52</v>
      </c>
    </row>
    <row r="102" customFormat="false" ht="12.8" hidden="false" customHeight="false" outlineLevel="0" collapsed="false">
      <c r="A102" s="0" t="n">
        <v>338872</v>
      </c>
      <c r="B102" s="0" t="n">
        <v>367705</v>
      </c>
      <c r="C102" s="0" t="n">
        <v>409656</v>
      </c>
      <c r="D102" s="0" t="s">
        <v>35</v>
      </c>
      <c r="E102" s="0" t="s">
        <v>35</v>
      </c>
      <c r="F102" s="0" t="s">
        <v>36</v>
      </c>
      <c r="G102" s="0" t="s">
        <v>500</v>
      </c>
      <c r="H102" s="0" t="s">
        <v>501</v>
      </c>
      <c r="J102" s="0" t="s">
        <v>502</v>
      </c>
      <c r="K102" s="0" t="s">
        <v>503</v>
      </c>
      <c r="M102" s="0" t="s">
        <v>504</v>
      </c>
      <c r="N102" s="0" t="s">
        <v>505</v>
      </c>
      <c r="O102" s="0" t="s">
        <v>506</v>
      </c>
      <c r="P102" s="0" t="n">
        <v>1902</v>
      </c>
      <c r="Q102" s="0" t="s">
        <v>39</v>
      </c>
      <c r="R102" s="0" t="s">
        <v>507</v>
      </c>
      <c r="S102" s="0" t="s">
        <v>508</v>
      </c>
      <c r="T102" s="0" t="s">
        <v>51</v>
      </c>
      <c r="V102" s="0" t="n">
        <v>1</v>
      </c>
      <c r="W102" s="0" t="n">
        <v>1</v>
      </c>
      <c r="X102" s="0" t="str">
        <f aca="false">"31811010339391"</f>
        <v>31811010339391</v>
      </c>
      <c r="Y102" s="0" t="s">
        <v>39</v>
      </c>
      <c r="Z102" s="0" t="s">
        <v>42</v>
      </c>
      <c r="AA102" s="0" t="s">
        <v>43</v>
      </c>
      <c r="AE102" s="1" t="s">
        <v>52</v>
      </c>
    </row>
    <row r="103" customFormat="false" ht="12.8" hidden="false" customHeight="false" outlineLevel="0" collapsed="false">
      <c r="A103" s="0" t="n">
        <v>338872</v>
      </c>
      <c r="B103" s="0" t="n">
        <v>367705</v>
      </c>
      <c r="C103" s="0" t="n">
        <v>409657</v>
      </c>
      <c r="D103" s="0" t="s">
        <v>35</v>
      </c>
      <c r="E103" s="0" t="s">
        <v>35</v>
      </c>
      <c r="F103" s="0" t="s">
        <v>36</v>
      </c>
      <c r="G103" s="0" t="s">
        <v>500</v>
      </c>
      <c r="H103" s="0" t="s">
        <v>501</v>
      </c>
      <c r="J103" s="0" t="s">
        <v>502</v>
      </c>
      <c r="K103" s="0" t="s">
        <v>503</v>
      </c>
      <c r="M103" s="0" t="s">
        <v>504</v>
      </c>
      <c r="N103" s="0" t="s">
        <v>505</v>
      </c>
      <c r="O103" s="0" t="s">
        <v>506</v>
      </c>
      <c r="P103" s="0" t="n">
        <v>1902</v>
      </c>
      <c r="Q103" s="0" t="s">
        <v>39</v>
      </c>
      <c r="R103" s="0" t="s">
        <v>507</v>
      </c>
      <c r="S103" s="0" t="s">
        <v>508</v>
      </c>
      <c r="T103" s="0" t="s">
        <v>53</v>
      </c>
      <c r="V103" s="0" t="n">
        <v>1</v>
      </c>
      <c r="W103" s="0" t="n">
        <v>1</v>
      </c>
      <c r="X103" s="0" t="str">
        <f aca="false">"31811010339409"</f>
        <v>31811010339409</v>
      </c>
      <c r="Y103" s="0" t="s">
        <v>39</v>
      </c>
      <c r="Z103" s="0" t="s">
        <v>42</v>
      </c>
      <c r="AA103" s="0" t="s">
        <v>43</v>
      </c>
      <c r="AE103" s="1" t="s">
        <v>52</v>
      </c>
      <c r="AH103" s="1" t="s">
        <v>509</v>
      </c>
    </row>
    <row r="104" customFormat="false" ht="12.8" hidden="false" customHeight="false" outlineLevel="0" collapsed="false">
      <c r="A104" s="0" t="n">
        <v>338872</v>
      </c>
      <c r="B104" s="0" t="n">
        <v>367705</v>
      </c>
      <c r="C104" s="0" t="n">
        <v>409658</v>
      </c>
      <c r="D104" s="0" t="s">
        <v>35</v>
      </c>
      <c r="E104" s="0" t="s">
        <v>35</v>
      </c>
      <c r="F104" s="0" t="s">
        <v>36</v>
      </c>
      <c r="G104" s="0" t="s">
        <v>500</v>
      </c>
      <c r="H104" s="0" t="s">
        <v>501</v>
      </c>
      <c r="J104" s="0" t="s">
        <v>502</v>
      </c>
      <c r="K104" s="0" t="s">
        <v>503</v>
      </c>
      <c r="M104" s="0" t="s">
        <v>504</v>
      </c>
      <c r="N104" s="0" t="s">
        <v>505</v>
      </c>
      <c r="O104" s="0" t="s">
        <v>506</v>
      </c>
      <c r="P104" s="0" t="n">
        <v>1902</v>
      </c>
      <c r="Q104" s="0" t="s">
        <v>39</v>
      </c>
      <c r="R104" s="0" t="s">
        <v>507</v>
      </c>
      <c r="S104" s="0" t="s">
        <v>508</v>
      </c>
      <c r="T104" s="0" t="s">
        <v>243</v>
      </c>
      <c r="V104" s="0" t="n">
        <v>1</v>
      </c>
      <c r="W104" s="0" t="n">
        <v>1</v>
      </c>
      <c r="X104" s="0" t="str">
        <f aca="false">"31811010339219"</f>
        <v>31811010339219</v>
      </c>
      <c r="Y104" s="0" t="s">
        <v>39</v>
      </c>
      <c r="Z104" s="0" t="s">
        <v>42</v>
      </c>
      <c r="AA104" s="0" t="s">
        <v>43</v>
      </c>
      <c r="AE104" s="1" t="s">
        <v>52</v>
      </c>
    </row>
    <row r="105" customFormat="false" ht="12.8" hidden="false" customHeight="false" outlineLevel="0" collapsed="false">
      <c r="A105" s="0" t="n">
        <v>338872</v>
      </c>
      <c r="B105" s="0" t="n">
        <v>367705</v>
      </c>
      <c r="C105" s="0" t="n">
        <v>409659</v>
      </c>
      <c r="D105" s="0" t="s">
        <v>35</v>
      </c>
      <c r="E105" s="0" t="s">
        <v>35</v>
      </c>
      <c r="F105" s="0" t="s">
        <v>36</v>
      </c>
      <c r="G105" s="0" t="s">
        <v>500</v>
      </c>
      <c r="H105" s="0" t="s">
        <v>501</v>
      </c>
      <c r="J105" s="0" t="s">
        <v>502</v>
      </c>
      <c r="K105" s="0" t="s">
        <v>503</v>
      </c>
      <c r="M105" s="0" t="s">
        <v>504</v>
      </c>
      <c r="N105" s="0" t="s">
        <v>505</v>
      </c>
      <c r="O105" s="0" t="s">
        <v>506</v>
      </c>
      <c r="P105" s="0" t="n">
        <v>1902</v>
      </c>
      <c r="Q105" s="0" t="s">
        <v>39</v>
      </c>
      <c r="R105" s="0" t="s">
        <v>507</v>
      </c>
      <c r="S105" s="0" t="s">
        <v>508</v>
      </c>
      <c r="T105" s="0" t="s">
        <v>54</v>
      </c>
      <c r="V105" s="0" t="n">
        <v>1</v>
      </c>
      <c r="W105" s="0" t="n">
        <v>1</v>
      </c>
      <c r="X105" s="0" t="str">
        <f aca="false">"31811010339227"</f>
        <v>31811010339227</v>
      </c>
      <c r="Y105" s="0" t="s">
        <v>39</v>
      </c>
      <c r="Z105" s="0" t="s">
        <v>42</v>
      </c>
      <c r="AA105" s="0" t="s">
        <v>43</v>
      </c>
      <c r="AE105" s="1" t="s">
        <v>52</v>
      </c>
    </row>
    <row r="106" customFormat="false" ht="12.8" hidden="false" customHeight="false" outlineLevel="0" collapsed="false">
      <c r="A106" s="0" t="n">
        <v>338872</v>
      </c>
      <c r="B106" s="0" t="n">
        <v>367705</v>
      </c>
      <c r="C106" s="0" t="n">
        <v>409660</v>
      </c>
      <c r="D106" s="0" t="s">
        <v>35</v>
      </c>
      <c r="E106" s="0" t="s">
        <v>35</v>
      </c>
      <c r="F106" s="0" t="s">
        <v>36</v>
      </c>
      <c r="G106" s="0" t="s">
        <v>500</v>
      </c>
      <c r="H106" s="0" t="s">
        <v>501</v>
      </c>
      <c r="J106" s="0" t="s">
        <v>502</v>
      </c>
      <c r="K106" s="0" t="s">
        <v>503</v>
      </c>
      <c r="M106" s="0" t="s">
        <v>504</v>
      </c>
      <c r="N106" s="0" t="s">
        <v>505</v>
      </c>
      <c r="O106" s="0" t="s">
        <v>506</v>
      </c>
      <c r="P106" s="0" t="n">
        <v>1902</v>
      </c>
      <c r="Q106" s="0" t="s">
        <v>39</v>
      </c>
      <c r="R106" s="0" t="s">
        <v>507</v>
      </c>
      <c r="S106" s="0" t="s">
        <v>508</v>
      </c>
      <c r="T106" s="0" t="s">
        <v>510</v>
      </c>
      <c r="V106" s="0" t="n">
        <v>1</v>
      </c>
      <c r="W106" s="0" t="n">
        <v>1</v>
      </c>
      <c r="X106" s="0" t="str">
        <f aca="false">"31811010339235"</f>
        <v>31811010339235</v>
      </c>
      <c r="Y106" s="0" t="s">
        <v>39</v>
      </c>
      <c r="Z106" s="0" t="s">
        <v>42</v>
      </c>
      <c r="AA106" s="0" t="s">
        <v>43</v>
      </c>
      <c r="AE106" s="1" t="s">
        <v>52</v>
      </c>
    </row>
    <row r="107" customFormat="false" ht="12.8" hidden="false" customHeight="false" outlineLevel="0" collapsed="false">
      <c r="A107" s="0" t="n">
        <v>338872</v>
      </c>
      <c r="B107" s="0" t="n">
        <v>367705</v>
      </c>
      <c r="C107" s="0" t="n">
        <v>409661</v>
      </c>
      <c r="D107" s="0" t="s">
        <v>35</v>
      </c>
      <c r="E107" s="0" t="s">
        <v>35</v>
      </c>
      <c r="F107" s="0" t="s">
        <v>36</v>
      </c>
      <c r="G107" s="0" t="s">
        <v>500</v>
      </c>
      <c r="H107" s="0" t="s">
        <v>501</v>
      </c>
      <c r="J107" s="0" t="s">
        <v>502</v>
      </c>
      <c r="K107" s="0" t="s">
        <v>503</v>
      </c>
      <c r="M107" s="0" t="s">
        <v>504</v>
      </c>
      <c r="N107" s="0" t="s">
        <v>505</v>
      </c>
      <c r="O107" s="0" t="s">
        <v>506</v>
      </c>
      <c r="P107" s="0" t="n">
        <v>1902</v>
      </c>
      <c r="Q107" s="0" t="s">
        <v>39</v>
      </c>
      <c r="R107" s="0" t="s">
        <v>507</v>
      </c>
      <c r="S107" s="0" t="s">
        <v>508</v>
      </c>
      <c r="T107" s="0" t="s">
        <v>55</v>
      </c>
      <c r="V107" s="0" t="n">
        <v>1</v>
      </c>
      <c r="W107" s="0" t="n">
        <v>1</v>
      </c>
      <c r="X107" s="0" t="str">
        <f aca="false">"31811010339243"</f>
        <v>31811010339243</v>
      </c>
      <c r="Y107" s="0" t="s">
        <v>39</v>
      </c>
      <c r="Z107" s="0" t="s">
        <v>42</v>
      </c>
      <c r="AA107" s="0" t="s">
        <v>43</v>
      </c>
      <c r="AE107" s="1" t="s">
        <v>52</v>
      </c>
    </row>
    <row r="108" customFormat="false" ht="12.8" hidden="false" customHeight="false" outlineLevel="0" collapsed="false">
      <c r="A108" s="0" t="n">
        <v>338872</v>
      </c>
      <c r="B108" s="0" t="n">
        <v>367705</v>
      </c>
      <c r="C108" s="0" t="n">
        <v>409662</v>
      </c>
      <c r="D108" s="0" t="s">
        <v>35</v>
      </c>
      <c r="E108" s="0" t="s">
        <v>35</v>
      </c>
      <c r="F108" s="0" t="s">
        <v>36</v>
      </c>
      <c r="G108" s="0" t="s">
        <v>500</v>
      </c>
      <c r="H108" s="0" t="s">
        <v>501</v>
      </c>
      <c r="J108" s="0" t="s">
        <v>502</v>
      </c>
      <c r="K108" s="0" t="s">
        <v>503</v>
      </c>
      <c r="M108" s="0" t="s">
        <v>504</v>
      </c>
      <c r="N108" s="0" t="s">
        <v>505</v>
      </c>
      <c r="O108" s="0" t="s">
        <v>506</v>
      </c>
      <c r="P108" s="0" t="n">
        <v>1902</v>
      </c>
      <c r="Q108" s="0" t="s">
        <v>39</v>
      </c>
      <c r="R108" s="0" t="s">
        <v>507</v>
      </c>
      <c r="S108" s="0" t="s">
        <v>508</v>
      </c>
      <c r="T108" s="0" t="s">
        <v>511</v>
      </c>
      <c r="V108" s="0" t="n">
        <v>1</v>
      </c>
      <c r="W108" s="0" t="n">
        <v>1</v>
      </c>
      <c r="X108" s="0" t="str">
        <f aca="false">"31811010339276"</f>
        <v>31811010339276</v>
      </c>
      <c r="Y108" s="0" t="s">
        <v>39</v>
      </c>
      <c r="Z108" s="0" t="s">
        <v>42</v>
      </c>
      <c r="AA108" s="0" t="s">
        <v>43</v>
      </c>
      <c r="AE108" s="1" t="s">
        <v>52</v>
      </c>
      <c r="AH108" s="1" t="s">
        <v>512</v>
      </c>
    </row>
    <row r="109" customFormat="false" ht="12.8" hidden="false" customHeight="false" outlineLevel="0" collapsed="false">
      <c r="A109" s="0" t="n">
        <v>338872</v>
      </c>
      <c r="B109" s="0" t="n">
        <v>367705</v>
      </c>
      <c r="C109" s="0" t="n">
        <v>409663</v>
      </c>
      <c r="D109" s="0" t="s">
        <v>35</v>
      </c>
      <c r="E109" s="0" t="s">
        <v>35</v>
      </c>
      <c r="F109" s="0" t="s">
        <v>36</v>
      </c>
      <c r="G109" s="0" t="s">
        <v>500</v>
      </c>
      <c r="H109" s="0" t="s">
        <v>501</v>
      </c>
      <c r="J109" s="0" t="s">
        <v>502</v>
      </c>
      <c r="K109" s="0" t="s">
        <v>503</v>
      </c>
      <c r="M109" s="0" t="s">
        <v>504</v>
      </c>
      <c r="N109" s="0" t="s">
        <v>505</v>
      </c>
      <c r="O109" s="0" t="s">
        <v>506</v>
      </c>
      <c r="P109" s="0" t="n">
        <v>1902</v>
      </c>
      <c r="Q109" s="0" t="s">
        <v>39</v>
      </c>
      <c r="R109" s="0" t="s">
        <v>507</v>
      </c>
      <c r="S109" s="0" t="s">
        <v>508</v>
      </c>
      <c r="T109" s="0" t="s">
        <v>56</v>
      </c>
      <c r="V109" s="0" t="n">
        <v>1</v>
      </c>
      <c r="W109" s="0" t="n">
        <v>1</v>
      </c>
      <c r="X109" s="0" t="str">
        <f aca="false">"31811010339250"</f>
        <v>31811010339250</v>
      </c>
      <c r="Y109" s="0" t="s">
        <v>39</v>
      </c>
      <c r="Z109" s="0" t="s">
        <v>42</v>
      </c>
      <c r="AA109" s="0" t="s">
        <v>43</v>
      </c>
      <c r="AE109" s="1" t="s">
        <v>52</v>
      </c>
    </row>
    <row r="110" customFormat="false" ht="12.8" hidden="false" customHeight="false" outlineLevel="0" collapsed="false">
      <c r="A110" s="0" t="n">
        <v>516418</v>
      </c>
      <c r="B110" s="0" t="n">
        <v>553715</v>
      </c>
      <c r="C110" s="0" t="n">
        <v>624940</v>
      </c>
      <c r="D110" s="0" t="s">
        <v>35</v>
      </c>
      <c r="E110" s="0" t="s">
        <v>35</v>
      </c>
      <c r="F110" s="0" t="s">
        <v>36</v>
      </c>
      <c r="G110" s="0" t="s">
        <v>500</v>
      </c>
      <c r="H110" s="0" t="s">
        <v>513</v>
      </c>
      <c r="J110" s="0" t="s">
        <v>513</v>
      </c>
      <c r="M110" s="0" t="s">
        <v>514</v>
      </c>
      <c r="N110" s="0" t="n">
        <v>1910</v>
      </c>
      <c r="O110" s="0" t="s">
        <v>515</v>
      </c>
      <c r="P110" s="0" t="n">
        <v>1910</v>
      </c>
      <c r="Q110" s="0" t="s">
        <v>39</v>
      </c>
      <c r="R110" s="0" t="s">
        <v>516</v>
      </c>
      <c r="S110" s="0" t="s">
        <v>517</v>
      </c>
      <c r="V110" s="0" t="n">
        <v>1</v>
      </c>
      <c r="W110" s="0" t="n">
        <v>1</v>
      </c>
      <c r="X110" s="0" t="str">
        <f aca="false">"31811003177121"</f>
        <v>31811003177121</v>
      </c>
      <c r="Y110" s="0" t="s">
        <v>39</v>
      </c>
      <c r="Z110" s="0" t="s">
        <v>42</v>
      </c>
      <c r="AA110" s="0" t="s">
        <v>43</v>
      </c>
      <c r="AE110" s="1" t="s">
        <v>52</v>
      </c>
    </row>
    <row r="111" customFormat="false" ht="12.8" hidden="false" customHeight="false" outlineLevel="0" collapsed="false">
      <c r="A111" s="0" t="n">
        <v>473603</v>
      </c>
      <c r="B111" s="0" t="n">
        <v>505723</v>
      </c>
      <c r="C111" s="0" t="n">
        <v>567973</v>
      </c>
      <c r="D111" s="0" t="s">
        <v>35</v>
      </c>
      <c r="E111" s="0" t="s">
        <v>35</v>
      </c>
      <c r="F111" s="0" t="s">
        <v>36</v>
      </c>
      <c r="G111" s="0" t="s">
        <v>518</v>
      </c>
      <c r="H111" s="0" t="s">
        <v>519</v>
      </c>
      <c r="I111" s="0" t="s">
        <v>520</v>
      </c>
      <c r="J111" s="0" t="s">
        <v>519</v>
      </c>
      <c r="M111" s="0" t="s">
        <v>521</v>
      </c>
      <c r="N111" s="0" t="s">
        <v>522</v>
      </c>
      <c r="O111" s="0" t="s">
        <v>523</v>
      </c>
      <c r="P111" s="0" t="n">
        <v>1966</v>
      </c>
      <c r="Q111" s="0" t="s">
        <v>39</v>
      </c>
      <c r="R111" s="0" t="s">
        <v>524</v>
      </c>
      <c r="S111" s="0" t="s">
        <v>525</v>
      </c>
      <c r="T111" s="0" t="s">
        <v>51</v>
      </c>
      <c r="V111" s="0" t="n">
        <v>1</v>
      </c>
      <c r="W111" s="0" t="n">
        <v>1</v>
      </c>
      <c r="X111" s="0" t="str">
        <f aca="false">"31811010340530"</f>
        <v>31811010340530</v>
      </c>
      <c r="Y111" s="0" t="s">
        <v>39</v>
      </c>
      <c r="Z111" s="0" t="s">
        <v>42</v>
      </c>
      <c r="AA111" s="0" t="s">
        <v>43</v>
      </c>
      <c r="AE111" s="1" t="s">
        <v>52</v>
      </c>
    </row>
    <row r="112" customFormat="false" ht="12.8" hidden="false" customHeight="false" outlineLevel="0" collapsed="false">
      <c r="A112" s="0" t="n">
        <v>473603</v>
      </c>
      <c r="B112" s="0" t="n">
        <v>505723</v>
      </c>
      <c r="C112" s="0" t="n">
        <v>567974</v>
      </c>
      <c r="D112" s="0" t="s">
        <v>35</v>
      </c>
      <c r="E112" s="0" t="s">
        <v>35</v>
      </c>
      <c r="F112" s="0" t="s">
        <v>36</v>
      </c>
      <c r="G112" s="0" t="s">
        <v>518</v>
      </c>
      <c r="H112" s="0" t="s">
        <v>519</v>
      </c>
      <c r="I112" s="0" t="s">
        <v>520</v>
      </c>
      <c r="J112" s="0" t="s">
        <v>519</v>
      </c>
      <c r="M112" s="0" t="s">
        <v>521</v>
      </c>
      <c r="N112" s="0" t="s">
        <v>522</v>
      </c>
      <c r="O112" s="0" t="s">
        <v>523</v>
      </c>
      <c r="P112" s="0" t="n">
        <v>1966</v>
      </c>
      <c r="Q112" s="0" t="s">
        <v>39</v>
      </c>
      <c r="R112" s="0" t="s">
        <v>524</v>
      </c>
      <c r="S112" s="0" t="s">
        <v>525</v>
      </c>
      <c r="T112" s="0" t="s">
        <v>53</v>
      </c>
      <c r="V112" s="0" t="n">
        <v>1</v>
      </c>
      <c r="W112" s="0" t="n">
        <v>1</v>
      </c>
      <c r="X112" s="0" t="str">
        <f aca="false">"31811010340522"</f>
        <v>31811010340522</v>
      </c>
      <c r="Y112" s="0" t="s">
        <v>39</v>
      </c>
      <c r="Z112" s="0" t="s">
        <v>42</v>
      </c>
      <c r="AA112" s="0" t="s">
        <v>43</v>
      </c>
      <c r="AE112" s="1" t="s">
        <v>52</v>
      </c>
    </row>
    <row r="113" customFormat="false" ht="12.8" hidden="false" customHeight="false" outlineLevel="0" collapsed="false">
      <c r="A113" s="0" t="n">
        <v>473603</v>
      </c>
      <c r="B113" s="0" t="n">
        <v>505723</v>
      </c>
      <c r="C113" s="0" t="n">
        <v>567975</v>
      </c>
      <c r="D113" s="0" t="s">
        <v>35</v>
      </c>
      <c r="E113" s="0" t="s">
        <v>35</v>
      </c>
      <c r="F113" s="0" t="s">
        <v>36</v>
      </c>
      <c r="G113" s="0" t="s">
        <v>518</v>
      </c>
      <c r="H113" s="0" t="s">
        <v>519</v>
      </c>
      <c r="I113" s="0" t="s">
        <v>520</v>
      </c>
      <c r="J113" s="0" t="s">
        <v>519</v>
      </c>
      <c r="M113" s="0" t="s">
        <v>521</v>
      </c>
      <c r="N113" s="0" t="s">
        <v>522</v>
      </c>
      <c r="O113" s="0" t="s">
        <v>523</v>
      </c>
      <c r="P113" s="0" t="n">
        <v>1966</v>
      </c>
      <c r="Q113" s="0" t="s">
        <v>39</v>
      </c>
      <c r="R113" s="0" t="s">
        <v>524</v>
      </c>
      <c r="S113" s="0" t="s">
        <v>525</v>
      </c>
      <c r="T113" s="0" t="s">
        <v>243</v>
      </c>
      <c r="V113" s="0" t="n">
        <v>1</v>
      </c>
      <c r="W113" s="0" t="n">
        <v>1</v>
      </c>
      <c r="X113" s="0" t="str">
        <f aca="false">"31811010340514"</f>
        <v>31811010340514</v>
      </c>
      <c r="Y113" s="0" t="s">
        <v>39</v>
      </c>
      <c r="Z113" s="0" t="s">
        <v>42</v>
      </c>
      <c r="AA113" s="0" t="s">
        <v>43</v>
      </c>
      <c r="AE113" s="1" t="s">
        <v>52</v>
      </c>
    </row>
    <row r="114" customFormat="false" ht="12.8" hidden="false" customHeight="false" outlineLevel="0" collapsed="false">
      <c r="A114" s="0" t="n">
        <v>473603</v>
      </c>
      <c r="B114" s="0" t="n">
        <v>505723</v>
      </c>
      <c r="C114" s="0" t="n">
        <v>567976</v>
      </c>
      <c r="D114" s="0" t="s">
        <v>35</v>
      </c>
      <c r="E114" s="0" t="s">
        <v>35</v>
      </c>
      <c r="F114" s="0" t="s">
        <v>36</v>
      </c>
      <c r="G114" s="0" t="s">
        <v>518</v>
      </c>
      <c r="H114" s="0" t="s">
        <v>519</v>
      </c>
      <c r="I114" s="0" t="s">
        <v>520</v>
      </c>
      <c r="J114" s="0" t="s">
        <v>519</v>
      </c>
      <c r="M114" s="0" t="s">
        <v>521</v>
      </c>
      <c r="N114" s="0" t="s">
        <v>522</v>
      </c>
      <c r="O114" s="0" t="s">
        <v>523</v>
      </c>
      <c r="P114" s="0" t="n">
        <v>1966</v>
      </c>
      <c r="Q114" s="0" t="s">
        <v>39</v>
      </c>
      <c r="R114" s="0" t="s">
        <v>524</v>
      </c>
      <c r="S114" s="0" t="s">
        <v>525</v>
      </c>
      <c r="T114" s="0" t="s">
        <v>54</v>
      </c>
      <c r="V114" s="0" t="n">
        <v>1</v>
      </c>
      <c r="W114" s="0" t="n">
        <v>1</v>
      </c>
      <c r="X114" s="0" t="str">
        <f aca="false">"31811010340506"</f>
        <v>31811010340506</v>
      </c>
      <c r="Y114" s="0" t="s">
        <v>39</v>
      </c>
      <c r="Z114" s="0" t="s">
        <v>42</v>
      </c>
      <c r="AA114" s="0" t="s">
        <v>43</v>
      </c>
      <c r="AE114" s="1" t="s">
        <v>52</v>
      </c>
    </row>
    <row r="115" customFormat="false" ht="12.8" hidden="false" customHeight="false" outlineLevel="0" collapsed="false">
      <c r="A115" s="0" t="n">
        <v>473603</v>
      </c>
      <c r="B115" s="0" t="n">
        <v>505723</v>
      </c>
      <c r="C115" s="0" t="n">
        <v>567977</v>
      </c>
      <c r="D115" s="0" t="s">
        <v>35</v>
      </c>
      <c r="E115" s="0" t="s">
        <v>35</v>
      </c>
      <c r="F115" s="0" t="s">
        <v>36</v>
      </c>
      <c r="G115" s="0" t="s">
        <v>518</v>
      </c>
      <c r="H115" s="0" t="s">
        <v>519</v>
      </c>
      <c r="I115" s="0" t="s">
        <v>520</v>
      </c>
      <c r="J115" s="0" t="s">
        <v>519</v>
      </c>
      <c r="M115" s="0" t="s">
        <v>521</v>
      </c>
      <c r="N115" s="0" t="s">
        <v>522</v>
      </c>
      <c r="O115" s="0" t="s">
        <v>523</v>
      </c>
      <c r="P115" s="0" t="n">
        <v>1966</v>
      </c>
      <c r="Q115" s="0" t="s">
        <v>39</v>
      </c>
      <c r="R115" s="0" t="s">
        <v>524</v>
      </c>
      <c r="S115" s="0" t="s">
        <v>525</v>
      </c>
      <c r="T115" s="0" t="s">
        <v>510</v>
      </c>
      <c r="V115" s="0" t="n">
        <v>1</v>
      </c>
      <c r="W115" s="0" t="n">
        <v>1</v>
      </c>
      <c r="X115" s="0" t="str">
        <f aca="false">"31811010340498"</f>
        <v>31811010340498</v>
      </c>
      <c r="Y115" s="0" t="s">
        <v>39</v>
      </c>
      <c r="Z115" s="0" t="s">
        <v>42</v>
      </c>
      <c r="AA115" s="0" t="s">
        <v>43</v>
      </c>
      <c r="AE115" s="1" t="s">
        <v>52</v>
      </c>
    </row>
    <row r="116" customFormat="false" ht="12.8" hidden="false" customHeight="false" outlineLevel="0" collapsed="false">
      <c r="A116" s="0" t="n">
        <v>309136</v>
      </c>
      <c r="B116" s="0" t="n">
        <v>336969</v>
      </c>
      <c r="C116" s="0" t="n">
        <v>376045</v>
      </c>
      <c r="D116" s="0" t="s">
        <v>35</v>
      </c>
      <c r="E116" s="0" t="s">
        <v>35</v>
      </c>
      <c r="F116" s="0" t="s">
        <v>36</v>
      </c>
      <c r="G116" s="0" t="s">
        <v>37</v>
      </c>
      <c r="H116" s="0" t="s">
        <v>526</v>
      </c>
      <c r="I116" s="0" t="s">
        <v>527</v>
      </c>
      <c r="J116" s="0" t="s">
        <v>526</v>
      </c>
      <c r="M116" s="0" t="s">
        <v>528</v>
      </c>
      <c r="N116" s="0" t="n">
        <v>1972</v>
      </c>
      <c r="O116" s="0" t="s">
        <v>529</v>
      </c>
      <c r="P116" s="0" t="n">
        <v>1972</v>
      </c>
      <c r="Q116" s="0" t="s">
        <v>39</v>
      </c>
      <c r="R116" s="0" t="s">
        <v>530</v>
      </c>
      <c r="S116" s="0" t="s">
        <v>531</v>
      </c>
      <c r="T116" s="0" t="s">
        <v>243</v>
      </c>
      <c r="V116" s="0" t="n">
        <v>1</v>
      </c>
      <c r="W116" s="0" t="n">
        <v>1</v>
      </c>
      <c r="X116" s="0" t="str">
        <f aca="false">"31811010750282"</f>
        <v>31811010750282</v>
      </c>
      <c r="Y116" s="0" t="s">
        <v>39</v>
      </c>
      <c r="Z116" s="0" t="s">
        <v>42</v>
      </c>
      <c r="AA116" s="0" t="s">
        <v>43</v>
      </c>
      <c r="AE116" s="1" t="s">
        <v>52</v>
      </c>
      <c r="AF116" s="1" t="s">
        <v>532</v>
      </c>
    </row>
    <row r="117" customFormat="false" ht="12.8" hidden="false" customHeight="false" outlineLevel="0" collapsed="false">
      <c r="A117" s="0" t="n">
        <v>377102</v>
      </c>
      <c r="B117" s="0" t="n">
        <v>408223</v>
      </c>
      <c r="C117" s="0" t="n">
        <v>454721</v>
      </c>
      <c r="D117" s="0" t="s">
        <v>35</v>
      </c>
      <c r="E117" s="0" t="s">
        <v>35</v>
      </c>
      <c r="F117" s="0" t="s">
        <v>36</v>
      </c>
      <c r="G117" s="0" t="s">
        <v>37</v>
      </c>
      <c r="H117" s="0" t="s">
        <v>533</v>
      </c>
      <c r="J117" s="0" t="s">
        <v>534</v>
      </c>
      <c r="M117" s="0" t="s">
        <v>535</v>
      </c>
      <c r="N117" s="0" t="n">
        <v>1863</v>
      </c>
      <c r="O117" s="0" t="s">
        <v>536</v>
      </c>
      <c r="P117" s="0" t="n">
        <v>1863</v>
      </c>
      <c r="Q117" s="0" t="s">
        <v>39</v>
      </c>
      <c r="R117" s="0" t="s">
        <v>537</v>
      </c>
      <c r="S117" s="0" t="s">
        <v>538</v>
      </c>
      <c r="T117" s="0" t="s">
        <v>51</v>
      </c>
      <c r="V117" s="0" t="n">
        <v>1</v>
      </c>
      <c r="W117" s="0" t="n">
        <v>1</v>
      </c>
      <c r="X117" s="0" t="str">
        <f aca="false">"31811010750241"</f>
        <v>31811010750241</v>
      </c>
      <c r="Y117" s="0" t="s">
        <v>39</v>
      </c>
      <c r="Z117" s="0" t="s">
        <v>42</v>
      </c>
      <c r="AA117" s="0" t="s">
        <v>43</v>
      </c>
      <c r="AE117" s="1" t="s">
        <v>52</v>
      </c>
    </row>
    <row r="118" customFormat="false" ht="12.8" hidden="false" customHeight="false" outlineLevel="0" collapsed="false">
      <c r="A118" s="0" t="n">
        <v>377102</v>
      </c>
      <c r="B118" s="0" t="n">
        <v>408223</v>
      </c>
      <c r="C118" s="0" t="n">
        <v>454722</v>
      </c>
      <c r="D118" s="0" t="s">
        <v>35</v>
      </c>
      <c r="E118" s="0" t="s">
        <v>35</v>
      </c>
      <c r="F118" s="0" t="s">
        <v>36</v>
      </c>
      <c r="G118" s="0" t="s">
        <v>37</v>
      </c>
      <c r="H118" s="0" t="s">
        <v>533</v>
      </c>
      <c r="J118" s="0" t="s">
        <v>534</v>
      </c>
      <c r="M118" s="0" t="s">
        <v>535</v>
      </c>
      <c r="N118" s="0" t="n">
        <v>1863</v>
      </c>
      <c r="O118" s="0" t="s">
        <v>536</v>
      </c>
      <c r="P118" s="0" t="n">
        <v>1863</v>
      </c>
      <c r="Q118" s="0" t="s">
        <v>39</v>
      </c>
      <c r="R118" s="0" t="s">
        <v>537</v>
      </c>
      <c r="S118" s="0" t="s">
        <v>538</v>
      </c>
      <c r="T118" s="0" t="s">
        <v>53</v>
      </c>
      <c r="V118" s="0" t="n">
        <v>1</v>
      </c>
      <c r="W118" s="0" t="n">
        <v>1</v>
      </c>
      <c r="X118" s="0" t="str">
        <f aca="false">"31811010750209"</f>
        <v>31811010750209</v>
      </c>
      <c r="Y118" s="0" t="s">
        <v>39</v>
      </c>
      <c r="Z118" s="0" t="s">
        <v>42</v>
      </c>
      <c r="AA118" s="0" t="s">
        <v>43</v>
      </c>
      <c r="AE118" s="1" t="s">
        <v>52</v>
      </c>
    </row>
    <row r="119" customFormat="false" ht="12.8" hidden="false" customHeight="false" outlineLevel="0" collapsed="false">
      <c r="A119" s="0" t="n">
        <v>377102</v>
      </c>
      <c r="B119" s="0" t="n">
        <v>408223</v>
      </c>
      <c r="C119" s="0" t="n">
        <v>454723</v>
      </c>
      <c r="D119" s="0" t="s">
        <v>35</v>
      </c>
      <c r="E119" s="0" t="s">
        <v>35</v>
      </c>
      <c r="F119" s="0" t="s">
        <v>36</v>
      </c>
      <c r="G119" s="0" t="s">
        <v>37</v>
      </c>
      <c r="H119" s="0" t="s">
        <v>533</v>
      </c>
      <c r="J119" s="0" t="s">
        <v>534</v>
      </c>
      <c r="M119" s="0" t="s">
        <v>535</v>
      </c>
      <c r="N119" s="0" t="n">
        <v>1863</v>
      </c>
      <c r="O119" s="0" t="s">
        <v>536</v>
      </c>
      <c r="P119" s="0" t="n">
        <v>1863</v>
      </c>
      <c r="Q119" s="0" t="s">
        <v>39</v>
      </c>
      <c r="R119" s="0" t="s">
        <v>537</v>
      </c>
      <c r="S119" s="0" t="s">
        <v>538</v>
      </c>
      <c r="T119" s="0" t="s">
        <v>243</v>
      </c>
      <c r="V119" s="0" t="n">
        <v>1</v>
      </c>
      <c r="W119" s="0" t="n">
        <v>1</v>
      </c>
      <c r="X119" s="0" t="str">
        <f aca="false">"31811010758939"</f>
        <v>31811010758939</v>
      </c>
      <c r="Y119" s="0" t="s">
        <v>39</v>
      </c>
      <c r="Z119" s="0" t="s">
        <v>42</v>
      </c>
      <c r="AA119" s="0" t="s">
        <v>43</v>
      </c>
      <c r="AE119" s="1" t="s">
        <v>52</v>
      </c>
    </row>
    <row r="120" customFormat="false" ht="12.8" hidden="false" customHeight="false" outlineLevel="0" collapsed="false">
      <c r="A120" s="0" t="n">
        <v>377102</v>
      </c>
      <c r="B120" s="0" t="n">
        <v>408223</v>
      </c>
      <c r="C120" s="0" t="n">
        <v>454724</v>
      </c>
      <c r="D120" s="0" t="s">
        <v>35</v>
      </c>
      <c r="E120" s="0" t="s">
        <v>35</v>
      </c>
      <c r="F120" s="0" t="s">
        <v>36</v>
      </c>
      <c r="G120" s="0" t="s">
        <v>37</v>
      </c>
      <c r="H120" s="0" t="s">
        <v>533</v>
      </c>
      <c r="J120" s="0" t="s">
        <v>534</v>
      </c>
      <c r="M120" s="0" t="s">
        <v>535</v>
      </c>
      <c r="N120" s="0" t="n">
        <v>1863</v>
      </c>
      <c r="O120" s="0" t="s">
        <v>536</v>
      </c>
      <c r="P120" s="0" t="n">
        <v>1863</v>
      </c>
      <c r="Q120" s="0" t="s">
        <v>39</v>
      </c>
      <c r="R120" s="0" t="s">
        <v>537</v>
      </c>
      <c r="S120" s="0" t="s">
        <v>538</v>
      </c>
      <c r="T120" s="0" t="s">
        <v>54</v>
      </c>
      <c r="V120" s="0" t="n">
        <v>1</v>
      </c>
      <c r="W120" s="0" t="n">
        <v>1</v>
      </c>
      <c r="X120" s="0" t="str">
        <f aca="false">"31811010332701"</f>
        <v>31811010332701</v>
      </c>
      <c r="Y120" s="0" t="s">
        <v>39</v>
      </c>
      <c r="Z120" s="0" t="s">
        <v>42</v>
      </c>
      <c r="AA120" s="0" t="s">
        <v>43</v>
      </c>
      <c r="AE120" s="1" t="s">
        <v>52</v>
      </c>
    </row>
    <row r="121" customFormat="false" ht="12.8" hidden="false" customHeight="false" outlineLevel="0" collapsed="false">
      <c r="A121" s="0" t="n">
        <v>377102</v>
      </c>
      <c r="B121" s="0" t="n">
        <v>408223</v>
      </c>
      <c r="C121" s="0" t="n">
        <v>454725</v>
      </c>
      <c r="D121" s="0" t="s">
        <v>35</v>
      </c>
      <c r="E121" s="0" t="s">
        <v>35</v>
      </c>
      <c r="F121" s="0" t="s">
        <v>36</v>
      </c>
      <c r="G121" s="0" t="s">
        <v>37</v>
      </c>
      <c r="H121" s="0" t="s">
        <v>533</v>
      </c>
      <c r="J121" s="0" t="s">
        <v>534</v>
      </c>
      <c r="M121" s="0" t="s">
        <v>535</v>
      </c>
      <c r="N121" s="0" t="n">
        <v>1863</v>
      </c>
      <c r="O121" s="0" t="s">
        <v>536</v>
      </c>
      <c r="P121" s="0" t="n">
        <v>1863</v>
      </c>
      <c r="Q121" s="0" t="s">
        <v>39</v>
      </c>
      <c r="R121" s="0" t="s">
        <v>537</v>
      </c>
      <c r="S121" s="0" t="s">
        <v>538</v>
      </c>
      <c r="T121" s="0" t="s">
        <v>510</v>
      </c>
      <c r="V121" s="0" t="n">
        <v>1</v>
      </c>
      <c r="W121" s="0" t="n">
        <v>1</v>
      </c>
      <c r="X121" s="0" t="str">
        <f aca="false">"31811010332693"</f>
        <v>31811010332693</v>
      </c>
      <c r="Y121" s="0" t="s">
        <v>39</v>
      </c>
      <c r="Z121" s="0" t="s">
        <v>42</v>
      </c>
      <c r="AA121" s="0" t="s">
        <v>43</v>
      </c>
      <c r="AE121" s="1" t="s">
        <v>52</v>
      </c>
    </row>
    <row r="122" customFormat="false" ht="12.8" hidden="false" customHeight="false" outlineLevel="0" collapsed="false">
      <c r="A122" s="0" t="n">
        <v>377102</v>
      </c>
      <c r="B122" s="0" t="n">
        <v>408223</v>
      </c>
      <c r="C122" s="0" t="n">
        <v>454726</v>
      </c>
      <c r="D122" s="0" t="s">
        <v>35</v>
      </c>
      <c r="E122" s="0" t="s">
        <v>35</v>
      </c>
      <c r="F122" s="0" t="s">
        <v>36</v>
      </c>
      <c r="G122" s="0" t="s">
        <v>37</v>
      </c>
      <c r="H122" s="0" t="s">
        <v>533</v>
      </c>
      <c r="J122" s="0" t="s">
        <v>534</v>
      </c>
      <c r="M122" s="0" t="s">
        <v>535</v>
      </c>
      <c r="N122" s="0" t="n">
        <v>1863</v>
      </c>
      <c r="O122" s="0" t="s">
        <v>536</v>
      </c>
      <c r="P122" s="0" t="n">
        <v>1863</v>
      </c>
      <c r="Q122" s="0" t="s">
        <v>39</v>
      </c>
      <c r="R122" s="0" t="s">
        <v>537</v>
      </c>
      <c r="S122" s="0" t="s">
        <v>538</v>
      </c>
      <c r="T122" s="0" t="s">
        <v>55</v>
      </c>
      <c r="V122" s="0" t="n">
        <v>1</v>
      </c>
      <c r="W122" s="0" t="n">
        <v>1</v>
      </c>
      <c r="X122" s="0" t="str">
        <f aca="false">"31811010095324"</f>
        <v>31811010095324</v>
      </c>
      <c r="Y122" s="0" t="s">
        <v>39</v>
      </c>
      <c r="Z122" s="0" t="s">
        <v>42</v>
      </c>
      <c r="AA122" s="0" t="s">
        <v>43</v>
      </c>
      <c r="AE122" s="1" t="s">
        <v>52</v>
      </c>
    </row>
    <row r="123" customFormat="false" ht="12.8" hidden="false" customHeight="false" outlineLevel="0" collapsed="false">
      <c r="A123" s="0" t="n">
        <v>377102</v>
      </c>
      <c r="B123" s="0" t="n">
        <v>408223</v>
      </c>
      <c r="C123" s="0" t="n">
        <v>454727</v>
      </c>
      <c r="D123" s="0" t="s">
        <v>35</v>
      </c>
      <c r="E123" s="0" t="s">
        <v>35</v>
      </c>
      <c r="F123" s="0" t="s">
        <v>36</v>
      </c>
      <c r="G123" s="0" t="s">
        <v>37</v>
      </c>
      <c r="H123" s="0" t="s">
        <v>533</v>
      </c>
      <c r="J123" s="0" t="s">
        <v>534</v>
      </c>
      <c r="M123" s="0" t="s">
        <v>535</v>
      </c>
      <c r="N123" s="0" t="n">
        <v>1863</v>
      </c>
      <c r="O123" s="0" t="s">
        <v>536</v>
      </c>
      <c r="P123" s="0" t="n">
        <v>1863</v>
      </c>
      <c r="Q123" s="0" t="s">
        <v>39</v>
      </c>
      <c r="R123" s="0" t="s">
        <v>537</v>
      </c>
      <c r="S123" s="0" t="s">
        <v>538</v>
      </c>
      <c r="T123" s="0" t="s">
        <v>511</v>
      </c>
      <c r="V123" s="0" t="n">
        <v>1</v>
      </c>
      <c r="W123" s="0" t="n">
        <v>1</v>
      </c>
      <c r="X123" s="0" t="str">
        <f aca="false">"31811010332685"</f>
        <v>31811010332685</v>
      </c>
      <c r="Y123" s="0" t="s">
        <v>39</v>
      </c>
      <c r="Z123" s="0" t="s">
        <v>42</v>
      </c>
      <c r="AA123" s="0" t="s">
        <v>43</v>
      </c>
      <c r="AE123" s="1" t="s">
        <v>52</v>
      </c>
    </row>
    <row r="124" customFormat="false" ht="12.8" hidden="false" customHeight="false" outlineLevel="0" collapsed="false">
      <c r="A124" s="0" t="n">
        <v>377102</v>
      </c>
      <c r="B124" s="0" t="n">
        <v>408223</v>
      </c>
      <c r="C124" s="0" t="n">
        <v>454728</v>
      </c>
      <c r="D124" s="0" t="s">
        <v>35</v>
      </c>
      <c r="E124" s="0" t="s">
        <v>35</v>
      </c>
      <c r="F124" s="0" t="s">
        <v>36</v>
      </c>
      <c r="G124" s="0" t="s">
        <v>37</v>
      </c>
      <c r="H124" s="0" t="s">
        <v>533</v>
      </c>
      <c r="J124" s="0" t="s">
        <v>534</v>
      </c>
      <c r="M124" s="0" t="s">
        <v>535</v>
      </c>
      <c r="N124" s="0" t="n">
        <v>1863</v>
      </c>
      <c r="O124" s="0" t="s">
        <v>536</v>
      </c>
      <c r="P124" s="0" t="n">
        <v>1863</v>
      </c>
      <c r="Q124" s="0" t="s">
        <v>39</v>
      </c>
      <c r="R124" s="0" t="s">
        <v>537</v>
      </c>
      <c r="S124" s="0" t="s">
        <v>538</v>
      </c>
      <c r="T124" s="0" t="s">
        <v>56</v>
      </c>
      <c r="V124" s="0" t="n">
        <v>1</v>
      </c>
      <c r="W124" s="0" t="n">
        <v>1</v>
      </c>
      <c r="X124" s="0" t="str">
        <f aca="false">"31811010332677"</f>
        <v>31811010332677</v>
      </c>
      <c r="Y124" s="0" t="s">
        <v>39</v>
      </c>
      <c r="Z124" s="0" t="s">
        <v>42</v>
      </c>
      <c r="AA124" s="0" t="s">
        <v>43</v>
      </c>
      <c r="AE124" s="1" t="s">
        <v>52</v>
      </c>
    </row>
    <row r="125" customFormat="false" ht="12.8" hidden="false" customHeight="false" outlineLevel="0" collapsed="false">
      <c r="A125" s="0" t="n">
        <v>377102</v>
      </c>
      <c r="B125" s="0" t="n">
        <v>408223</v>
      </c>
      <c r="C125" s="0" t="n">
        <v>454729</v>
      </c>
      <c r="D125" s="0" t="s">
        <v>35</v>
      </c>
      <c r="E125" s="0" t="s">
        <v>35</v>
      </c>
      <c r="F125" s="0" t="s">
        <v>36</v>
      </c>
      <c r="G125" s="0" t="s">
        <v>37</v>
      </c>
      <c r="H125" s="0" t="s">
        <v>533</v>
      </c>
      <c r="J125" s="0" t="s">
        <v>534</v>
      </c>
      <c r="M125" s="0" t="s">
        <v>535</v>
      </c>
      <c r="N125" s="0" t="n">
        <v>1863</v>
      </c>
      <c r="O125" s="0" t="s">
        <v>536</v>
      </c>
      <c r="P125" s="0" t="n">
        <v>1863</v>
      </c>
      <c r="Q125" s="0" t="s">
        <v>39</v>
      </c>
      <c r="R125" s="0" t="s">
        <v>537</v>
      </c>
      <c r="S125" s="0" t="s">
        <v>538</v>
      </c>
      <c r="T125" s="0" t="s">
        <v>57</v>
      </c>
      <c r="V125" s="0" t="n">
        <v>1</v>
      </c>
      <c r="W125" s="0" t="n">
        <v>1</v>
      </c>
      <c r="X125" s="0" t="str">
        <f aca="false">"31811010332669"</f>
        <v>31811010332669</v>
      </c>
      <c r="Y125" s="0" t="s">
        <v>39</v>
      </c>
      <c r="Z125" s="0" t="s">
        <v>42</v>
      </c>
      <c r="AA125" s="0" t="s">
        <v>43</v>
      </c>
      <c r="AE125" s="1" t="s">
        <v>52</v>
      </c>
    </row>
    <row r="126" customFormat="false" ht="12.8" hidden="false" customHeight="false" outlineLevel="0" collapsed="false">
      <c r="A126" s="0" t="n">
        <v>377102</v>
      </c>
      <c r="B126" s="0" t="n">
        <v>408223</v>
      </c>
      <c r="C126" s="0" t="n">
        <v>454730</v>
      </c>
      <c r="D126" s="0" t="s">
        <v>35</v>
      </c>
      <c r="E126" s="0" t="s">
        <v>35</v>
      </c>
      <c r="F126" s="0" t="s">
        <v>36</v>
      </c>
      <c r="G126" s="0" t="s">
        <v>37</v>
      </c>
      <c r="H126" s="0" t="s">
        <v>533</v>
      </c>
      <c r="J126" s="0" t="s">
        <v>534</v>
      </c>
      <c r="M126" s="0" t="s">
        <v>535</v>
      </c>
      <c r="N126" s="0" t="n">
        <v>1863</v>
      </c>
      <c r="O126" s="0" t="s">
        <v>536</v>
      </c>
      <c r="P126" s="0" t="n">
        <v>1863</v>
      </c>
      <c r="Q126" s="0" t="s">
        <v>39</v>
      </c>
      <c r="R126" s="0" t="s">
        <v>537</v>
      </c>
      <c r="S126" s="0" t="s">
        <v>538</v>
      </c>
      <c r="T126" s="0" t="s">
        <v>58</v>
      </c>
      <c r="V126" s="0" t="n">
        <v>1</v>
      </c>
      <c r="W126" s="0" t="n">
        <v>1</v>
      </c>
      <c r="X126" s="0" t="str">
        <f aca="false">"31811010332651"</f>
        <v>31811010332651</v>
      </c>
      <c r="Y126" s="0" t="s">
        <v>39</v>
      </c>
      <c r="Z126" s="0" t="s">
        <v>42</v>
      </c>
      <c r="AA126" s="0" t="s">
        <v>43</v>
      </c>
      <c r="AE126" s="1" t="s">
        <v>52</v>
      </c>
    </row>
    <row r="127" customFormat="false" ht="12.8" hidden="false" customHeight="false" outlineLevel="0" collapsed="false">
      <c r="A127" s="0" t="n">
        <v>377102</v>
      </c>
      <c r="B127" s="0" t="n">
        <v>408223</v>
      </c>
      <c r="C127" s="0" t="n">
        <v>454731</v>
      </c>
      <c r="D127" s="0" t="s">
        <v>35</v>
      </c>
      <c r="E127" s="0" t="s">
        <v>35</v>
      </c>
      <c r="F127" s="0" t="s">
        <v>36</v>
      </c>
      <c r="G127" s="0" t="s">
        <v>37</v>
      </c>
      <c r="H127" s="0" t="s">
        <v>533</v>
      </c>
      <c r="J127" s="0" t="s">
        <v>534</v>
      </c>
      <c r="M127" s="0" t="s">
        <v>535</v>
      </c>
      <c r="N127" s="0" t="n">
        <v>1863</v>
      </c>
      <c r="O127" s="0" t="s">
        <v>536</v>
      </c>
      <c r="P127" s="0" t="n">
        <v>1863</v>
      </c>
      <c r="Q127" s="0" t="s">
        <v>39</v>
      </c>
      <c r="R127" s="0" t="s">
        <v>537</v>
      </c>
      <c r="S127" s="0" t="s">
        <v>538</v>
      </c>
      <c r="T127" s="0" t="s">
        <v>60</v>
      </c>
      <c r="V127" s="0" t="n">
        <v>1</v>
      </c>
      <c r="W127" s="0" t="n">
        <v>1</v>
      </c>
      <c r="X127" s="0" t="str">
        <f aca="false">"31811010332644"</f>
        <v>31811010332644</v>
      </c>
      <c r="Y127" s="0" t="s">
        <v>39</v>
      </c>
      <c r="Z127" s="0" t="s">
        <v>42</v>
      </c>
      <c r="AA127" s="0" t="s">
        <v>43</v>
      </c>
      <c r="AE127" s="1" t="s">
        <v>52</v>
      </c>
    </row>
    <row r="128" customFormat="false" ht="12.8" hidden="false" customHeight="false" outlineLevel="0" collapsed="false">
      <c r="A128" s="0" t="n">
        <v>377102</v>
      </c>
      <c r="B128" s="0" t="n">
        <v>408223</v>
      </c>
      <c r="C128" s="0" t="n">
        <v>454732</v>
      </c>
      <c r="D128" s="0" t="s">
        <v>35</v>
      </c>
      <c r="E128" s="0" t="s">
        <v>35</v>
      </c>
      <c r="F128" s="0" t="s">
        <v>36</v>
      </c>
      <c r="G128" s="0" t="s">
        <v>37</v>
      </c>
      <c r="H128" s="0" t="s">
        <v>533</v>
      </c>
      <c r="J128" s="0" t="s">
        <v>534</v>
      </c>
      <c r="M128" s="0" t="s">
        <v>535</v>
      </c>
      <c r="N128" s="0" t="n">
        <v>1863</v>
      </c>
      <c r="O128" s="0" t="s">
        <v>536</v>
      </c>
      <c r="P128" s="0" t="n">
        <v>1863</v>
      </c>
      <c r="Q128" s="0" t="s">
        <v>39</v>
      </c>
      <c r="R128" s="0" t="s">
        <v>537</v>
      </c>
      <c r="S128" s="0" t="s">
        <v>538</v>
      </c>
      <c r="T128" s="0" t="s">
        <v>61</v>
      </c>
      <c r="V128" s="0" t="n">
        <v>1</v>
      </c>
      <c r="W128" s="0" t="n">
        <v>1</v>
      </c>
      <c r="X128" s="0" t="str">
        <f aca="false">"31811010332636"</f>
        <v>31811010332636</v>
      </c>
      <c r="Y128" s="0" t="s">
        <v>39</v>
      </c>
      <c r="Z128" s="0" t="s">
        <v>42</v>
      </c>
      <c r="AA128" s="0" t="s">
        <v>43</v>
      </c>
      <c r="AE128" s="1" t="s">
        <v>52</v>
      </c>
    </row>
    <row r="129" customFormat="false" ht="12.8" hidden="false" customHeight="false" outlineLevel="0" collapsed="false">
      <c r="A129" s="0" t="n">
        <v>377102</v>
      </c>
      <c r="B129" s="0" t="n">
        <v>408223</v>
      </c>
      <c r="C129" s="0" t="n">
        <v>454733</v>
      </c>
      <c r="D129" s="0" t="s">
        <v>35</v>
      </c>
      <c r="E129" s="0" t="s">
        <v>35</v>
      </c>
      <c r="F129" s="0" t="s">
        <v>36</v>
      </c>
      <c r="G129" s="0" t="s">
        <v>37</v>
      </c>
      <c r="H129" s="0" t="s">
        <v>533</v>
      </c>
      <c r="J129" s="0" t="s">
        <v>534</v>
      </c>
      <c r="M129" s="0" t="s">
        <v>535</v>
      </c>
      <c r="N129" s="0" t="n">
        <v>1863</v>
      </c>
      <c r="O129" s="0" t="s">
        <v>536</v>
      </c>
      <c r="P129" s="0" t="n">
        <v>1863</v>
      </c>
      <c r="Q129" s="0" t="s">
        <v>39</v>
      </c>
      <c r="R129" s="0" t="s">
        <v>537</v>
      </c>
      <c r="S129" s="0" t="s">
        <v>538</v>
      </c>
      <c r="T129" s="0" t="s">
        <v>62</v>
      </c>
      <c r="V129" s="0" t="n">
        <v>1</v>
      </c>
      <c r="W129" s="0" t="n">
        <v>1</v>
      </c>
      <c r="X129" s="0" t="str">
        <f aca="false">"31811010332628"</f>
        <v>31811010332628</v>
      </c>
      <c r="Y129" s="0" t="s">
        <v>39</v>
      </c>
      <c r="Z129" s="0" t="s">
        <v>42</v>
      </c>
      <c r="AA129" s="0" t="s">
        <v>43</v>
      </c>
      <c r="AE129" s="1" t="s">
        <v>52</v>
      </c>
    </row>
    <row r="130" customFormat="false" ht="12.8" hidden="false" customHeight="false" outlineLevel="0" collapsed="false">
      <c r="A130" s="0" t="n">
        <v>377102</v>
      </c>
      <c r="B130" s="0" t="n">
        <v>408223</v>
      </c>
      <c r="C130" s="0" t="n">
        <v>454734</v>
      </c>
      <c r="D130" s="0" t="s">
        <v>35</v>
      </c>
      <c r="E130" s="0" t="s">
        <v>35</v>
      </c>
      <c r="F130" s="0" t="s">
        <v>36</v>
      </c>
      <c r="G130" s="0" t="s">
        <v>37</v>
      </c>
      <c r="H130" s="0" t="s">
        <v>533</v>
      </c>
      <c r="J130" s="0" t="s">
        <v>534</v>
      </c>
      <c r="M130" s="0" t="s">
        <v>535</v>
      </c>
      <c r="N130" s="0" t="n">
        <v>1863</v>
      </c>
      <c r="O130" s="0" t="s">
        <v>536</v>
      </c>
      <c r="P130" s="0" t="n">
        <v>1863</v>
      </c>
      <c r="Q130" s="0" t="s">
        <v>39</v>
      </c>
      <c r="R130" s="0" t="s">
        <v>537</v>
      </c>
      <c r="S130" s="0" t="s">
        <v>538</v>
      </c>
      <c r="T130" s="0" t="s">
        <v>539</v>
      </c>
      <c r="V130" s="0" t="n">
        <v>1</v>
      </c>
      <c r="W130" s="0" t="n">
        <v>1</v>
      </c>
      <c r="X130" s="0" t="str">
        <f aca="false">"31811010332610"</f>
        <v>31811010332610</v>
      </c>
      <c r="Y130" s="0" t="s">
        <v>39</v>
      </c>
      <c r="Z130" s="0" t="s">
        <v>42</v>
      </c>
      <c r="AA130" s="0" t="s">
        <v>43</v>
      </c>
      <c r="AE130" s="1" t="s">
        <v>52</v>
      </c>
    </row>
    <row r="131" customFormat="false" ht="12.8" hidden="false" customHeight="false" outlineLevel="0" collapsed="false">
      <c r="A131" s="0" t="n">
        <v>377102</v>
      </c>
      <c r="B131" s="0" t="n">
        <v>408223</v>
      </c>
      <c r="C131" s="0" t="n">
        <v>454735</v>
      </c>
      <c r="D131" s="0" t="s">
        <v>35</v>
      </c>
      <c r="E131" s="0" t="s">
        <v>35</v>
      </c>
      <c r="F131" s="0" t="s">
        <v>36</v>
      </c>
      <c r="G131" s="0" t="s">
        <v>37</v>
      </c>
      <c r="H131" s="0" t="s">
        <v>533</v>
      </c>
      <c r="J131" s="0" t="s">
        <v>534</v>
      </c>
      <c r="M131" s="0" t="s">
        <v>535</v>
      </c>
      <c r="N131" s="0" t="n">
        <v>1863</v>
      </c>
      <c r="O131" s="0" t="s">
        <v>536</v>
      </c>
      <c r="P131" s="0" t="n">
        <v>1863</v>
      </c>
      <c r="Q131" s="0" t="s">
        <v>39</v>
      </c>
      <c r="R131" s="0" t="s">
        <v>537</v>
      </c>
      <c r="S131" s="0" t="s">
        <v>538</v>
      </c>
      <c r="T131" s="0" t="s">
        <v>63</v>
      </c>
      <c r="V131" s="0" t="n">
        <v>1</v>
      </c>
      <c r="W131" s="0" t="n">
        <v>1</v>
      </c>
      <c r="X131" s="0" t="str">
        <f aca="false">"31811010332602"</f>
        <v>31811010332602</v>
      </c>
      <c r="Y131" s="0" t="s">
        <v>39</v>
      </c>
      <c r="Z131" s="0" t="s">
        <v>42</v>
      </c>
      <c r="AA131" s="0" t="s">
        <v>43</v>
      </c>
      <c r="AE131" s="1" t="s">
        <v>52</v>
      </c>
    </row>
    <row r="132" customFormat="false" ht="12.8" hidden="false" customHeight="false" outlineLevel="0" collapsed="false">
      <c r="A132" s="0" t="n">
        <v>377102</v>
      </c>
      <c r="B132" s="0" t="n">
        <v>408223</v>
      </c>
      <c r="C132" s="0" t="n">
        <v>454736</v>
      </c>
      <c r="D132" s="0" t="s">
        <v>35</v>
      </c>
      <c r="E132" s="0" t="s">
        <v>35</v>
      </c>
      <c r="F132" s="0" t="s">
        <v>36</v>
      </c>
      <c r="G132" s="0" t="s">
        <v>37</v>
      </c>
      <c r="H132" s="0" t="s">
        <v>533</v>
      </c>
      <c r="J132" s="0" t="s">
        <v>534</v>
      </c>
      <c r="M132" s="0" t="s">
        <v>535</v>
      </c>
      <c r="N132" s="0" t="n">
        <v>1863</v>
      </c>
      <c r="O132" s="0" t="s">
        <v>536</v>
      </c>
      <c r="P132" s="0" t="n">
        <v>1863</v>
      </c>
      <c r="Q132" s="0" t="s">
        <v>39</v>
      </c>
      <c r="R132" s="0" t="s">
        <v>537</v>
      </c>
      <c r="S132" s="0" t="s">
        <v>538</v>
      </c>
      <c r="T132" s="0" t="s">
        <v>64</v>
      </c>
      <c r="V132" s="0" t="n">
        <v>1</v>
      </c>
      <c r="W132" s="0" t="n">
        <v>1</v>
      </c>
      <c r="X132" s="0" t="str">
        <f aca="false">"31811010332594"</f>
        <v>31811010332594</v>
      </c>
      <c r="Y132" s="0" t="s">
        <v>39</v>
      </c>
      <c r="Z132" s="0" t="s">
        <v>42</v>
      </c>
      <c r="AA132" s="0" t="s">
        <v>43</v>
      </c>
      <c r="AE132" s="1" t="s">
        <v>52</v>
      </c>
    </row>
    <row r="133" customFormat="false" ht="12.8" hidden="false" customHeight="false" outlineLevel="0" collapsed="false">
      <c r="A133" s="0" t="n">
        <v>348812</v>
      </c>
      <c r="B133" s="0" t="n">
        <v>377968</v>
      </c>
      <c r="C133" s="0" t="n">
        <v>420654</v>
      </c>
      <c r="D133" s="0" t="s">
        <v>35</v>
      </c>
      <c r="E133" s="0" t="s">
        <v>35</v>
      </c>
      <c r="F133" s="0" t="s">
        <v>36</v>
      </c>
      <c r="G133" s="0" t="s">
        <v>37</v>
      </c>
      <c r="H133" s="0" t="s">
        <v>540</v>
      </c>
      <c r="J133" s="0" t="s">
        <v>541</v>
      </c>
      <c r="K133" s="0" t="s">
        <v>542</v>
      </c>
      <c r="M133" s="0" t="s">
        <v>543</v>
      </c>
      <c r="N133" s="0" t="s">
        <v>544</v>
      </c>
      <c r="O133" s="0" t="s">
        <v>545</v>
      </c>
      <c r="P133" s="0" t="n">
        <v>1881</v>
      </c>
      <c r="Q133" s="0" t="s">
        <v>39</v>
      </c>
      <c r="R133" s="0" t="s">
        <v>546</v>
      </c>
      <c r="S133" s="0" t="s">
        <v>547</v>
      </c>
      <c r="T133" s="0" t="s">
        <v>51</v>
      </c>
      <c r="V133" s="0" t="n">
        <v>1</v>
      </c>
      <c r="W133" s="0" t="n">
        <v>1</v>
      </c>
      <c r="X133" s="0" t="str">
        <f aca="false">"31811010332586"</f>
        <v>31811010332586</v>
      </c>
      <c r="Y133" s="0" t="s">
        <v>39</v>
      </c>
      <c r="Z133" s="0" t="s">
        <v>42</v>
      </c>
      <c r="AA133" s="0" t="s">
        <v>43</v>
      </c>
      <c r="AE133" s="1" t="s">
        <v>52</v>
      </c>
    </row>
    <row r="134" customFormat="false" ht="12.8" hidden="false" customHeight="false" outlineLevel="0" collapsed="false">
      <c r="A134" s="0" t="n">
        <v>348812</v>
      </c>
      <c r="B134" s="0" t="n">
        <v>377968</v>
      </c>
      <c r="C134" s="0" t="n">
        <v>420655</v>
      </c>
      <c r="D134" s="0" t="s">
        <v>35</v>
      </c>
      <c r="E134" s="0" t="s">
        <v>35</v>
      </c>
      <c r="F134" s="0" t="s">
        <v>36</v>
      </c>
      <c r="G134" s="0" t="s">
        <v>37</v>
      </c>
      <c r="H134" s="0" t="s">
        <v>540</v>
      </c>
      <c r="J134" s="0" t="s">
        <v>541</v>
      </c>
      <c r="K134" s="0" t="s">
        <v>542</v>
      </c>
      <c r="M134" s="0" t="s">
        <v>543</v>
      </c>
      <c r="N134" s="0" t="s">
        <v>544</v>
      </c>
      <c r="O134" s="0" t="s">
        <v>545</v>
      </c>
      <c r="P134" s="0" t="n">
        <v>1881</v>
      </c>
      <c r="Q134" s="0" t="s">
        <v>39</v>
      </c>
      <c r="R134" s="0" t="s">
        <v>546</v>
      </c>
      <c r="S134" s="0" t="s">
        <v>547</v>
      </c>
      <c r="T134" s="0" t="s">
        <v>53</v>
      </c>
      <c r="V134" s="0" t="n">
        <v>1</v>
      </c>
      <c r="W134" s="0" t="n">
        <v>1</v>
      </c>
      <c r="X134" s="0" t="str">
        <f aca="false">"31811010332578"</f>
        <v>31811010332578</v>
      </c>
      <c r="Y134" s="0" t="s">
        <v>39</v>
      </c>
      <c r="Z134" s="0" t="s">
        <v>42</v>
      </c>
      <c r="AA134" s="0" t="s">
        <v>43</v>
      </c>
      <c r="AE134" s="1" t="s">
        <v>52</v>
      </c>
    </row>
    <row r="135" customFormat="false" ht="12.8" hidden="false" customHeight="false" outlineLevel="0" collapsed="false">
      <c r="A135" s="0" t="n">
        <v>348812</v>
      </c>
      <c r="B135" s="0" t="n">
        <v>377968</v>
      </c>
      <c r="C135" s="0" t="n">
        <v>420656</v>
      </c>
      <c r="D135" s="0" t="s">
        <v>35</v>
      </c>
      <c r="E135" s="0" t="s">
        <v>35</v>
      </c>
      <c r="F135" s="0" t="s">
        <v>36</v>
      </c>
      <c r="G135" s="0" t="s">
        <v>37</v>
      </c>
      <c r="H135" s="0" t="s">
        <v>540</v>
      </c>
      <c r="J135" s="0" t="s">
        <v>541</v>
      </c>
      <c r="K135" s="0" t="s">
        <v>542</v>
      </c>
      <c r="M135" s="0" t="s">
        <v>543</v>
      </c>
      <c r="N135" s="0" t="s">
        <v>544</v>
      </c>
      <c r="O135" s="0" t="s">
        <v>545</v>
      </c>
      <c r="P135" s="0" t="n">
        <v>1881</v>
      </c>
      <c r="Q135" s="0" t="s">
        <v>39</v>
      </c>
      <c r="R135" s="0" t="s">
        <v>546</v>
      </c>
      <c r="S135" s="0" t="s">
        <v>547</v>
      </c>
      <c r="T135" s="0" t="s">
        <v>243</v>
      </c>
      <c r="V135" s="0" t="n">
        <v>1</v>
      </c>
      <c r="W135" s="0" t="n">
        <v>1</v>
      </c>
      <c r="X135" s="0" t="str">
        <f aca="false">"31811010332560"</f>
        <v>31811010332560</v>
      </c>
      <c r="Y135" s="0" t="s">
        <v>39</v>
      </c>
      <c r="Z135" s="0" t="s">
        <v>42</v>
      </c>
      <c r="AA135" s="0" t="s">
        <v>43</v>
      </c>
      <c r="AE135" s="1" t="s">
        <v>52</v>
      </c>
    </row>
    <row r="136" customFormat="false" ht="12.8" hidden="false" customHeight="false" outlineLevel="0" collapsed="false">
      <c r="A136" s="0" t="n">
        <v>348812</v>
      </c>
      <c r="B136" s="0" t="n">
        <v>377968</v>
      </c>
      <c r="C136" s="0" t="n">
        <v>420657</v>
      </c>
      <c r="D136" s="0" t="s">
        <v>35</v>
      </c>
      <c r="E136" s="0" t="s">
        <v>35</v>
      </c>
      <c r="F136" s="0" t="s">
        <v>36</v>
      </c>
      <c r="G136" s="0" t="s">
        <v>37</v>
      </c>
      <c r="H136" s="0" t="s">
        <v>540</v>
      </c>
      <c r="J136" s="0" t="s">
        <v>541</v>
      </c>
      <c r="K136" s="0" t="s">
        <v>542</v>
      </c>
      <c r="M136" s="0" t="s">
        <v>543</v>
      </c>
      <c r="N136" s="0" t="s">
        <v>544</v>
      </c>
      <c r="O136" s="0" t="s">
        <v>545</v>
      </c>
      <c r="P136" s="0" t="n">
        <v>1881</v>
      </c>
      <c r="Q136" s="0" t="s">
        <v>39</v>
      </c>
      <c r="R136" s="0" t="s">
        <v>546</v>
      </c>
      <c r="S136" s="0" t="s">
        <v>547</v>
      </c>
      <c r="T136" s="0" t="s">
        <v>54</v>
      </c>
      <c r="V136" s="0" t="n">
        <v>1</v>
      </c>
      <c r="W136" s="0" t="n">
        <v>1</v>
      </c>
      <c r="X136" s="0" t="str">
        <f aca="false">"31811010332552"</f>
        <v>31811010332552</v>
      </c>
      <c r="Y136" s="0" t="s">
        <v>39</v>
      </c>
      <c r="Z136" s="0" t="s">
        <v>42</v>
      </c>
      <c r="AA136" s="0" t="s">
        <v>43</v>
      </c>
      <c r="AE136" s="1" t="s">
        <v>52</v>
      </c>
    </row>
    <row r="137" customFormat="false" ht="12.8" hidden="false" customHeight="false" outlineLevel="0" collapsed="false">
      <c r="A137" s="0" t="n">
        <v>348812</v>
      </c>
      <c r="B137" s="0" t="n">
        <v>377968</v>
      </c>
      <c r="C137" s="0" t="n">
        <v>420658</v>
      </c>
      <c r="D137" s="0" t="s">
        <v>35</v>
      </c>
      <c r="E137" s="0" t="s">
        <v>35</v>
      </c>
      <c r="F137" s="0" t="s">
        <v>36</v>
      </c>
      <c r="G137" s="0" t="s">
        <v>37</v>
      </c>
      <c r="H137" s="0" t="s">
        <v>540</v>
      </c>
      <c r="J137" s="0" t="s">
        <v>541</v>
      </c>
      <c r="K137" s="0" t="s">
        <v>542</v>
      </c>
      <c r="M137" s="0" t="s">
        <v>543</v>
      </c>
      <c r="N137" s="0" t="s">
        <v>544</v>
      </c>
      <c r="O137" s="0" t="s">
        <v>545</v>
      </c>
      <c r="P137" s="0" t="n">
        <v>1881</v>
      </c>
      <c r="Q137" s="0" t="s">
        <v>39</v>
      </c>
      <c r="R137" s="0" t="s">
        <v>546</v>
      </c>
      <c r="S137" s="0" t="s">
        <v>547</v>
      </c>
      <c r="T137" s="0" t="s">
        <v>510</v>
      </c>
      <c r="V137" s="0" t="n">
        <v>1</v>
      </c>
      <c r="W137" s="0" t="n">
        <v>1</v>
      </c>
      <c r="X137" s="0" t="str">
        <f aca="false">"31811010332545"</f>
        <v>31811010332545</v>
      </c>
      <c r="Y137" s="0" t="s">
        <v>39</v>
      </c>
      <c r="Z137" s="0" t="s">
        <v>42</v>
      </c>
      <c r="AA137" s="0" t="s">
        <v>43</v>
      </c>
      <c r="AE137" s="1" t="s">
        <v>52</v>
      </c>
    </row>
    <row r="138" customFormat="false" ht="12.8" hidden="false" customHeight="false" outlineLevel="0" collapsed="false">
      <c r="A138" s="0" t="n">
        <v>348812</v>
      </c>
      <c r="B138" s="0" t="n">
        <v>377968</v>
      </c>
      <c r="C138" s="0" t="n">
        <v>420659</v>
      </c>
      <c r="D138" s="0" t="s">
        <v>35</v>
      </c>
      <c r="E138" s="0" t="s">
        <v>35</v>
      </c>
      <c r="F138" s="0" t="s">
        <v>36</v>
      </c>
      <c r="G138" s="0" t="s">
        <v>37</v>
      </c>
      <c r="H138" s="0" t="s">
        <v>540</v>
      </c>
      <c r="J138" s="0" t="s">
        <v>541</v>
      </c>
      <c r="K138" s="0" t="s">
        <v>542</v>
      </c>
      <c r="M138" s="0" t="s">
        <v>543</v>
      </c>
      <c r="N138" s="0" t="s">
        <v>544</v>
      </c>
      <c r="O138" s="0" t="s">
        <v>545</v>
      </c>
      <c r="P138" s="0" t="n">
        <v>1881</v>
      </c>
      <c r="Q138" s="0" t="s">
        <v>39</v>
      </c>
      <c r="R138" s="0" t="s">
        <v>546</v>
      </c>
      <c r="S138" s="0" t="s">
        <v>547</v>
      </c>
      <c r="T138" s="0" t="s">
        <v>55</v>
      </c>
      <c r="V138" s="0" t="n">
        <v>1</v>
      </c>
      <c r="W138" s="0" t="n">
        <v>1</v>
      </c>
      <c r="X138" s="0" t="str">
        <f aca="false">"31811010332537"</f>
        <v>31811010332537</v>
      </c>
      <c r="Y138" s="0" t="s">
        <v>39</v>
      </c>
      <c r="Z138" s="0" t="s">
        <v>42</v>
      </c>
      <c r="AA138" s="0" t="s">
        <v>43</v>
      </c>
      <c r="AE138" s="1" t="s">
        <v>52</v>
      </c>
    </row>
    <row r="139" customFormat="false" ht="12.8" hidden="false" customHeight="false" outlineLevel="0" collapsed="false">
      <c r="A139" s="0" t="n">
        <v>348812</v>
      </c>
      <c r="B139" s="0" t="n">
        <v>377968</v>
      </c>
      <c r="C139" s="0" t="n">
        <v>420660</v>
      </c>
      <c r="D139" s="0" t="s">
        <v>35</v>
      </c>
      <c r="E139" s="0" t="s">
        <v>35</v>
      </c>
      <c r="F139" s="0" t="s">
        <v>36</v>
      </c>
      <c r="G139" s="0" t="s">
        <v>37</v>
      </c>
      <c r="H139" s="0" t="s">
        <v>540</v>
      </c>
      <c r="J139" s="0" t="s">
        <v>541</v>
      </c>
      <c r="K139" s="0" t="s">
        <v>542</v>
      </c>
      <c r="M139" s="0" t="s">
        <v>543</v>
      </c>
      <c r="N139" s="0" t="s">
        <v>544</v>
      </c>
      <c r="O139" s="0" t="s">
        <v>545</v>
      </c>
      <c r="P139" s="0" t="n">
        <v>1881</v>
      </c>
      <c r="Q139" s="0" t="s">
        <v>39</v>
      </c>
      <c r="R139" s="0" t="s">
        <v>546</v>
      </c>
      <c r="S139" s="0" t="s">
        <v>547</v>
      </c>
      <c r="T139" s="0" t="s">
        <v>511</v>
      </c>
      <c r="V139" s="0" t="n">
        <v>1</v>
      </c>
      <c r="W139" s="0" t="n">
        <v>1</v>
      </c>
      <c r="X139" s="0" t="str">
        <f aca="false">"31811010332529"</f>
        <v>31811010332529</v>
      </c>
      <c r="Y139" s="0" t="s">
        <v>39</v>
      </c>
      <c r="Z139" s="0" t="s">
        <v>42</v>
      </c>
      <c r="AA139" s="0" t="s">
        <v>43</v>
      </c>
      <c r="AE139" s="1" t="s">
        <v>52</v>
      </c>
    </row>
    <row r="140" customFormat="false" ht="12.8" hidden="false" customHeight="false" outlineLevel="0" collapsed="false">
      <c r="A140" s="0" t="n">
        <v>348812</v>
      </c>
      <c r="B140" s="0" t="n">
        <v>377968</v>
      </c>
      <c r="C140" s="0" t="n">
        <v>420661</v>
      </c>
      <c r="D140" s="0" t="s">
        <v>35</v>
      </c>
      <c r="E140" s="0" t="s">
        <v>35</v>
      </c>
      <c r="F140" s="0" t="s">
        <v>36</v>
      </c>
      <c r="G140" s="0" t="s">
        <v>37</v>
      </c>
      <c r="H140" s="0" t="s">
        <v>540</v>
      </c>
      <c r="J140" s="0" t="s">
        <v>541</v>
      </c>
      <c r="K140" s="0" t="s">
        <v>542</v>
      </c>
      <c r="M140" s="0" t="s">
        <v>543</v>
      </c>
      <c r="N140" s="0" t="s">
        <v>544</v>
      </c>
      <c r="O140" s="0" t="s">
        <v>545</v>
      </c>
      <c r="P140" s="0" t="n">
        <v>1881</v>
      </c>
      <c r="Q140" s="0" t="s">
        <v>39</v>
      </c>
      <c r="R140" s="0" t="s">
        <v>546</v>
      </c>
      <c r="S140" s="0" t="s">
        <v>547</v>
      </c>
      <c r="T140" s="0" t="s">
        <v>56</v>
      </c>
      <c r="V140" s="0" t="n">
        <v>1</v>
      </c>
      <c r="W140" s="0" t="n">
        <v>1</v>
      </c>
      <c r="X140" s="0" t="str">
        <f aca="false">"31811010332511"</f>
        <v>31811010332511</v>
      </c>
      <c r="Y140" s="0" t="s">
        <v>39</v>
      </c>
      <c r="Z140" s="0" t="s">
        <v>42</v>
      </c>
      <c r="AA140" s="0" t="s">
        <v>43</v>
      </c>
      <c r="AE140" s="1" t="s">
        <v>52</v>
      </c>
    </row>
    <row r="141" customFormat="false" ht="12.8" hidden="false" customHeight="false" outlineLevel="0" collapsed="false">
      <c r="A141" s="0" t="n">
        <v>348812</v>
      </c>
      <c r="B141" s="0" t="n">
        <v>377968</v>
      </c>
      <c r="C141" s="0" t="n">
        <v>420662</v>
      </c>
      <c r="D141" s="0" t="s">
        <v>35</v>
      </c>
      <c r="E141" s="0" t="s">
        <v>35</v>
      </c>
      <c r="F141" s="0" t="s">
        <v>36</v>
      </c>
      <c r="G141" s="0" t="s">
        <v>37</v>
      </c>
      <c r="H141" s="0" t="s">
        <v>540</v>
      </c>
      <c r="J141" s="0" t="s">
        <v>541</v>
      </c>
      <c r="K141" s="0" t="s">
        <v>542</v>
      </c>
      <c r="M141" s="0" t="s">
        <v>543</v>
      </c>
      <c r="N141" s="0" t="s">
        <v>544</v>
      </c>
      <c r="O141" s="0" t="s">
        <v>545</v>
      </c>
      <c r="P141" s="0" t="n">
        <v>1881</v>
      </c>
      <c r="Q141" s="0" t="s">
        <v>39</v>
      </c>
      <c r="R141" s="0" t="s">
        <v>546</v>
      </c>
      <c r="S141" s="0" t="s">
        <v>547</v>
      </c>
      <c r="T141" s="0" t="s">
        <v>57</v>
      </c>
      <c r="V141" s="0" t="n">
        <v>1</v>
      </c>
      <c r="W141" s="0" t="n">
        <v>1</v>
      </c>
      <c r="X141" s="0" t="str">
        <f aca="false">"31811010332503"</f>
        <v>31811010332503</v>
      </c>
      <c r="Y141" s="0" t="s">
        <v>39</v>
      </c>
      <c r="Z141" s="0" t="s">
        <v>42</v>
      </c>
      <c r="AA141" s="0" t="s">
        <v>43</v>
      </c>
      <c r="AE141" s="1" t="s">
        <v>52</v>
      </c>
    </row>
    <row r="142" customFormat="false" ht="12.8" hidden="false" customHeight="false" outlineLevel="0" collapsed="false">
      <c r="A142" s="0" t="n">
        <v>348812</v>
      </c>
      <c r="B142" s="0" t="n">
        <v>377968</v>
      </c>
      <c r="C142" s="0" t="n">
        <v>420663</v>
      </c>
      <c r="D142" s="0" t="s">
        <v>35</v>
      </c>
      <c r="E142" s="0" t="s">
        <v>35</v>
      </c>
      <c r="F142" s="0" t="s">
        <v>36</v>
      </c>
      <c r="G142" s="0" t="s">
        <v>37</v>
      </c>
      <c r="H142" s="0" t="s">
        <v>540</v>
      </c>
      <c r="J142" s="0" t="s">
        <v>541</v>
      </c>
      <c r="K142" s="0" t="s">
        <v>542</v>
      </c>
      <c r="M142" s="0" t="s">
        <v>543</v>
      </c>
      <c r="N142" s="0" t="s">
        <v>544</v>
      </c>
      <c r="O142" s="0" t="s">
        <v>545</v>
      </c>
      <c r="P142" s="0" t="n">
        <v>1881</v>
      </c>
      <c r="Q142" s="0" t="s">
        <v>39</v>
      </c>
      <c r="R142" s="0" t="s">
        <v>546</v>
      </c>
      <c r="S142" s="0" t="s">
        <v>547</v>
      </c>
      <c r="T142" s="0" t="s">
        <v>58</v>
      </c>
      <c r="V142" s="0" t="n">
        <v>1</v>
      </c>
      <c r="W142" s="0" t="n">
        <v>1</v>
      </c>
      <c r="X142" s="0" t="str">
        <f aca="false">"31811010332495"</f>
        <v>31811010332495</v>
      </c>
      <c r="Y142" s="0" t="s">
        <v>39</v>
      </c>
      <c r="Z142" s="0" t="s">
        <v>42</v>
      </c>
      <c r="AA142" s="0" t="s">
        <v>43</v>
      </c>
      <c r="AE142" s="1" t="s">
        <v>52</v>
      </c>
    </row>
    <row r="143" customFormat="false" ht="12.8" hidden="false" customHeight="false" outlineLevel="0" collapsed="false">
      <c r="A143" s="0" t="n">
        <v>348812</v>
      </c>
      <c r="B143" s="0" t="n">
        <v>377968</v>
      </c>
      <c r="C143" s="0" t="n">
        <v>420664</v>
      </c>
      <c r="D143" s="0" t="s">
        <v>35</v>
      </c>
      <c r="E143" s="0" t="s">
        <v>35</v>
      </c>
      <c r="F143" s="0" t="s">
        <v>36</v>
      </c>
      <c r="G143" s="0" t="s">
        <v>37</v>
      </c>
      <c r="H143" s="0" t="s">
        <v>540</v>
      </c>
      <c r="J143" s="0" t="s">
        <v>541</v>
      </c>
      <c r="K143" s="0" t="s">
        <v>542</v>
      </c>
      <c r="M143" s="0" t="s">
        <v>543</v>
      </c>
      <c r="N143" s="0" t="s">
        <v>544</v>
      </c>
      <c r="O143" s="0" t="s">
        <v>545</v>
      </c>
      <c r="P143" s="0" t="n">
        <v>1881</v>
      </c>
      <c r="Q143" s="0" t="s">
        <v>39</v>
      </c>
      <c r="R143" s="0" t="s">
        <v>546</v>
      </c>
      <c r="S143" s="0" t="s">
        <v>547</v>
      </c>
      <c r="T143" s="0" t="s">
        <v>60</v>
      </c>
      <c r="V143" s="0" t="n">
        <v>1</v>
      </c>
      <c r="W143" s="0" t="n">
        <v>1</v>
      </c>
      <c r="X143" s="0" t="str">
        <f aca="false">"31811010332966"</f>
        <v>31811010332966</v>
      </c>
      <c r="Y143" s="0" t="s">
        <v>39</v>
      </c>
      <c r="Z143" s="0" t="s">
        <v>42</v>
      </c>
      <c r="AA143" s="0" t="s">
        <v>43</v>
      </c>
      <c r="AE143" s="1" t="s">
        <v>52</v>
      </c>
    </row>
    <row r="144" customFormat="false" ht="12.8" hidden="false" customHeight="false" outlineLevel="0" collapsed="false">
      <c r="A144" s="0" t="n">
        <v>348812</v>
      </c>
      <c r="B144" s="0" t="n">
        <v>377968</v>
      </c>
      <c r="C144" s="0" t="n">
        <v>420665</v>
      </c>
      <c r="D144" s="0" t="s">
        <v>35</v>
      </c>
      <c r="E144" s="0" t="s">
        <v>35</v>
      </c>
      <c r="F144" s="0" t="s">
        <v>36</v>
      </c>
      <c r="G144" s="0" t="s">
        <v>37</v>
      </c>
      <c r="H144" s="0" t="s">
        <v>540</v>
      </c>
      <c r="J144" s="0" t="s">
        <v>541</v>
      </c>
      <c r="K144" s="0" t="s">
        <v>542</v>
      </c>
      <c r="M144" s="0" t="s">
        <v>543</v>
      </c>
      <c r="N144" s="0" t="s">
        <v>544</v>
      </c>
      <c r="O144" s="0" t="s">
        <v>545</v>
      </c>
      <c r="P144" s="0" t="n">
        <v>1881</v>
      </c>
      <c r="Q144" s="0" t="s">
        <v>39</v>
      </c>
      <c r="R144" s="0" t="s">
        <v>546</v>
      </c>
      <c r="S144" s="0" t="s">
        <v>547</v>
      </c>
      <c r="T144" s="0" t="s">
        <v>61</v>
      </c>
      <c r="V144" s="0" t="n">
        <v>1</v>
      </c>
      <c r="W144" s="0" t="n">
        <v>1</v>
      </c>
      <c r="X144" s="0" t="str">
        <f aca="false">"31811010332958"</f>
        <v>31811010332958</v>
      </c>
      <c r="Y144" s="0" t="s">
        <v>39</v>
      </c>
      <c r="Z144" s="0" t="s">
        <v>42</v>
      </c>
      <c r="AA144" s="0" t="s">
        <v>43</v>
      </c>
      <c r="AE144" s="1" t="s">
        <v>52</v>
      </c>
    </row>
    <row r="145" customFormat="false" ht="12.8" hidden="false" customHeight="false" outlineLevel="0" collapsed="false">
      <c r="A145" s="0" t="n">
        <v>348812</v>
      </c>
      <c r="B145" s="0" t="n">
        <v>377968</v>
      </c>
      <c r="C145" s="0" t="n">
        <v>420666</v>
      </c>
      <c r="D145" s="0" t="s">
        <v>35</v>
      </c>
      <c r="E145" s="0" t="s">
        <v>35</v>
      </c>
      <c r="F145" s="0" t="s">
        <v>36</v>
      </c>
      <c r="G145" s="0" t="s">
        <v>37</v>
      </c>
      <c r="H145" s="0" t="s">
        <v>540</v>
      </c>
      <c r="J145" s="0" t="s">
        <v>541</v>
      </c>
      <c r="K145" s="0" t="s">
        <v>542</v>
      </c>
      <c r="M145" s="0" t="s">
        <v>543</v>
      </c>
      <c r="N145" s="0" t="s">
        <v>544</v>
      </c>
      <c r="O145" s="0" t="s">
        <v>545</v>
      </c>
      <c r="P145" s="0" t="n">
        <v>1881</v>
      </c>
      <c r="Q145" s="0" t="s">
        <v>39</v>
      </c>
      <c r="R145" s="0" t="s">
        <v>546</v>
      </c>
      <c r="S145" s="0" t="s">
        <v>547</v>
      </c>
      <c r="T145" s="0" t="s">
        <v>62</v>
      </c>
      <c r="V145" s="0" t="n">
        <v>1</v>
      </c>
      <c r="W145" s="0" t="n">
        <v>1</v>
      </c>
      <c r="X145" s="0" t="str">
        <f aca="false">"31811010332941"</f>
        <v>31811010332941</v>
      </c>
      <c r="Y145" s="0" t="s">
        <v>39</v>
      </c>
      <c r="Z145" s="0" t="s">
        <v>42</v>
      </c>
      <c r="AA145" s="0" t="s">
        <v>43</v>
      </c>
      <c r="AE145" s="1" t="s">
        <v>52</v>
      </c>
    </row>
    <row r="146" customFormat="false" ht="12.8" hidden="false" customHeight="false" outlineLevel="0" collapsed="false">
      <c r="A146" s="0" t="n">
        <v>348812</v>
      </c>
      <c r="B146" s="0" t="n">
        <v>377968</v>
      </c>
      <c r="C146" s="0" t="n">
        <v>420667</v>
      </c>
      <c r="D146" s="0" t="s">
        <v>35</v>
      </c>
      <c r="E146" s="0" t="s">
        <v>35</v>
      </c>
      <c r="F146" s="0" t="s">
        <v>36</v>
      </c>
      <c r="G146" s="0" t="s">
        <v>37</v>
      </c>
      <c r="H146" s="0" t="s">
        <v>540</v>
      </c>
      <c r="J146" s="0" t="s">
        <v>541</v>
      </c>
      <c r="K146" s="0" t="s">
        <v>542</v>
      </c>
      <c r="M146" s="0" t="s">
        <v>543</v>
      </c>
      <c r="N146" s="0" t="s">
        <v>544</v>
      </c>
      <c r="O146" s="0" t="s">
        <v>545</v>
      </c>
      <c r="P146" s="0" t="n">
        <v>1881</v>
      </c>
      <c r="Q146" s="0" t="s">
        <v>39</v>
      </c>
      <c r="R146" s="0" t="s">
        <v>546</v>
      </c>
      <c r="S146" s="0" t="s">
        <v>547</v>
      </c>
      <c r="T146" s="0" t="s">
        <v>539</v>
      </c>
      <c r="V146" s="0" t="n">
        <v>1</v>
      </c>
      <c r="W146" s="0" t="n">
        <v>1</v>
      </c>
      <c r="X146" s="0" t="str">
        <f aca="false">"31811010332933"</f>
        <v>31811010332933</v>
      </c>
      <c r="Y146" s="0" t="s">
        <v>39</v>
      </c>
      <c r="Z146" s="0" t="s">
        <v>42</v>
      </c>
      <c r="AA146" s="0" t="s">
        <v>43</v>
      </c>
      <c r="AE146" s="1" t="s">
        <v>52</v>
      </c>
    </row>
    <row r="147" customFormat="false" ht="12.8" hidden="false" customHeight="false" outlineLevel="0" collapsed="false">
      <c r="A147" s="0" t="n">
        <v>348812</v>
      </c>
      <c r="B147" s="0" t="n">
        <v>377968</v>
      </c>
      <c r="C147" s="0" t="n">
        <v>420668</v>
      </c>
      <c r="D147" s="0" t="s">
        <v>35</v>
      </c>
      <c r="E147" s="0" t="s">
        <v>35</v>
      </c>
      <c r="F147" s="0" t="s">
        <v>36</v>
      </c>
      <c r="G147" s="0" t="s">
        <v>37</v>
      </c>
      <c r="H147" s="0" t="s">
        <v>540</v>
      </c>
      <c r="J147" s="0" t="s">
        <v>541</v>
      </c>
      <c r="K147" s="0" t="s">
        <v>542</v>
      </c>
      <c r="M147" s="0" t="s">
        <v>543</v>
      </c>
      <c r="N147" s="0" t="s">
        <v>544</v>
      </c>
      <c r="O147" s="0" t="s">
        <v>545</v>
      </c>
      <c r="P147" s="0" t="n">
        <v>1881</v>
      </c>
      <c r="Q147" s="0" t="s">
        <v>39</v>
      </c>
      <c r="R147" s="0" t="s">
        <v>546</v>
      </c>
      <c r="S147" s="0" t="s">
        <v>547</v>
      </c>
      <c r="T147" s="0" t="s">
        <v>63</v>
      </c>
      <c r="V147" s="0" t="n">
        <v>1</v>
      </c>
      <c r="W147" s="0" t="n">
        <v>1</v>
      </c>
      <c r="X147" s="0" t="str">
        <f aca="false">"31811010332925"</f>
        <v>31811010332925</v>
      </c>
      <c r="Y147" s="0" t="s">
        <v>39</v>
      </c>
      <c r="Z147" s="0" t="s">
        <v>42</v>
      </c>
      <c r="AA147" s="0" t="s">
        <v>43</v>
      </c>
      <c r="AE147" s="1" t="s">
        <v>52</v>
      </c>
    </row>
    <row r="148" customFormat="false" ht="12.8" hidden="false" customHeight="false" outlineLevel="0" collapsed="false">
      <c r="A148" s="0" t="n">
        <v>348812</v>
      </c>
      <c r="B148" s="0" t="n">
        <v>377968</v>
      </c>
      <c r="C148" s="0" t="n">
        <v>420669</v>
      </c>
      <c r="D148" s="0" t="s">
        <v>35</v>
      </c>
      <c r="E148" s="0" t="s">
        <v>35</v>
      </c>
      <c r="F148" s="0" t="s">
        <v>36</v>
      </c>
      <c r="G148" s="0" t="s">
        <v>37</v>
      </c>
      <c r="H148" s="0" t="s">
        <v>540</v>
      </c>
      <c r="J148" s="0" t="s">
        <v>541</v>
      </c>
      <c r="K148" s="0" t="s">
        <v>542</v>
      </c>
      <c r="M148" s="0" t="s">
        <v>543</v>
      </c>
      <c r="N148" s="0" t="s">
        <v>544</v>
      </c>
      <c r="O148" s="0" t="s">
        <v>545</v>
      </c>
      <c r="P148" s="0" t="n">
        <v>1881</v>
      </c>
      <c r="Q148" s="0" t="s">
        <v>39</v>
      </c>
      <c r="R148" s="0" t="s">
        <v>546</v>
      </c>
      <c r="S148" s="0" t="s">
        <v>547</v>
      </c>
      <c r="T148" s="0" t="s">
        <v>64</v>
      </c>
      <c r="V148" s="0" t="n">
        <v>1</v>
      </c>
      <c r="W148" s="0" t="n">
        <v>1</v>
      </c>
      <c r="X148" s="0" t="str">
        <f aca="false">"31811010332917"</f>
        <v>31811010332917</v>
      </c>
      <c r="Y148" s="0" t="s">
        <v>39</v>
      </c>
      <c r="Z148" s="0" t="s">
        <v>42</v>
      </c>
      <c r="AA148" s="0" t="s">
        <v>43</v>
      </c>
      <c r="AE148" s="1" t="s">
        <v>52</v>
      </c>
    </row>
    <row r="149" customFormat="false" ht="12.8" hidden="false" customHeight="false" outlineLevel="0" collapsed="false">
      <c r="A149" s="0" t="n">
        <v>451325</v>
      </c>
      <c r="B149" s="0" t="n">
        <v>537437</v>
      </c>
      <c r="C149" s="0" t="n">
        <v>604329</v>
      </c>
      <c r="D149" s="0" t="s">
        <v>35</v>
      </c>
      <c r="E149" s="0" t="s">
        <v>35</v>
      </c>
      <c r="F149" s="0" t="s">
        <v>36</v>
      </c>
      <c r="G149" s="0" t="s">
        <v>37</v>
      </c>
      <c r="H149" s="0" t="s">
        <v>548</v>
      </c>
      <c r="J149" s="0" t="s">
        <v>549</v>
      </c>
      <c r="M149" s="0" t="s">
        <v>550</v>
      </c>
      <c r="N149" s="0" t="s">
        <v>551</v>
      </c>
      <c r="O149" s="0" t="s">
        <v>552</v>
      </c>
      <c r="P149" s="0" t="n">
        <v>1862</v>
      </c>
      <c r="Q149" s="0" t="s">
        <v>39</v>
      </c>
      <c r="R149" s="0" t="s">
        <v>553</v>
      </c>
      <c r="S149" s="0" t="s">
        <v>554</v>
      </c>
      <c r="T149" s="0" t="s">
        <v>555</v>
      </c>
      <c r="V149" s="0" t="n">
        <v>1</v>
      </c>
      <c r="W149" s="0" t="n">
        <v>1</v>
      </c>
      <c r="X149" s="0" t="str">
        <f aca="false">"31811010332891"</f>
        <v>31811010332891</v>
      </c>
      <c r="Y149" s="0" t="s">
        <v>39</v>
      </c>
      <c r="Z149" s="0" t="s">
        <v>42</v>
      </c>
      <c r="AA149" s="0" t="s">
        <v>43</v>
      </c>
      <c r="AE149" s="1" t="s">
        <v>52</v>
      </c>
    </row>
    <row r="150" customFormat="false" ht="12.8" hidden="false" customHeight="false" outlineLevel="0" collapsed="false">
      <c r="A150" s="0" t="n">
        <v>451325</v>
      </c>
      <c r="B150" s="0" t="n">
        <v>537437</v>
      </c>
      <c r="C150" s="0" t="n">
        <v>604330</v>
      </c>
      <c r="D150" s="0" t="s">
        <v>35</v>
      </c>
      <c r="E150" s="0" t="s">
        <v>35</v>
      </c>
      <c r="F150" s="0" t="s">
        <v>36</v>
      </c>
      <c r="G150" s="0" t="s">
        <v>37</v>
      </c>
      <c r="H150" s="0" t="s">
        <v>548</v>
      </c>
      <c r="J150" s="0" t="s">
        <v>549</v>
      </c>
      <c r="M150" s="0" t="s">
        <v>550</v>
      </c>
      <c r="N150" s="0" t="s">
        <v>551</v>
      </c>
      <c r="O150" s="0" t="s">
        <v>552</v>
      </c>
      <c r="P150" s="0" t="n">
        <v>1862</v>
      </c>
      <c r="Q150" s="0" t="s">
        <v>39</v>
      </c>
      <c r="R150" s="0" t="s">
        <v>553</v>
      </c>
      <c r="S150" s="0" t="s">
        <v>554</v>
      </c>
      <c r="T150" s="0" t="s">
        <v>556</v>
      </c>
      <c r="V150" s="0" t="n">
        <v>1</v>
      </c>
      <c r="W150" s="0" t="n">
        <v>1</v>
      </c>
      <c r="X150" s="0" t="str">
        <f aca="false">"31811011253864"</f>
        <v>31811011253864</v>
      </c>
      <c r="Y150" s="0" t="s">
        <v>39</v>
      </c>
      <c r="Z150" s="0" t="s">
        <v>42</v>
      </c>
      <c r="AA150" s="0" t="s">
        <v>43</v>
      </c>
      <c r="AE150" s="1" t="s">
        <v>52</v>
      </c>
    </row>
    <row r="151" customFormat="false" ht="12.8" hidden="false" customHeight="false" outlineLevel="0" collapsed="false">
      <c r="A151" s="0" t="n">
        <v>451325</v>
      </c>
      <c r="B151" s="0" t="n">
        <v>537437</v>
      </c>
      <c r="C151" s="0" t="n">
        <v>604331</v>
      </c>
      <c r="D151" s="0" t="s">
        <v>35</v>
      </c>
      <c r="E151" s="0" t="s">
        <v>35</v>
      </c>
      <c r="F151" s="0" t="s">
        <v>36</v>
      </c>
      <c r="G151" s="0" t="s">
        <v>37</v>
      </c>
      <c r="H151" s="0" t="s">
        <v>548</v>
      </c>
      <c r="J151" s="0" t="s">
        <v>549</v>
      </c>
      <c r="M151" s="0" t="s">
        <v>550</v>
      </c>
      <c r="N151" s="0" t="s">
        <v>551</v>
      </c>
      <c r="O151" s="0" t="s">
        <v>552</v>
      </c>
      <c r="P151" s="0" t="n">
        <v>1862</v>
      </c>
      <c r="Q151" s="0" t="s">
        <v>39</v>
      </c>
      <c r="R151" s="0" t="s">
        <v>553</v>
      </c>
      <c r="S151" s="0" t="s">
        <v>554</v>
      </c>
      <c r="T151" s="0" t="s">
        <v>557</v>
      </c>
      <c r="V151" s="0" t="n">
        <v>1</v>
      </c>
      <c r="W151" s="0" t="n">
        <v>1</v>
      </c>
      <c r="X151" s="0" t="str">
        <f aca="false">"31811011253906"</f>
        <v>31811011253906</v>
      </c>
      <c r="Y151" s="0" t="s">
        <v>39</v>
      </c>
      <c r="Z151" s="0" t="s">
        <v>42</v>
      </c>
      <c r="AA151" s="0" t="s">
        <v>43</v>
      </c>
      <c r="AE151" s="1" t="s">
        <v>52</v>
      </c>
    </row>
    <row r="152" customFormat="false" ht="12.8" hidden="false" customHeight="false" outlineLevel="0" collapsed="false">
      <c r="A152" s="0" t="n">
        <v>451325</v>
      </c>
      <c r="B152" s="0" t="n">
        <v>537437</v>
      </c>
      <c r="C152" s="0" t="n">
        <v>604332</v>
      </c>
      <c r="D152" s="0" t="s">
        <v>35</v>
      </c>
      <c r="E152" s="0" t="s">
        <v>35</v>
      </c>
      <c r="F152" s="0" t="s">
        <v>36</v>
      </c>
      <c r="G152" s="0" t="s">
        <v>37</v>
      </c>
      <c r="H152" s="0" t="s">
        <v>548</v>
      </c>
      <c r="J152" s="0" t="s">
        <v>549</v>
      </c>
      <c r="M152" s="0" t="s">
        <v>550</v>
      </c>
      <c r="N152" s="0" t="s">
        <v>551</v>
      </c>
      <c r="O152" s="0" t="s">
        <v>552</v>
      </c>
      <c r="P152" s="0" t="n">
        <v>1862</v>
      </c>
      <c r="Q152" s="0" t="s">
        <v>39</v>
      </c>
      <c r="R152" s="0" t="s">
        <v>553</v>
      </c>
      <c r="S152" s="0" t="s">
        <v>554</v>
      </c>
      <c r="T152" s="0" t="s">
        <v>558</v>
      </c>
      <c r="V152" s="0" t="n">
        <v>1</v>
      </c>
      <c r="W152" s="0" t="n">
        <v>1</v>
      </c>
      <c r="X152" s="0" t="str">
        <f aca="false">"31811011253948"</f>
        <v>31811011253948</v>
      </c>
      <c r="Y152" s="0" t="s">
        <v>39</v>
      </c>
      <c r="Z152" s="0" t="s">
        <v>42</v>
      </c>
      <c r="AA152" s="0" t="s">
        <v>43</v>
      </c>
      <c r="AE152" s="1" t="s">
        <v>52</v>
      </c>
    </row>
    <row r="153" customFormat="false" ht="12.8" hidden="false" customHeight="false" outlineLevel="0" collapsed="false">
      <c r="A153" s="0" t="n">
        <v>451325</v>
      </c>
      <c r="B153" s="0" t="n">
        <v>537437</v>
      </c>
      <c r="C153" s="0" t="n">
        <v>604333</v>
      </c>
      <c r="D153" s="0" t="s">
        <v>35</v>
      </c>
      <c r="E153" s="0" t="s">
        <v>35</v>
      </c>
      <c r="F153" s="0" t="s">
        <v>36</v>
      </c>
      <c r="G153" s="0" t="s">
        <v>37</v>
      </c>
      <c r="H153" s="0" t="s">
        <v>548</v>
      </c>
      <c r="J153" s="0" t="s">
        <v>549</v>
      </c>
      <c r="M153" s="0" t="s">
        <v>550</v>
      </c>
      <c r="N153" s="0" t="s">
        <v>551</v>
      </c>
      <c r="O153" s="0" t="s">
        <v>552</v>
      </c>
      <c r="P153" s="0" t="n">
        <v>1862</v>
      </c>
      <c r="Q153" s="0" t="s">
        <v>39</v>
      </c>
      <c r="R153" s="0" t="s">
        <v>553</v>
      </c>
      <c r="S153" s="0" t="s">
        <v>554</v>
      </c>
      <c r="T153" s="0" t="s">
        <v>559</v>
      </c>
      <c r="V153" s="0" t="n">
        <v>1</v>
      </c>
      <c r="W153" s="0" t="n">
        <v>1</v>
      </c>
      <c r="X153" s="0" t="str">
        <f aca="false">"31811011253674"</f>
        <v>31811011253674</v>
      </c>
      <c r="Y153" s="0" t="s">
        <v>39</v>
      </c>
      <c r="Z153" s="0" t="s">
        <v>42</v>
      </c>
      <c r="AA153" s="0" t="s">
        <v>43</v>
      </c>
      <c r="AE153" s="1" t="s">
        <v>52</v>
      </c>
    </row>
    <row r="154" customFormat="false" ht="12.8" hidden="false" customHeight="false" outlineLevel="0" collapsed="false">
      <c r="A154" s="0" t="n">
        <v>451325</v>
      </c>
      <c r="B154" s="0" t="n">
        <v>537437</v>
      </c>
      <c r="C154" s="0" t="n">
        <v>604334</v>
      </c>
      <c r="D154" s="0" t="s">
        <v>35</v>
      </c>
      <c r="E154" s="0" t="s">
        <v>35</v>
      </c>
      <c r="F154" s="0" t="s">
        <v>36</v>
      </c>
      <c r="G154" s="0" t="s">
        <v>37</v>
      </c>
      <c r="H154" s="0" t="s">
        <v>548</v>
      </c>
      <c r="J154" s="0" t="s">
        <v>549</v>
      </c>
      <c r="M154" s="0" t="s">
        <v>550</v>
      </c>
      <c r="N154" s="0" t="s">
        <v>551</v>
      </c>
      <c r="O154" s="0" t="s">
        <v>552</v>
      </c>
      <c r="P154" s="0" t="n">
        <v>1862</v>
      </c>
      <c r="Q154" s="0" t="s">
        <v>39</v>
      </c>
      <c r="R154" s="0" t="s">
        <v>553</v>
      </c>
      <c r="S154" s="0" t="s">
        <v>554</v>
      </c>
      <c r="T154" s="0" t="s">
        <v>560</v>
      </c>
      <c r="V154" s="0" t="n">
        <v>1</v>
      </c>
      <c r="W154" s="0" t="n">
        <v>1</v>
      </c>
      <c r="X154" s="0" t="str">
        <f aca="false">"31811011253716"</f>
        <v>31811011253716</v>
      </c>
      <c r="Y154" s="0" t="s">
        <v>39</v>
      </c>
      <c r="Z154" s="0" t="s">
        <v>42</v>
      </c>
      <c r="AA154" s="0" t="s">
        <v>43</v>
      </c>
      <c r="AE154" s="1" t="s">
        <v>52</v>
      </c>
    </row>
    <row r="155" customFormat="false" ht="12.8" hidden="false" customHeight="false" outlineLevel="0" collapsed="false">
      <c r="A155" s="0" t="n">
        <v>451325</v>
      </c>
      <c r="B155" s="0" t="n">
        <v>537437</v>
      </c>
      <c r="C155" s="0" t="n">
        <v>604335</v>
      </c>
      <c r="D155" s="0" t="s">
        <v>35</v>
      </c>
      <c r="E155" s="0" t="s">
        <v>35</v>
      </c>
      <c r="F155" s="0" t="s">
        <v>36</v>
      </c>
      <c r="G155" s="0" t="s">
        <v>37</v>
      </c>
      <c r="H155" s="0" t="s">
        <v>548</v>
      </c>
      <c r="J155" s="0" t="s">
        <v>549</v>
      </c>
      <c r="M155" s="0" t="s">
        <v>550</v>
      </c>
      <c r="N155" s="0" t="s">
        <v>551</v>
      </c>
      <c r="O155" s="0" t="s">
        <v>552</v>
      </c>
      <c r="P155" s="0" t="n">
        <v>1862</v>
      </c>
      <c r="Q155" s="0" t="s">
        <v>39</v>
      </c>
      <c r="R155" s="0" t="s">
        <v>553</v>
      </c>
      <c r="S155" s="0" t="s">
        <v>554</v>
      </c>
      <c r="T155" s="0" t="s">
        <v>561</v>
      </c>
      <c r="V155" s="0" t="n">
        <v>1</v>
      </c>
      <c r="W155" s="0" t="n">
        <v>1</v>
      </c>
      <c r="X155" s="0" t="str">
        <f aca="false">"31811011253757"</f>
        <v>31811011253757</v>
      </c>
      <c r="Y155" s="0" t="s">
        <v>39</v>
      </c>
      <c r="Z155" s="0" t="s">
        <v>42</v>
      </c>
      <c r="AA155" s="0" t="s">
        <v>43</v>
      </c>
      <c r="AE155" s="1" t="s">
        <v>52</v>
      </c>
    </row>
    <row r="156" customFormat="false" ht="12.8" hidden="false" customHeight="false" outlineLevel="0" collapsed="false">
      <c r="A156" s="0" t="n">
        <v>451325</v>
      </c>
      <c r="B156" s="0" t="n">
        <v>537437</v>
      </c>
      <c r="C156" s="0" t="n">
        <v>604336</v>
      </c>
      <c r="D156" s="0" t="s">
        <v>35</v>
      </c>
      <c r="E156" s="0" t="s">
        <v>35</v>
      </c>
      <c r="F156" s="0" t="s">
        <v>36</v>
      </c>
      <c r="G156" s="0" t="s">
        <v>37</v>
      </c>
      <c r="H156" s="0" t="s">
        <v>548</v>
      </c>
      <c r="J156" s="0" t="s">
        <v>549</v>
      </c>
      <c r="M156" s="0" t="s">
        <v>550</v>
      </c>
      <c r="N156" s="0" t="s">
        <v>551</v>
      </c>
      <c r="O156" s="0" t="s">
        <v>552</v>
      </c>
      <c r="P156" s="0" t="n">
        <v>1862</v>
      </c>
      <c r="Q156" s="0" t="s">
        <v>39</v>
      </c>
      <c r="R156" s="0" t="s">
        <v>553</v>
      </c>
      <c r="S156" s="0" t="s">
        <v>554</v>
      </c>
      <c r="T156" s="0" t="s">
        <v>562</v>
      </c>
      <c r="V156" s="0" t="n">
        <v>1</v>
      </c>
      <c r="W156" s="0" t="n">
        <v>1</v>
      </c>
      <c r="X156" s="0" t="str">
        <f aca="false">"31811011253799"</f>
        <v>31811011253799</v>
      </c>
      <c r="Y156" s="0" t="s">
        <v>39</v>
      </c>
      <c r="Z156" s="0" t="s">
        <v>42</v>
      </c>
      <c r="AA156" s="0" t="s">
        <v>43</v>
      </c>
      <c r="AE156" s="1" t="s">
        <v>52</v>
      </c>
    </row>
    <row r="157" customFormat="false" ht="12.8" hidden="false" customHeight="false" outlineLevel="0" collapsed="false">
      <c r="A157" s="0" t="n">
        <v>451325</v>
      </c>
      <c r="B157" s="0" t="n">
        <v>537437</v>
      </c>
      <c r="C157" s="0" t="n">
        <v>604337</v>
      </c>
      <c r="D157" s="0" t="s">
        <v>35</v>
      </c>
      <c r="E157" s="0" t="s">
        <v>35</v>
      </c>
      <c r="F157" s="0" t="s">
        <v>36</v>
      </c>
      <c r="G157" s="0" t="s">
        <v>37</v>
      </c>
      <c r="H157" s="0" t="s">
        <v>548</v>
      </c>
      <c r="J157" s="0" t="s">
        <v>549</v>
      </c>
      <c r="M157" s="0" t="s">
        <v>550</v>
      </c>
      <c r="N157" s="0" t="s">
        <v>551</v>
      </c>
      <c r="O157" s="0" t="s">
        <v>552</v>
      </c>
      <c r="P157" s="0" t="n">
        <v>1862</v>
      </c>
      <c r="Q157" s="0" t="s">
        <v>39</v>
      </c>
      <c r="R157" s="0" t="s">
        <v>553</v>
      </c>
      <c r="S157" s="0" t="s">
        <v>554</v>
      </c>
      <c r="T157" s="0" t="s">
        <v>563</v>
      </c>
      <c r="V157" s="0" t="n">
        <v>1</v>
      </c>
      <c r="W157" s="0" t="n">
        <v>1</v>
      </c>
      <c r="X157" s="0" t="str">
        <f aca="false">"31811011253831"</f>
        <v>31811011253831</v>
      </c>
      <c r="Y157" s="0" t="s">
        <v>39</v>
      </c>
      <c r="Z157" s="0" t="s">
        <v>42</v>
      </c>
      <c r="AA157" s="0" t="s">
        <v>43</v>
      </c>
      <c r="AE157" s="1" t="s">
        <v>52</v>
      </c>
    </row>
    <row r="158" customFormat="false" ht="12.8" hidden="false" customHeight="false" outlineLevel="0" collapsed="false">
      <c r="A158" s="0" t="n">
        <v>451325</v>
      </c>
      <c r="B158" s="0" t="n">
        <v>537437</v>
      </c>
      <c r="C158" s="0" t="n">
        <v>604338</v>
      </c>
      <c r="D158" s="0" t="s">
        <v>35</v>
      </c>
      <c r="E158" s="0" t="s">
        <v>35</v>
      </c>
      <c r="F158" s="0" t="s">
        <v>36</v>
      </c>
      <c r="G158" s="0" t="s">
        <v>37</v>
      </c>
      <c r="H158" s="0" t="s">
        <v>548</v>
      </c>
      <c r="J158" s="0" t="s">
        <v>549</v>
      </c>
      <c r="M158" s="0" t="s">
        <v>550</v>
      </c>
      <c r="N158" s="0" t="s">
        <v>551</v>
      </c>
      <c r="O158" s="0" t="s">
        <v>552</v>
      </c>
      <c r="P158" s="0" t="n">
        <v>1862</v>
      </c>
      <c r="Q158" s="0" t="s">
        <v>39</v>
      </c>
      <c r="R158" s="0" t="s">
        <v>553</v>
      </c>
      <c r="S158" s="0" t="s">
        <v>554</v>
      </c>
      <c r="T158" s="0" t="s">
        <v>564</v>
      </c>
      <c r="V158" s="0" t="n">
        <v>1</v>
      </c>
      <c r="W158" s="0" t="n">
        <v>1</v>
      </c>
      <c r="X158" s="0" t="str">
        <f aca="false">"31811011253872"</f>
        <v>31811011253872</v>
      </c>
      <c r="Y158" s="0" t="s">
        <v>39</v>
      </c>
      <c r="Z158" s="0" t="s">
        <v>42</v>
      </c>
      <c r="AA158" s="0" t="s">
        <v>43</v>
      </c>
      <c r="AE158" s="1" t="s">
        <v>52</v>
      </c>
    </row>
    <row r="159" customFormat="false" ht="12.8" hidden="false" customHeight="false" outlineLevel="0" collapsed="false">
      <c r="A159" s="0" t="n">
        <v>451325</v>
      </c>
      <c r="B159" s="0" t="n">
        <v>537437</v>
      </c>
      <c r="C159" s="0" t="n">
        <v>604339</v>
      </c>
      <c r="D159" s="0" t="s">
        <v>35</v>
      </c>
      <c r="E159" s="0" t="s">
        <v>35</v>
      </c>
      <c r="F159" s="0" t="s">
        <v>36</v>
      </c>
      <c r="G159" s="0" t="s">
        <v>37</v>
      </c>
      <c r="H159" s="0" t="s">
        <v>548</v>
      </c>
      <c r="J159" s="0" t="s">
        <v>549</v>
      </c>
      <c r="M159" s="0" t="s">
        <v>550</v>
      </c>
      <c r="N159" s="0" t="s">
        <v>551</v>
      </c>
      <c r="O159" s="0" t="s">
        <v>552</v>
      </c>
      <c r="P159" s="0" t="n">
        <v>1862</v>
      </c>
      <c r="Q159" s="0" t="s">
        <v>39</v>
      </c>
      <c r="R159" s="0" t="s">
        <v>553</v>
      </c>
      <c r="S159" s="0" t="s">
        <v>554</v>
      </c>
      <c r="T159" s="0" t="s">
        <v>565</v>
      </c>
      <c r="V159" s="0" t="n">
        <v>1</v>
      </c>
      <c r="W159" s="0" t="n">
        <v>1</v>
      </c>
      <c r="X159" s="0" t="str">
        <f aca="false">"31811011253914"</f>
        <v>31811011253914</v>
      </c>
      <c r="Y159" s="0" t="s">
        <v>39</v>
      </c>
      <c r="Z159" s="0" t="s">
        <v>42</v>
      </c>
      <c r="AA159" s="0" t="s">
        <v>43</v>
      </c>
      <c r="AE159" s="1" t="s">
        <v>52</v>
      </c>
    </row>
    <row r="160" customFormat="false" ht="12.8" hidden="false" customHeight="false" outlineLevel="0" collapsed="false">
      <c r="A160" s="0" t="n">
        <v>451325</v>
      </c>
      <c r="B160" s="0" t="n">
        <v>537437</v>
      </c>
      <c r="C160" s="0" t="n">
        <v>604340</v>
      </c>
      <c r="D160" s="0" t="s">
        <v>35</v>
      </c>
      <c r="E160" s="0" t="s">
        <v>35</v>
      </c>
      <c r="F160" s="0" t="s">
        <v>36</v>
      </c>
      <c r="G160" s="0" t="s">
        <v>37</v>
      </c>
      <c r="H160" s="0" t="s">
        <v>548</v>
      </c>
      <c r="J160" s="0" t="s">
        <v>549</v>
      </c>
      <c r="M160" s="0" t="s">
        <v>550</v>
      </c>
      <c r="N160" s="0" t="s">
        <v>551</v>
      </c>
      <c r="O160" s="0" t="s">
        <v>552</v>
      </c>
      <c r="P160" s="0" t="n">
        <v>1862</v>
      </c>
      <c r="Q160" s="0" t="s">
        <v>39</v>
      </c>
      <c r="R160" s="0" t="s">
        <v>553</v>
      </c>
      <c r="S160" s="0" t="s">
        <v>554</v>
      </c>
      <c r="T160" s="0" t="s">
        <v>566</v>
      </c>
      <c r="V160" s="0" t="n">
        <v>1</v>
      </c>
      <c r="W160" s="0" t="n">
        <v>1</v>
      </c>
      <c r="X160" s="0" t="str">
        <f aca="false">"31811011253955"</f>
        <v>31811011253955</v>
      </c>
      <c r="Y160" s="0" t="s">
        <v>39</v>
      </c>
      <c r="Z160" s="0" t="s">
        <v>42</v>
      </c>
      <c r="AA160" s="0" t="s">
        <v>43</v>
      </c>
      <c r="AE160" s="1" t="s">
        <v>52</v>
      </c>
    </row>
    <row r="161" customFormat="false" ht="12.8" hidden="false" customHeight="false" outlineLevel="0" collapsed="false">
      <c r="A161" s="0" t="n">
        <v>451325</v>
      </c>
      <c r="B161" s="0" t="n">
        <v>537437</v>
      </c>
      <c r="C161" s="0" t="n">
        <v>604341</v>
      </c>
      <c r="D161" s="0" t="s">
        <v>35</v>
      </c>
      <c r="E161" s="0" t="s">
        <v>35</v>
      </c>
      <c r="F161" s="0" t="s">
        <v>36</v>
      </c>
      <c r="G161" s="0" t="s">
        <v>37</v>
      </c>
      <c r="H161" s="0" t="s">
        <v>548</v>
      </c>
      <c r="J161" s="0" t="s">
        <v>549</v>
      </c>
      <c r="M161" s="0" t="s">
        <v>550</v>
      </c>
      <c r="N161" s="0" t="s">
        <v>551</v>
      </c>
      <c r="O161" s="0" t="s">
        <v>552</v>
      </c>
      <c r="P161" s="0" t="n">
        <v>1862</v>
      </c>
      <c r="Q161" s="0" t="s">
        <v>39</v>
      </c>
      <c r="R161" s="0" t="s">
        <v>553</v>
      </c>
      <c r="S161" s="0" t="s">
        <v>554</v>
      </c>
      <c r="T161" s="0" t="s">
        <v>567</v>
      </c>
      <c r="V161" s="0" t="n">
        <v>1</v>
      </c>
      <c r="W161" s="0" t="n">
        <v>1</v>
      </c>
      <c r="X161" s="0" t="str">
        <f aca="false">"31811011253682"</f>
        <v>31811011253682</v>
      </c>
      <c r="Y161" s="0" t="s">
        <v>39</v>
      </c>
      <c r="Z161" s="0" t="s">
        <v>42</v>
      </c>
      <c r="AA161" s="0" t="s">
        <v>43</v>
      </c>
      <c r="AE161" s="1" t="s">
        <v>52</v>
      </c>
    </row>
    <row r="162" customFormat="false" ht="12.8" hidden="false" customHeight="false" outlineLevel="0" collapsed="false">
      <c r="A162" s="0" t="n">
        <v>451325</v>
      </c>
      <c r="B162" s="0" t="n">
        <v>537437</v>
      </c>
      <c r="C162" s="0" t="n">
        <v>604342</v>
      </c>
      <c r="D162" s="0" t="s">
        <v>35</v>
      </c>
      <c r="E162" s="0" t="s">
        <v>35</v>
      </c>
      <c r="F162" s="0" t="s">
        <v>36</v>
      </c>
      <c r="G162" s="0" t="s">
        <v>37</v>
      </c>
      <c r="H162" s="0" t="s">
        <v>548</v>
      </c>
      <c r="J162" s="0" t="s">
        <v>549</v>
      </c>
      <c r="M162" s="0" t="s">
        <v>550</v>
      </c>
      <c r="N162" s="0" t="s">
        <v>551</v>
      </c>
      <c r="O162" s="0" t="s">
        <v>552</v>
      </c>
      <c r="P162" s="0" t="n">
        <v>1862</v>
      </c>
      <c r="Q162" s="0" t="s">
        <v>39</v>
      </c>
      <c r="R162" s="0" t="s">
        <v>553</v>
      </c>
      <c r="S162" s="0" t="s">
        <v>554</v>
      </c>
      <c r="T162" s="0" t="s">
        <v>568</v>
      </c>
      <c r="V162" s="0" t="n">
        <v>1</v>
      </c>
      <c r="W162" s="0" t="n">
        <v>1</v>
      </c>
      <c r="X162" s="0" t="str">
        <f aca="false">"31811011267294"</f>
        <v>31811011267294</v>
      </c>
      <c r="Y162" s="0" t="s">
        <v>39</v>
      </c>
      <c r="Z162" s="0" t="s">
        <v>42</v>
      </c>
      <c r="AA162" s="0" t="s">
        <v>43</v>
      </c>
      <c r="AE162" s="1" t="s">
        <v>52</v>
      </c>
    </row>
    <row r="163" customFormat="false" ht="12.8" hidden="false" customHeight="false" outlineLevel="0" collapsed="false">
      <c r="A163" s="0" t="n">
        <v>451325</v>
      </c>
      <c r="B163" s="0" t="n">
        <v>537437</v>
      </c>
      <c r="C163" s="0" t="n">
        <v>604343</v>
      </c>
      <c r="D163" s="0" t="s">
        <v>35</v>
      </c>
      <c r="E163" s="0" t="s">
        <v>35</v>
      </c>
      <c r="F163" s="0" t="s">
        <v>36</v>
      </c>
      <c r="G163" s="0" t="s">
        <v>37</v>
      </c>
      <c r="H163" s="0" t="s">
        <v>548</v>
      </c>
      <c r="J163" s="0" t="s">
        <v>549</v>
      </c>
      <c r="M163" s="0" t="s">
        <v>550</v>
      </c>
      <c r="N163" s="0" t="s">
        <v>551</v>
      </c>
      <c r="O163" s="0" t="s">
        <v>552</v>
      </c>
      <c r="P163" s="0" t="n">
        <v>1862</v>
      </c>
      <c r="Q163" s="0" t="s">
        <v>39</v>
      </c>
      <c r="R163" s="0" t="s">
        <v>553</v>
      </c>
      <c r="S163" s="0" t="s">
        <v>554</v>
      </c>
      <c r="T163" s="0" t="s">
        <v>569</v>
      </c>
      <c r="V163" s="0" t="n">
        <v>1</v>
      </c>
      <c r="W163" s="0" t="n">
        <v>1</v>
      </c>
      <c r="X163" s="0" t="str">
        <f aca="false">"31811011267336"</f>
        <v>31811011267336</v>
      </c>
      <c r="Y163" s="0" t="s">
        <v>39</v>
      </c>
      <c r="Z163" s="0" t="s">
        <v>42</v>
      </c>
      <c r="AA163" s="0" t="s">
        <v>43</v>
      </c>
      <c r="AE163" s="1" t="s">
        <v>52</v>
      </c>
    </row>
    <row r="164" customFormat="false" ht="12.8" hidden="false" customHeight="false" outlineLevel="0" collapsed="false">
      <c r="A164" s="0" t="n">
        <v>451325</v>
      </c>
      <c r="B164" s="0" t="n">
        <v>537437</v>
      </c>
      <c r="C164" s="0" t="n">
        <v>604344</v>
      </c>
      <c r="D164" s="0" t="s">
        <v>35</v>
      </c>
      <c r="E164" s="0" t="s">
        <v>35</v>
      </c>
      <c r="F164" s="0" t="s">
        <v>36</v>
      </c>
      <c r="G164" s="0" t="s">
        <v>37</v>
      </c>
      <c r="H164" s="0" t="s">
        <v>548</v>
      </c>
      <c r="J164" s="0" t="s">
        <v>549</v>
      </c>
      <c r="M164" s="0" t="s">
        <v>550</v>
      </c>
      <c r="N164" s="0" t="s">
        <v>551</v>
      </c>
      <c r="O164" s="0" t="s">
        <v>552</v>
      </c>
      <c r="P164" s="0" t="n">
        <v>1862</v>
      </c>
      <c r="Q164" s="0" t="s">
        <v>39</v>
      </c>
      <c r="R164" s="0" t="s">
        <v>553</v>
      </c>
      <c r="S164" s="0" t="s">
        <v>554</v>
      </c>
      <c r="T164" s="0" t="s">
        <v>570</v>
      </c>
      <c r="V164" s="0" t="n">
        <v>1</v>
      </c>
      <c r="W164" s="0" t="n">
        <v>1</v>
      </c>
      <c r="X164" s="0" t="str">
        <f aca="false">"31811011267377"</f>
        <v>31811011267377</v>
      </c>
      <c r="Y164" s="0" t="s">
        <v>39</v>
      </c>
      <c r="Z164" s="0" t="s">
        <v>42</v>
      </c>
      <c r="AA164" s="0" t="s">
        <v>43</v>
      </c>
      <c r="AE164" s="1" t="s">
        <v>52</v>
      </c>
    </row>
    <row r="165" customFormat="false" ht="12.8" hidden="false" customHeight="false" outlineLevel="0" collapsed="false">
      <c r="A165" s="0" t="n">
        <v>451325</v>
      </c>
      <c r="B165" s="0" t="n">
        <v>537437</v>
      </c>
      <c r="C165" s="0" t="n">
        <v>604345</v>
      </c>
      <c r="D165" s="0" t="s">
        <v>35</v>
      </c>
      <c r="E165" s="0" t="s">
        <v>35</v>
      </c>
      <c r="F165" s="0" t="s">
        <v>36</v>
      </c>
      <c r="G165" s="0" t="s">
        <v>37</v>
      </c>
      <c r="H165" s="0" t="s">
        <v>548</v>
      </c>
      <c r="J165" s="0" t="s">
        <v>549</v>
      </c>
      <c r="M165" s="0" t="s">
        <v>550</v>
      </c>
      <c r="N165" s="0" t="s">
        <v>551</v>
      </c>
      <c r="O165" s="0" t="s">
        <v>552</v>
      </c>
      <c r="P165" s="0" t="n">
        <v>1862</v>
      </c>
      <c r="Q165" s="0" t="s">
        <v>39</v>
      </c>
      <c r="R165" s="0" t="s">
        <v>553</v>
      </c>
      <c r="S165" s="0" t="s">
        <v>554</v>
      </c>
      <c r="T165" s="0" t="s">
        <v>571</v>
      </c>
      <c r="V165" s="0" t="n">
        <v>1</v>
      </c>
      <c r="W165" s="0" t="n">
        <v>1</v>
      </c>
      <c r="X165" s="0" t="str">
        <f aca="false">"31811011267104"</f>
        <v>31811011267104</v>
      </c>
      <c r="Y165" s="0" t="s">
        <v>39</v>
      </c>
      <c r="Z165" s="0" t="s">
        <v>42</v>
      </c>
      <c r="AA165" s="0" t="s">
        <v>43</v>
      </c>
      <c r="AE165" s="1" t="s">
        <v>52</v>
      </c>
    </row>
    <row r="166" customFormat="false" ht="12.8" hidden="false" customHeight="false" outlineLevel="0" collapsed="false">
      <c r="A166" s="0" t="n">
        <v>451325</v>
      </c>
      <c r="B166" s="0" t="n">
        <v>537437</v>
      </c>
      <c r="C166" s="0" t="n">
        <v>604346</v>
      </c>
      <c r="D166" s="0" t="s">
        <v>35</v>
      </c>
      <c r="E166" s="0" t="s">
        <v>35</v>
      </c>
      <c r="F166" s="0" t="s">
        <v>36</v>
      </c>
      <c r="G166" s="0" t="s">
        <v>37</v>
      </c>
      <c r="H166" s="0" t="s">
        <v>548</v>
      </c>
      <c r="J166" s="0" t="s">
        <v>549</v>
      </c>
      <c r="M166" s="0" t="s">
        <v>550</v>
      </c>
      <c r="N166" s="0" t="s">
        <v>551</v>
      </c>
      <c r="O166" s="0" t="s">
        <v>552</v>
      </c>
      <c r="P166" s="0" t="n">
        <v>1862</v>
      </c>
      <c r="Q166" s="0" t="s">
        <v>39</v>
      </c>
      <c r="R166" s="0" t="s">
        <v>553</v>
      </c>
      <c r="S166" s="0" t="s">
        <v>554</v>
      </c>
      <c r="T166" s="0" t="s">
        <v>572</v>
      </c>
      <c r="V166" s="0" t="n">
        <v>1</v>
      </c>
      <c r="W166" s="0" t="n">
        <v>1</v>
      </c>
      <c r="X166" s="0" t="str">
        <f aca="false">"31811011267146"</f>
        <v>31811011267146</v>
      </c>
      <c r="Y166" s="0" t="s">
        <v>39</v>
      </c>
      <c r="Z166" s="0" t="s">
        <v>42</v>
      </c>
      <c r="AA166" s="0" t="s">
        <v>43</v>
      </c>
      <c r="AE166" s="1" t="s">
        <v>52</v>
      </c>
    </row>
    <row r="167" customFormat="false" ht="12.8" hidden="false" customHeight="false" outlineLevel="0" collapsed="false">
      <c r="A167" s="0" t="n">
        <v>451325</v>
      </c>
      <c r="B167" s="0" t="n">
        <v>537437</v>
      </c>
      <c r="C167" s="0" t="n">
        <v>604347</v>
      </c>
      <c r="D167" s="0" t="s">
        <v>35</v>
      </c>
      <c r="E167" s="0" t="s">
        <v>35</v>
      </c>
      <c r="F167" s="0" t="s">
        <v>36</v>
      </c>
      <c r="G167" s="0" t="s">
        <v>37</v>
      </c>
      <c r="H167" s="0" t="s">
        <v>548</v>
      </c>
      <c r="J167" s="0" t="s">
        <v>549</v>
      </c>
      <c r="M167" s="0" t="s">
        <v>550</v>
      </c>
      <c r="N167" s="0" t="s">
        <v>551</v>
      </c>
      <c r="O167" s="0" t="s">
        <v>552</v>
      </c>
      <c r="P167" s="0" t="n">
        <v>1862</v>
      </c>
      <c r="Q167" s="0" t="s">
        <v>39</v>
      </c>
      <c r="R167" s="0" t="s">
        <v>553</v>
      </c>
      <c r="S167" s="0" t="s">
        <v>554</v>
      </c>
      <c r="T167" s="0" t="s">
        <v>573</v>
      </c>
      <c r="V167" s="0" t="n">
        <v>1</v>
      </c>
      <c r="W167" s="0" t="n">
        <v>1</v>
      </c>
      <c r="X167" s="0" t="str">
        <f aca="false">"31811011267187"</f>
        <v>31811011267187</v>
      </c>
      <c r="Y167" s="0" t="s">
        <v>39</v>
      </c>
      <c r="Z167" s="0" t="s">
        <v>42</v>
      </c>
      <c r="AA167" s="0" t="s">
        <v>43</v>
      </c>
      <c r="AE167" s="1" t="s">
        <v>52</v>
      </c>
    </row>
    <row r="168" customFormat="false" ht="12.8" hidden="false" customHeight="false" outlineLevel="0" collapsed="false">
      <c r="A168" s="0" t="n">
        <v>451325</v>
      </c>
      <c r="B168" s="0" t="n">
        <v>537437</v>
      </c>
      <c r="C168" s="0" t="n">
        <v>604348</v>
      </c>
      <c r="D168" s="0" t="s">
        <v>35</v>
      </c>
      <c r="E168" s="0" t="s">
        <v>35</v>
      </c>
      <c r="F168" s="0" t="s">
        <v>36</v>
      </c>
      <c r="G168" s="0" t="s">
        <v>37</v>
      </c>
      <c r="H168" s="0" t="s">
        <v>548</v>
      </c>
      <c r="J168" s="0" t="s">
        <v>549</v>
      </c>
      <c r="M168" s="0" t="s">
        <v>550</v>
      </c>
      <c r="N168" s="0" t="s">
        <v>551</v>
      </c>
      <c r="O168" s="0" t="s">
        <v>552</v>
      </c>
      <c r="P168" s="0" t="n">
        <v>1862</v>
      </c>
      <c r="Q168" s="0" t="s">
        <v>39</v>
      </c>
      <c r="R168" s="0" t="s">
        <v>553</v>
      </c>
      <c r="S168" s="0" t="s">
        <v>554</v>
      </c>
      <c r="T168" s="0" t="s">
        <v>574</v>
      </c>
      <c r="V168" s="0" t="n">
        <v>1</v>
      </c>
      <c r="W168" s="0" t="n">
        <v>1</v>
      </c>
      <c r="X168" s="0" t="str">
        <f aca="false">"31811011267229"</f>
        <v>31811011267229</v>
      </c>
      <c r="Y168" s="0" t="s">
        <v>39</v>
      </c>
      <c r="Z168" s="0" t="s">
        <v>42</v>
      </c>
      <c r="AA168" s="0" t="s">
        <v>43</v>
      </c>
      <c r="AE168" s="1" t="s">
        <v>52</v>
      </c>
    </row>
    <row r="169" customFormat="false" ht="12.8" hidden="false" customHeight="false" outlineLevel="0" collapsed="false">
      <c r="A169" s="0" t="n">
        <v>451325</v>
      </c>
      <c r="B169" s="0" t="n">
        <v>537437</v>
      </c>
      <c r="C169" s="0" t="n">
        <v>604349</v>
      </c>
      <c r="D169" s="0" t="s">
        <v>35</v>
      </c>
      <c r="E169" s="0" t="s">
        <v>35</v>
      </c>
      <c r="F169" s="0" t="s">
        <v>36</v>
      </c>
      <c r="G169" s="0" t="s">
        <v>37</v>
      </c>
      <c r="H169" s="0" t="s">
        <v>548</v>
      </c>
      <c r="J169" s="0" t="s">
        <v>549</v>
      </c>
      <c r="M169" s="0" t="s">
        <v>550</v>
      </c>
      <c r="N169" s="0" t="s">
        <v>551</v>
      </c>
      <c r="O169" s="0" t="s">
        <v>552</v>
      </c>
      <c r="P169" s="0" t="n">
        <v>1862</v>
      </c>
      <c r="Q169" s="0" t="s">
        <v>39</v>
      </c>
      <c r="R169" s="0" t="s">
        <v>553</v>
      </c>
      <c r="S169" s="0" t="s">
        <v>554</v>
      </c>
      <c r="T169" s="0" t="s">
        <v>575</v>
      </c>
      <c r="V169" s="0" t="n">
        <v>1</v>
      </c>
      <c r="W169" s="0" t="n">
        <v>1</v>
      </c>
      <c r="X169" s="0" t="str">
        <f aca="false">"31811011267260"</f>
        <v>31811011267260</v>
      </c>
      <c r="Y169" s="0" t="s">
        <v>39</v>
      </c>
      <c r="Z169" s="0" t="s">
        <v>42</v>
      </c>
      <c r="AA169" s="0" t="s">
        <v>43</v>
      </c>
      <c r="AE169" s="1" t="s">
        <v>52</v>
      </c>
    </row>
    <row r="170" customFormat="false" ht="12.8" hidden="false" customHeight="false" outlineLevel="0" collapsed="false">
      <c r="A170" s="0" t="n">
        <v>451325</v>
      </c>
      <c r="B170" s="0" t="n">
        <v>537437</v>
      </c>
      <c r="C170" s="0" t="n">
        <v>604350</v>
      </c>
      <c r="D170" s="0" t="s">
        <v>35</v>
      </c>
      <c r="E170" s="0" t="s">
        <v>35</v>
      </c>
      <c r="F170" s="0" t="s">
        <v>36</v>
      </c>
      <c r="G170" s="0" t="s">
        <v>37</v>
      </c>
      <c r="H170" s="0" t="s">
        <v>548</v>
      </c>
      <c r="J170" s="0" t="s">
        <v>549</v>
      </c>
      <c r="M170" s="0" t="s">
        <v>550</v>
      </c>
      <c r="N170" s="0" t="s">
        <v>551</v>
      </c>
      <c r="O170" s="0" t="s">
        <v>552</v>
      </c>
      <c r="P170" s="0" t="n">
        <v>1862</v>
      </c>
      <c r="Q170" s="0" t="s">
        <v>39</v>
      </c>
      <c r="R170" s="0" t="s">
        <v>553</v>
      </c>
      <c r="S170" s="0" t="s">
        <v>554</v>
      </c>
      <c r="T170" s="0" t="s">
        <v>576</v>
      </c>
      <c r="V170" s="0" t="n">
        <v>1</v>
      </c>
      <c r="W170" s="0" t="n">
        <v>1</v>
      </c>
      <c r="X170" s="0" t="str">
        <f aca="false">"31811011267302"</f>
        <v>31811011267302</v>
      </c>
      <c r="Y170" s="0" t="s">
        <v>39</v>
      </c>
      <c r="Z170" s="0" t="s">
        <v>42</v>
      </c>
      <c r="AA170" s="0" t="s">
        <v>43</v>
      </c>
      <c r="AE170" s="1" t="s">
        <v>52</v>
      </c>
    </row>
    <row r="171" customFormat="false" ht="12.8" hidden="false" customHeight="false" outlineLevel="0" collapsed="false">
      <c r="A171" s="0" t="n">
        <v>451325</v>
      </c>
      <c r="B171" s="0" t="n">
        <v>537437</v>
      </c>
      <c r="C171" s="0" t="n">
        <v>604351</v>
      </c>
      <c r="D171" s="0" t="s">
        <v>35</v>
      </c>
      <c r="E171" s="0" t="s">
        <v>35</v>
      </c>
      <c r="F171" s="0" t="s">
        <v>36</v>
      </c>
      <c r="G171" s="0" t="s">
        <v>37</v>
      </c>
      <c r="H171" s="0" t="s">
        <v>548</v>
      </c>
      <c r="J171" s="0" t="s">
        <v>549</v>
      </c>
      <c r="M171" s="0" t="s">
        <v>550</v>
      </c>
      <c r="N171" s="0" t="s">
        <v>551</v>
      </c>
      <c r="O171" s="0" t="s">
        <v>552</v>
      </c>
      <c r="P171" s="0" t="n">
        <v>1862</v>
      </c>
      <c r="Q171" s="0" t="s">
        <v>39</v>
      </c>
      <c r="R171" s="0" t="s">
        <v>553</v>
      </c>
      <c r="S171" s="0" t="s">
        <v>554</v>
      </c>
      <c r="T171" s="0" t="s">
        <v>577</v>
      </c>
      <c r="V171" s="0" t="n">
        <v>1</v>
      </c>
      <c r="W171" s="0" t="n">
        <v>1</v>
      </c>
      <c r="X171" s="0" t="str">
        <f aca="false">"31811011267344"</f>
        <v>31811011267344</v>
      </c>
      <c r="Y171" s="0" t="s">
        <v>39</v>
      </c>
      <c r="Z171" s="0" t="s">
        <v>42</v>
      </c>
      <c r="AA171" s="0" t="s">
        <v>43</v>
      </c>
      <c r="AE171" s="1" t="s">
        <v>52</v>
      </c>
    </row>
    <row r="172" customFormat="false" ht="12.8" hidden="false" customHeight="false" outlineLevel="0" collapsed="false">
      <c r="A172" s="0" t="n">
        <v>451325</v>
      </c>
      <c r="B172" s="0" t="n">
        <v>537437</v>
      </c>
      <c r="C172" s="0" t="n">
        <v>604352</v>
      </c>
      <c r="D172" s="0" t="s">
        <v>35</v>
      </c>
      <c r="E172" s="0" t="s">
        <v>35</v>
      </c>
      <c r="F172" s="0" t="s">
        <v>36</v>
      </c>
      <c r="G172" s="0" t="s">
        <v>37</v>
      </c>
      <c r="H172" s="0" t="s">
        <v>548</v>
      </c>
      <c r="J172" s="0" t="s">
        <v>549</v>
      </c>
      <c r="M172" s="0" t="s">
        <v>550</v>
      </c>
      <c r="N172" s="0" t="s">
        <v>551</v>
      </c>
      <c r="O172" s="0" t="s">
        <v>552</v>
      </c>
      <c r="P172" s="0" t="n">
        <v>1862</v>
      </c>
      <c r="Q172" s="0" t="s">
        <v>39</v>
      </c>
      <c r="R172" s="0" t="s">
        <v>553</v>
      </c>
      <c r="S172" s="0" t="s">
        <v>554</v>
      </c>
      <c r="T172" s="0" t="s">
        <v>578</v>
      </c>
      <c r="V172" s="0" t="n">
        <v>1</v>
      </c>
      <c r="W172" s="0" t="n">
        <v>1</v>
      </c>
      <c r="X172" s="0" t="str">
        <f aca="false">"31811011267385"</f>
        <v>31811011267385</v>
      </c>
      <c r="Y172" s="0" t="s">
        <v>39</v>
      </c>
      <c r="Z172" s="0" t="s">
        <v>42</v>
      </c>
      <c r="AA172" s="0" t="s">
        <v>43</v>
      </c>
      <c r="AE172" s="1" t="s">
        <v>52</v>
      </c>
    </row>
    <row r="173" customFormat="false" ht="12.8" hidden="false" customHeight="false" outlineLevel="0" collapsed="false">
      <c r="A173" s="0" t="n">
        <v>451325</v>
      </c>
      <c r="B173" s="0" t="n">
        <v>537437</v>
      </c>
      <c r="C173" s="0" t="n">
        <v>604353</v>
      </c>
      <c r="D173" s="0" t="s">
        <v>35</v>
      </c>
      <c r="E173" s="0" t="s">
        <v>35</v>
      </c>
      <c r="F173" s="0" t="s">
        <v>36</v>
      </c>
      <c r="G173" s="0" t="s">
        <v>37</v>
      </c>
      <c r="H173" s="0" t="s">
        <v>548</v>
      </c>
      <c r="J173" s="0" t="s">
        <v>549</v>
      </c>
      <c r="M173" s="0" t="s">
        <v>550</v>
      </c>
      <c r="N173" s="0" t="s">
        <v>551</v>
      </c>
      <c r="O173" s="0" t="s">
        <v>552</v>
      </c>
      <c r="P173" s="0" t="n">
        <v>1862</v>
      </c>
      <c r="Q173" s="0" t="s">
        <v>39</v>
      </c>
      <c r="R173" s="0" t="s">
        <v>553</v>
      </c>
      <c r="S173" s="0" t="s">
        <v>554</v>
      </c>
      <c r="T173" s="0" t="s">
        <v>579</v>
      </c>
      <c r="V173" s="0" t="n">
        <v>1</v>
      </c>
      <c r="W173" s="0" t="n">
        <v>1</v>
      </c>
      <c r="X173" s="0" t="str">
        <f aca="false">"31811011267112"</f>
        <v>31811011267112</v>
      </c>
      <c r="Y173" s="0" t="s">
        <v>39</v>
      </c>
      <c r="Z173" s="0" t="s">
        <v>42</v>
      </c>
      <c r="AA173" s="0" t="s">
        <v>43</v>
      </c>
      <c r="AE173" s="1" t="s">
        <v>52</v>
      </c>
    </row>
    <row r="174" customFormat="false" ht="12.8" hidden="false" customHeight="false" outlineLevel="0" collapsed="false">
      <c r="A174" s="0" t="n">
        <v>451325</v>
      </c>
      <c r="B174" s="0" t="n">
        <v>537437</v>
      </c>
      <c r="C174" s="0" t="n">
        <v>604354</v>
      </c>
      <c r="D174" s="0" t="s">
        <v>35</v>
      </c>
      <c r="E174" s="0" t="s">
        <v>35</v>
      </c>
      <c r="F174" s="0" t="s">
        <v>36</v>
      </c>
      <c r="G174" s="0" t="s">
        <v>37</v>
      </c>
      <c r="H174" s="0" t="s">
        <v>548</v>
      </c>
      <c r="J174" s="0" t="s">
        <v>549</v>
      </c>
      <c r="M174" s="0" t="s">
        <v>550</v>
      </c>
      <c r="N174" s="0" t="s">
        <v>551</v>
      </c>
      <c r="O174" s="0" t="s">
        <v>552</v>
      </c>
      <c r="P174" s="0" t="n">
        <v>1862</v>
      </c>
      <c r="Q174" s="0" t="s">
        <v>39</v>
      </c>
      <c r="R174" s="0" t="s">
        <v>553</v>
      </c>
      <c r="S174" s="0" t="s">
        <v>554</v>
      </c>
      <c r="T174" s="0" t="s">
        <v>580</v>
      </c>
      <c r="V174" s="0" t="n">
        <v>1</v>
      </c>
      <c r="W174" s="0" t="n">
        <v>1</v>
      </c>
      <c r="X174" s="0" t="str">
        <f aca="false">"31811011253724"</f>
        <v>31811011253724</v>
      </c>
      <c r="Y174" s="0" t="s">
        <v>39</v>
      </c>
      <c r="Z174" s="0" t="s">
        <v>42</v>
      </c>
      <c r="AA174" s="0" t="s">
        <v>43</v>
      </c>
      <c r="AE174" s="1" t="s">
        <v>52</v>
      </c>
    </row>
    <row r="175" customFormat="false" ht="12.8" hidden="false" customHeight="false" outlineLevel="0" collapsed="false">
      <c r="A175" s="0" t="n">
        <v>451325</v>
      </c>
      <c r="B175" s="0" t="n">
        <v>537437</v>
      </c>
      <c r="C175" s="0" t="n">
        <v>604355</v>
      </c>
      <c r="D175" s="0" t="s">
        <v>35</v>
      </c>
      <c r="E175" s="0" t="s">
        <v>35</v>
      </c>
      <c r="F175" s="0" t="s">
        <v>36</v>
      </c>
      <c r="G175" s="0" t="s">
        <v>37</v>
      </c>
      <c r="H175" s="0" t="s">
        <v>548</v>
      </c>
      <c r="J175" s="0" t="s">
        <v>549</v>
      </c>
      <c r="M175" s="0" t="s">
        <v>550</v>
      </c>
      <c r="N175" s="0" t="s">
        <v>551</v>
      </c>
      <c r="O175" s="0" t="s">
        <v>552</v>
      </c>
      <c r="P175" s="0" t="n">
        <v>1862</v>
      </c>
      <c r="Q175" s="0" t="s">
        <v>39</v>
      </c>
      <c r="R175" s="0" t="s">
        <v>553</v>
      </c>
      <c r="S175" s="0" t="s">
        <v>554</v>
      </c>
      <c r="T175" s="0" t="s">
        <v>581</v>
      </c>
      <c r="V175" s="0" t="n">
        <v>1</v>
      </c>
      <c r="W175" s="0" t="n">
        <v>1</v>
      </c>
      <c r="X175" s="0" t="str">
        <f aca="false">"31811011253765"</f>
        <v>31811011253765</v>
      </c>
      <c r="Y175" s="0" t="s">
        <v>39</v>
      </c>
      <c r="Z175" s="0" t="s">
        <v>42</v>
      </c>
      <c r="AA175" s="0" t="s">
        <v>43</v>
      </c>
      <c r="AE175" s="1" t="s">
        <v>52</v>
      </c>
    </row>
    <row r="176" customFormat="false" ht="12.8" hidden="false" customHeight="false" outlineLevel="0" collapsed="false">
      <c r="A176" s="0" t="n">
        <v>451325</v>
      </c>
      <c r="B176" s="0" t="n">
        <v>537437</v>
      </c>
      <c r="C176" s="0" t="n">
        <v>604356</v>
      </c>
      <c r="D176" s="0" t="s">
        <v>35</v>
      </c>
      <c r="E176" s="0" t="s">
        <v>35</v>
      </c>
      <c r="F176" s="0" t="s">
        <v>36</v>
      </c>
      <c r="G176" s="0" t="s">
        <v>37</v>
      </c>
      <c r="H176" s="0" t="s">
        <v>548</v>
      </c>
      <c r="J176" s="0" t="s">
        <v>549</v>
      </c>
      <c r="M176" s="0" t="s">
        <v>550</v>
      </c>
      <c r="N176" s="0" t="s">
        <v>551</v>
      </c>
      <c r="O176" s="0" t="s">
        <v>552</v>
      </c>
      <c r="P176" s="0" t="n">
        <v>1862</v>
      </c>
      <c r="Q176" s="0" t="s">
        <v>39</v>
      </c>
      <c r="R176" s="0" t="s">
        <v>553</v>
      </c>
      <c r="S176" s="0" t="s">
        <v>554</v>
      </c>
      <c r="T176" s="0" t="s">
        <v>582</v>
      </c>
      <c r="V176" s="0" t="n">
        <v>1</v>
      </c>
      <c r="W176" s="0" t="n">
        <v>1</v>
      </c>
      <c r="X176" s="0" t="str">
        <f aca="false">"31811011253807"</f>
        <v>31811011253807</v>
      </c>
      <c r="Y176" s="0" t="s">
        <v>39</v>
      </c>
      <c r="Z176" s="0" t="s">
        <v>42</v>
      </c>
      <c r="AA176" s="0" t="s">
        <v>43</v>
      </c>
      <c r="AE176" s="1" t="s">
        <v>52</v>
      </c>
    </row>
    <row r="177" customFormat="false" ht="12.8" hidden="false" customHeight="false" outlineLevel="0" collapsed="false">
      <c r="A177" s="0" t="n">
        <v>451325</v>
      </c>
      <c r="B177" s="0" t="n">
        <v>537437</v>
      </c>
      <c r="C177" s="0" t="n">
        <v>604358</v>
      </c>
      <c r="D177" s="0" t="s">
        <v>35</v>
      </c>
      <c r="E177" s="0" t="s">
        <v>35</v>
      </c>
      <c r="F177" s="0" t="s">
        <v>36</v>
      </c>
      <c r="G177" s="0" t="s">
        <v>37</v>
      </c>
      <c r="H177" s="0" t="s">
        <v>548</v>
      </c>
      <c r="J177" s="0" t="s">
        <v>549</v>
      </c>
      <c r="M177" s="0" t="s">
        <v>550</v>
      </c>
      <c r="N177" s="0" t="s">
        <v>551</v>
      </c>
      <c r="O177" s="0" t="s">
        <v>552</v>
      </c>
      <c r="P177" s="0" t="n">
        <v>1862</v>
      </c>
      <c r="Q177" s="0" t="s">
        <v>39</v>
      </c>
      <c r="R177" s="0" t="s">
        <v>553</v>
      </c>
      <c r="S177" s="0" t="s">
        <v>554</v>
      </c>
      <c r="T177" s="0" t="s">
        <v>583</v>
      </c>
      <c r="V177" s="0" t="n">
        <v>1</v>
      </c>
      <c r="W177" s="0" t="n">
        <v>1</v>
      </c>
      <c r="X177" s="0" t="str">
        <f aca="false">"31811011253880"</f>
        <v>31811011253880</v>
      </c>
      <c r="Y177" s="0" t="s">
        <v>39</v>
      </c>
      <c r="Z177" s="0" t="s">
        <v>42</v>
      </c>
      <c r="AA177" s="0" t="s">
        <v>43</v>
      </c>
      <c r="AE177" s="1" t="s">
        <v>52</v>
      </c>
    </row>
    <row r="178" customFormat="false" ht="12.8" hidden="false" customHeight="false" outlineLevel="0" collapsed="false">
      <c r="A178" s="0" t="n">
        <v>451325</v>
      </c>
      <c r="B178" s="0" t="n">
        <v>537437</v>
      </c>
      <c r="C178" s="0" t="n">
        <v>604359</v>
      </c>
      <c r="D178" s="0" t="s">
        <v>35</v>
      </c>
      <c r="E178" s="0" t="s">
        <v>35</v>
      </c>
      <c r="F178" s="0" t="s">
        <v>36</v>
      </c>
      <c r="G178" s="0" t="s">
        <v>37</v>
      </c>
      <c r="H178" s="0" t="s">
        <v>548</v>
      </c>
      <c r="J178" s="0" t="s">
        <v>549</v>
      </c>
      <c r="M178" s="0" t="s">
        <v>550</v>
      </c>
      <c r="N178" s="0" t="s">
        <v>551</v>
      </c>
      <c r="O178" s="0" t="s">
        <v>552</v>
      </c>
      <c r="P178" s="0" t="n">
        <v>1862</v>
      </c>
      <c r="Q178" s="0" t="s">
        <v>39</v>
      </c>
      <c r="R178" s="0" t="s">
        <v>553</v>
      </c>
      <c r="S178" s="0" t="s">
        <v>554</v>
      </c>
      <c r="T178" s="0" t="s">
        <v>584</v>
      </c>
      <c r="V178" s="0" t="n">
        <v>1</v>
      </c>
      <c r="W178" s="0" t="n">
        <v>1</v>
      </c>
      <c r="X178" s="0" t="str">
        <f aca="false">"31811011253922"</f>
        <v>31811011253922</v>
      </c>
      <c r="Y178" s="0" t="s">
        <v>39</v>
      </c>
      <c r="Z178" s="0" t="s">
        <v>42</v>
      </c>
      <c r="AA178" s="0" t="s">
        <v>43</v>
      </c>
      <c r="AE178" s="1" t="s">
        <v>52</v>
      </c>
    </row>
    <row r="179" customFormat="false" ht="12.8" hidden="false" customHeight="false" outlineLevel="0" collapsed="false">
      <c r="A179" s="0" t="n">
        <v>451325</v>
      </c>
      <c r="B179" s="0" t="n">
        <v>537437</v>
      </c>
      <c r="C179" s="0" t="n">
        <v>604360</v>
      </c>
      <c r="D179" s="0" t="s">
        <v>35</v>
      </c>
      <c r="E179" s="0" t="s">
        <v>35</v>
      </c>
      <c r="F179" s="0" t="s">
        <v>36</v>
      </c>
      <c r="G179" s="0" t="s">
        <v>37</v>
      </c>
      <c r="H179" s="0" t="s">
        <v>548</v>
      </c>
      <c r="J179" s="0" t="s">
        <v>549</v>
      </c>
      <c r="M179" s="0" t="s">
        <v>550</v>
      </c>
      <c r="N179" s="0" t="s">
        <v>551</v>
      </c>
      <c r="O179" s="0" t="s">
        <v>552</v>
      </c>
      <c r="P179" s="0" t="n">
        <v>1862</v>
      </c>
      <c r="Q179" s="0" t="s">
        <v>39</v>
      </c>
      <c r="R179" s="0" t="s">
        <v>553</v>
      </c>
      <c r="S179" s="0" t="s">
        <v>554</v>
      </c>
      <c r="T179" s="0" t="s">
        <v>585</v>
      </c>
      <c r="V179" s="0" t="n">
        <v>1</v>
      </c>
      <c r="W179" s="0" t="n">
        <v>1</v>
      </c>
      <c r="X179" s="0" t="str">
        <f aca="false">"31811011253963"</f>
        <v>31811011253963</v>
      </c>
      <c r="Y179" s="0" t="s">
        <v>39</v>
      </c>
      <c r="Z179" s="0" t="s">
        <v>42</v>
      </c>
      <c r="AA179" s="0" t="s">
        <v>43</v>
      </c>
      <c r="AE179" s="1" t="s">
        <v>52</v>
      </c>
    </row>
    <row r="180" customFormat="false" ht="12.8" hidden="false" customHeight="false" outlineLevel="0" collapsed="false">
      <c r="A180" s="0" t="n">
        <v>451325</v>
      </c>
      <c r="B180" s="0" t="n">
        <v>537437</v>
      </c>
      <c r="C180" s="0" t="n">
        <v>604361</v>
      </c>
      <c r="D180" s="0" t="s">
        <v>35</v>
      </c>
      <c r="E180" s="0" t="s">
        <v>35</v>
      </c>
      <c r="F180" s="0" t="s">
        <v>36</v>
      </c>
      <c r="G180" s="0" t="s">
        <v>37</v>
      </c>
      <c r="H180" s="0" t="s">
        <v>548</v>
      </c>
      <c r="J180" s="0" t="s">
        <v>549</v>
      </c>
      <c r="M180" s="0" t="s">
        <v>550</v>
      </c>
      <c r="N180" s="0" t="s">
        <v>551</v>
      </c>
      <c r="O180" s="0" t="s">
        <v>552</v>
      </c>
      <c r="P180" s="0" t="n">
        <v>1862</v>
      </c>
      <c r="Q180" s="0" t="s">
        <v>39</v>
      </c>
      <c r="R180" s="0" t="s">
        <v>553</v>
      </c>
      <c r="S180" s="0" t="s">
        <v>554</v>
      </c>
      <c r="T180" s="0" t="s">
        <v>586</v>
      </c>
      <c r="V180" s="0" t="n">
        <v>1</v>
      </c>
      <c r="W180" s="0" t="n">
        <v>1</v>
      </c>
      <c r="X180" s="0" t="str">
        <f aca="false">"31811011267096"</f>
        <v>31811011267096</v>
      </c>
      <c r="Y180" s="0" t="s">
        <v>39</v>
      </c>
      <c r="Z180" s="0" t="s">
        <v>42</v>
      </c>
      <c r="AA180" s="0" t="s">
        <v>43</v>
      </c>
      <c r="AE180" s="1" t="s">
        <v>52</v>
      </c>
    </row>
    <row r="181" customFormat="false" ht="12.8" hidden="false" customHeight="false" outlineLevel="0" collapsed="false">
      <c r="A181" s="0" t="n">
        <v>451325</v>
      </c>
      <c r="B181" s="0" t="n">
        <v>537437</v>
      </c>
      <c r="C181" s="0" t="n">
        <v>604362</v>
      </c>
      <c r="D181" s="0" t="s">
        <v>35</v>
      </c>
      <c r="E181" s="0" t="s">
        <v>35</v>
      </c>
      <c r="F181" s="0" t="s">
        <v>36</v>
      </c>
      <c r="G181" s="0" t="s">
        <v>37</v>
      </c>
      <c r="H181" s="0" t="s">
        <v>548</v>
      </c>
      <c r="J181" s="0" t="s">
        <v>549</v>
      </c>
      <c r="M181" s="0" t="s">
        <v>550</v>
      </c>
      <c r="N181" s="0" t="s">
        <v>551</v>
      </c>
      <c r="O181" s="0" t="s">
        <v>552</v>
      </c>
      <c r="P181" s="0" t="n">
        <v>1862</v>
      </c>
      <c r="Q181" s="0" t="s">
        <v>39</v>
      </c>
      <c r="R181" s="0" t="s">
        <v>553</v>
      </c>
      <c r="S181" s="0" t="s">
        <v>554</v>
      </c>
      <c r="T181" s="0" t="s">
        <v>587</v>
      </c>
      <c r="V181" s="0" t="n">
        <v>1</v>
      </c>
      <c r="W181" s="0" t="n">
        <v>1</v>
      </c>
      <c r="X181" s="0" t="str">
        <f aca="false">"31811011267138"</f>
        <v>31811011267138</v>
      </c>
      <c r="Y181" s="0" t="s">
        <v>39</v>
      </c>
      <c r="Z181" s="0" t="s">
        <v>42</v>
      </c>
      <c r="AA181" s="0" t="s">
        <v>43</v>
      </c>
      <c r="AE181" s="1" t="s">
        <v>52</v>
      </c>
    </row>
    <row r="182" customFormat="false" ht="12.8" hidden="false" customHeight="false" outlineLevel="0" collapsed="false">
      <c r="A182" s="0" t="n">
        <v>451325</v>
      </c>
      <c r="B182" s="0" t="n">
        <v>537437</v>
      </c>
      <c r="C182" s="0" t="n">
        <v>604363</v>
      </c>
      <c r="D182" s="0" t="s">
        <v>35</v>
      </c>
      <c r="E182" s="0" t="s">
        <v>35</v>
      </c>
      <c r="F182" s="0" t="s">
        <v>36</v>
      </c>
      <c r="G182" s="0" t="s">
        <v>37</v>
      </c>
      <c r="H182" s="0" t="s">
        <v>548</v>
      </c>
      <c r="J182" s="0" t="s">
        <v>549</v>
      </c>
      <c r="M182" s="0" t="s">
        <v>550</v>
      </c>
      <c r="N182" s="0" t="s">
        <v>551</v>
      </c>
      <c r="O182" s="0" t="s">
        <v>552</v>
      </c>
      <c r="P182" s="0" t="n">
        <v>1862</v>
      </c>
      <c r="Q182" s="0" t="s">
        <v>39</v>
      </c>
      <c r="R182" s="0" t="s">
        <v>553</v>
      </c>
      <c r="S182" s="0" t="s">
        <v>554</v>
      </c>
      <c r="T182" s="0" t="s">
        <v>588</v>
      </c>
      <c r="V182" s="0" t="n">
        <v>1</v>
      </c>
      <c r="W182" s="0" t="n">
        <v>1</v>
      </c>
      <c r="X182" s="0" t="str">
        <f aca="false">"31811011267179"</f>
        <v>31811011267179</v>
      </c>
      <c r="Y182" s="0" t="s">
        <v>39</v>
      </c>
      <c r="Z182" s="0" t="s">
        <v>42</v>
      </c>
      <c r="AA182" s="0" t="s">
        <v>43</v>
      </c>
      <c r="AE182" s="1" t="s">
        <v>52</v>
      </c>
    </row>
    <row r="183" customFormat="false" ht="12.8" hidden="false" customHeight="false" outlineLevel="0" collapsed="false">
      <c r="A183" s="0" t="n">
        <v>451325</v>
      </c>
      <c r="B183" s="0" t="n">
        <v>537437</v>
      </c>
      <c r="C183" s="0" t="n">
        <v>604364</v>
      </c>
      <c r="D183" s="0" t="s">
        <v>35</v>
      </c>
      <c r="E183" s="0" t="s">
        <v>35</v>
      </c>
      <c r="F183" s="0" t="s">
        <v>36</v>
      </c>
      <c r="G183" s="0" t="s">
        <v>37</v>
      </c>
      <c r="H183" s="0" t="s">
        <v>548</v>
      </c>
      <c r="J183" s="0" t="s">
        <v>549</v>
      </c>
      <c r="M183" s="0" t="s">
        <v>550</v>
      </c>
      <c r="N183" s="0" t="s">
        <v>551</v>
      </c>
      <c r="O183" s="0" t="s">
        <v>552</v>
      </c>
      <c r="P183" s="0" t="n">
        <v>1862</v>
      </c>
      <c r="Q183" s="0" t="s">
        <v>39</v>
      </c>
      <c r="R183" s="0" t="s">
        <v>553</v>
      </c>
      <c r="S183" s="0" t="s">
        <v>554</v>
      </c>
      <c r="T183" s="0" t="s">
        <v>589</v>
      </c>
      <c r="V183" s="0" t="n">
        <v>1</v>
      </c>
      <c r="W183" s="0" t="n">
        <v>1</v>
      </c>
      <c r="X183" s="0" t="str">
        <f aca="false">"31811011267211"</f>
        <v>31811011267211</v>
      </c>
      <c r="Y183" s="0" t="s">
        <v>39</v>
      </c>
      <c r="Z183" s="0" t="s">
        <v>42</v>
      </c>
      <c r="AA183" s="0" t="s">
        <v>43</v>
      </c>
      <c r="AE183" s="1" t="s">
        <v>52</v>
      </c>
    </row>
    <row r="184" customFormat="false" ht="12.8" hidden="false" customHeight="false" outlineLevel="0" collapsed="false">
      <c r="A184" s="0" t="n">
        <v>451325</v>
      </c>
      <c r="B184" s="0" t="n">
        <v>537437</v>
      </c>
      <c r="C184" s="0" t="n">
        <v>604365</v>
      </c>
      <c r="D184" s="0" t="s">
        <v>35</v>
      </c>
      <c r="E184" s="0" t="s">
        <v>35</v>
      </c>
      <c r="F184" s="0" t="s">
        <v>36</v>
      </c>
      <c r="G184" s="0" t="s">
        <v>37</v>
      </c>
      <c r="H184" s="0" t="s">
        <v>548</v>
      </c>
      <c r="J184" s="0" t="s">
        <v>549</v>
      </c>
      <c r="M184" s="0" t="s">
        <v>550</v>
      </c>
      <c r="N184" s="0" t="s">
        <v>551</v>
      </c>
      <c r="O184" s="0" t="s">
        <v>552</v>
      </c>
      <c r="P184" s="0" t="n">
        <v>1862</v>
      </c>
      <c r="Q184" s="0" t="s">
        <v>39</v>
      </c>
      <c r="R184" s="0" t="s">
        <v>553</v>
      </c>
      <c r="S184" s="0" t="s">
        <v>554</v>
      </c>
      <c r="T184" s="0" t="s">
        <v>590</v>
      </c>
      <c r="V184" s="0" t="n">
        <v>1</v>
      </c>
      <c r="W184" s="0" t="n">
        <v>1</v>
      </c>
      <c r="X184" s="0" t="str">
        <f aca="false">"31811011267252"</f>
        <v>31811011267252</v>
      </c>
      <c r="Y184" s="0" t="s">
        <v>39</v>
      </c>
      <c r="Z184" s="0" t="s">
        <v>42</v>
      </c>
      <c r="AA184" s="0" t="s">
        <v>43</v>
      </c>
      <c r="AE184" s="1" t="s">
        <v>52</v>
      </c>
    </row>
    <row r="185" customFormat="false" ht="12.8" hidden="false" customHeight="false" outlineLevel="0" collapsed="false">
      <c r="A185" s="0" t="n">
        <v>451325</v>
      </c>
      <c r="B185" s="0" t="n">
        <v>537437</v>
      </c>
      <c r="C185" s="0" t="n">
        <v>604366</v>
      </c>
      <c r="D185" s="0" t="s">
        <v>35</v>
      </c>
      <c r="E185" s="0" t="s">
        <v>35</v>
      </c>
      <c r="F185" s="0" t="s">
        <v>36</v>
      </c>
      <c r="G185" s="0" t="s">
        <v>37</v>
      </c>
      <c r="H185" s="0" t="s">
        <v>548</v>
      </c>
      <c r="J185" s="0" t="s">
        <v>549</v>
      </c>
      <c r="M185" s="0" t="s">
        <v>550</v>
      </c>
      <c r="N185" s="0" t="s">
        <v>551</v>
      </c>
      <c r="O185" s="0" t="s">
        <v>552</v>
      </c>
      <c r="P185" s="0" t="n">
        <v>1862</v>
      </c>
      <c r="Q185" s="0" t="s">
        <v>39</v>
      </c>
      <c r="R185" s="0" t="s">
        <v>553</v>
      </c>
      <c r="S185" s="0" t="s">
        <v>554</v>
      </c>
      <c r="T185" s="0" t="s">
        <v>591</v>
      </c>
      <c r="V185" s="0" t="n">
        <v>1</v>
      </c>
      <c r="W185" s="0" t="n">
        <v>1</v>
      </c>
      <c r="X185" s="0" t="str">
        <f aca="false">"31811011267153"</f>
        <v>31811011267153</v>
      </c>
      <c r="Y185" s="0" t="s">
        <v>39</v>
      </c>
      <c r="Z185" s="0" t="s">
        <v>42</v>
      </c>
      <c r="AA185" s="0" t="s">
        <v>43</v>
      </c>
      <c r="AE185" s="1" t="s">
        <v>52</v>
      </c>
    </row>
    <row r="186" customFormat="false" ht="12.8" hidden="false" customHeight="false" outlineLevel="0" collapsed="false">
      <c r="A186" s="0" t="n">
        <v>451325</v>
      </c>
      <c r="B186" s="0" t="n">
        <v>537437</v>
      </c>
      <c r="C186" s="0" t="n">
        <v>604367</v>
      </c>
      <c r="D186" s="0" t="s">
        <v>35</v>
      </c>
      <c r="E186" s="0" t="s">
        <v>35</v>
      </c>
      <c r="F186" s="0" t="s">
        <v>36</v>
      </c>
      <c r="G186" s="0" t="s">
        <v>37</v>
      </c>
      <c r="H186" s="0" t="s">
        <v>548</v>
      </c>
      <c r="J186" s="0" t="s">
        <v>549</v>
      </c>
      <c r="M186" s="0" t="s">
        <v>550</v>
      </c>
      <c r="N186" s="0" t="s">
        <v>551</v>
      </c>
      <c r="O186" s="0" t="s">
        <v>552</v>
      </c>
      <c r="P186" s="0" t="n">
        <v>1862</v>
      </c>
      <c r="Q186" s="0" t="s">
        <v>39</v>
      </c>
      <c r="R186" s="0" t="s">
        <v>553</v>
      </c>
      <c r="S186" s="0" t="s">
        <v>554</v>
      </c>
      <c r="T186" s="0" t="s">
        <v>592</v>
      </c>
      <c r="V186" s="0" t="n">
        <v>1</v>
      </c>
      <c r="W186" s="0" t="n">
        <v>1</v>
      </c>
      <c r="X186" s="0" t="str">
        <f aca="false">"31811011267195"</f>
        <v>31811011267195</v>
      </c>
      <c r="Y186" s="0" t="s">
        <v>39</v>
      </c>
      <c r="Z186" s="0" t="s">
        <v>42</v>
      </c>
      <c r="AA186" s="0" t="s">
        <v>43</v>
      </c>
      <c r="AE186" s="1" t="s">
        <v>52</v>
      </c>
    </row>
    <row r="187" customFormat="false" ht="12.8" hidden="false" customHeight="false" outlineLevel="0" collapsed="false">
      <c r="A187" s="0" t="n">
        <v>451325</v>
      </c>
      <c r="B187" s="0" t="n">
        <v>537437</v>
      </c>
      <c r="C187" s="0" t="n">
        <v>604368</v>
      </c>
      <c r="D187" s="0" t="s">
        <v>35</v>
      </c>
      <c r="E187" s="0" t="s">
        <v>35</v>
      </c>
      <c r="F187" s="0" t="s">
        <v>36</v>
      </c>
      <c r="G187" s="0" t="s">
        <v>37</v>
      </c>
      <c r="H187" s="0" t="s">
        <v>548</v>
      </c>
      <c r="J187" s="0" t="s">
        <v>549</v>
      </c>
      <c r="M187" s="0" t="s">
        <v>550</v>
      </c>
      <c r="N187" s="0" t="s">
        <v>551</v>
      </c>
      <c r="O187" s="0" t="s">
        <v>552</v>
      </c>
      <c r="P187" s="0" t="n">
        <v>1862</v>
      </c>
      <c r="Q187" s="0" t="s">
        <v>39</v>
      </c>
      <c r="R187" s="0" t="s">
        <v>553</v>
      </c>
      <c r="S187" s="0" t="s">
        <v>554</v>
      </c>
      <c r="T187" s="0" t="s">
        <v>593</v>
      </c>
      <c r="V187" s="0" t="n">
        <v>1</v>
      </c>
      <c r="W187" s="0" t="n">
        <v>1</v>
      </c>
      <c r="X187" s="0" t="str">
        <f aca="false">"31811011267237"</f>
        <v>31811011267237</v>
      </c>
      <c r="Y187" s="0" t="s">
        <v>39</v>
      </c>
      <c r="Z187" s="0" t="s">
        <v>42</v>
      </c>
      <c r="AA187" s="0" t="s">
        <v>43</v>
      </c>
      <c r="AE187" s="1" t="s">
        <v>52</v>
      </c>
    </row>
    <row r="188" customFormat="false" ht="12.8" hidden="false" customHeight="false" outlineLevel="0" collapsed="false">
      <c r="A188" s="0" t="n">
        <v>451325</v>
      </c>
      <c r="B188" s="0" t="n">
        <v>537437</v>
      </c>
      <c r="C188" s="0" t="n">
        <v>604369</v>
      </c>
      <c r="D188" s="0" t="s">
        <v>35</v>
      </c>
      <c r="E188" s="0" t="s">
        <v>35</v>
      </c>
      <c r="F188" s="0" t="s">
        <v>36</v>
      </c>
      <c r="G188" s="0" t="s">
        <v>37</v>
      </c>
      <c r="H188" s="0" t="s">
        <v>548</v>
      </c>
      <c r="J188" s="0" t="s">
        <v>549</v>
      </c>
      <c r="M188" s="0" t="s">
        <v>550</v>
      </c>
      <c r="N188" s="0" t="s">
        <v>551</v>
      </c>
      <c r="O188" s="0" t="s">
        <v>552</v>
      </c>
      <c r="P188" s="0" t="n">
        <v>1862</v>
      </c>
      <c r="Q188" s="0" t="s">
        <v>39</v>
      </c>
      <c r="R188" s="0" t="s">
        <v>553</v>
      </c>
      <c r="S188" s="0" t="s">
        <v>554</v>
      </c>
      <c r="T188" s="0" t="s">
        <v>594</v>
      </c>
      <c r="V188" s="0" t="n">
        <v>1</v>
      </c>
      <c r="W188" s="0" t="n">
        <v>1</v>
      </c>
      <c r="X188" s="0" t="str">
        <f aca="false">"31811011267278"</f>
        <v>31811011267278</v>
      </c>
      <c r="Y188" s="0" t="s">
        <v>39</v>
      </c>
      <c r="Z188" s="0" t="s">
        <v>42</v>
      </c>
      <c r="AA188" s="0" t="s">
        <v>43</v>
      </c>
      <c r="AE188" s="1" t="s">
        <v>52</v>
      </c>
    </row>
    <row r="189" customFormat="false" ht="12.8" hidden="false" customHeight="false" outlineLevel="0" collapsed="false">
      <c r="A189" s="0" t="n">
        <v>451325</v>
      </c>
      <c r="B189" s="0" t="n">
        <v>537437</v>
      </c>
      <c r="C189" s="0" t="n">
        <v>604370</v>
      </c>
      <c r="D189" s="0" t="s">
        <v>35</v>
      </c>
      <c r="E189" s="0" t="s">
        <v>35</v>
      </c>
      <c r="F189" s="0" t="s">
        <v>36</v>
      </c>
      <c r="G189" s="0" t="s">
        <v>37</v>
      </c>
      <c r="H189" s="0" t="s">
        <v>548</v>
      </c>
      <c r="J189" s="0" t="s">
        <v>549</v>
      </c>
      <c r="M189" s="0" t="s">
        <v>550</v>
      </c>
      <c r="N189" s="0" t="s">
        <v>551</v>
      </c>
      <c r="O189" s="0" t="s">
        <v>552</v>
      </c>
      <c r="P189" s="0" t="n">
        <v>1862</v>
      </c>
      <c r="Q189" s="0" t="s">
        <v>39</v>
      </c>
      <c r="R189" s="0" t="s">
        <v>553</v>
      </c>
      <c r="S189" s="0" t="s">
        <v>554</v>
      </c>
      <c r="T189" s="0" t="s">
        <v>595</v>
      </c>
      <c r="V189" s="0" t="n">
        <v>1</v>
      </c>
      <c r="W189" s="0" t="n">
        <v>1</v>
      </c>
      <c r="X189" s="0" t="str">
        <f aca="false">"31811011267310"</f>
        <v>31811011267310</v>
      </c>
      <c r="Y189" s="0" t="s">
        <v>39</v>
      </c>
      <c r="Z189" s="0" t="s">
        <v>42</v>
      </c>
      <c r="AA189" s="0" t="s">
        <v>43</v>
      </c>
      <c r="AE189" s="1" t="s">
        <v>52</v>
      </c>
    </row>
    <row r="190" customFormat="false" ht="12.8" hidden="false" customHeight="false" outlineLevel="0" collapsed="false">
      <c r="A190" s="0" t="n">
        <v>68351</v>
      </c>
      <c r="B190" s="0" t="n">
        <v>74118</v>
      </c>
      <c r="C190" s="0" t="n">
        <v>81968</v>
      </c>
      <c r="D190" s="0" t="s">
        <v>35</v>
      </c>
      <c r="E190" s="0" t="s">
        <v>35</v>
      </c>
      <c r="F190" s="0" t="s">
        <v>36</v>
      </c>
      <c r="G190" s="0" t="s">
        <v>37</v>
      </c>
      <c r="H190" s="0" t="s">
        <v>596</v>
      </c>
      <c r="J190" s="0" t="s">
        <v>597</v>
      </c>
      <c r="M190" s="0" t="s">
        <v>598</v>
      </c>
      <c r="N190" s="0" t="n">
        <v>1922</v>
      </c>
      <c r="O190" s="0" t="s">
        <v>599</v>
      </c>
      <c r="P190" s="0" t="n">
        <v>1922</v>
      </c>
      <c r="Q190" s="0" t="s">
        <v>39</v>
      </c>
      <c r="R190" s="0" t="s">
        <v>600</v>
      </c>
      <c r="S190" s="0" t="s">
        <v>601</v>
      </c>
      <c r="V190" s="0" t="n">
        <v>1</v>
      </c>
      <c r="W190" s="0" t="n">
        <v>1</v>
      </c>
      <c r="X190" s="0" t="str">
        <f aca="false">"31811011852681"</f>
        <v>31811011852681</v>
      </c>
      <c r="Y190" s="0" t="s">
        <v>39</v>
      </c>
      <c r="Z190" s="0" t="s">
        <v>42</v>
      </c>
      <c r="AA190" s="0" t="s">
        <v>43</v>
      </c>
      <c r="AE190" s="1" t="s">
        <v>52</v>
      </c>
      <c r="AF190" s="1" t="s">
        <v>433</v>
      </c>
    </row>
    <row r="191" customFormat="false" ht="12.8" hidden="false" customHeight="false" outlineLevel="0" collapsed="false">
      <c r="A191" s="0" t="n">
        <v>290327</v>
      </c>
      <c r="B191" s="0" t="n">
        <v>317127</v>
      </c>
      <c r="C191" s="0" t="n">
        <v>354757</v>
      </c>
      <c r="D191" s="0" t="s">
        <v>35</v>
      </c>
      <c r="E191" s="0" t="s">
        <v>35</v>
      </c>
      <c r="F191" s="0" t="s">
        <v>36</v>
      </c>
      <c r="G191" s="0" t="s">
        <v>37</v>
      </c>
      <c r="H191" s="0" t="s">
        <v>602</v>
      </c>
      <c r="J191" s="0" t="s">
        <v>603</v>
      </c>
      <c r="M191" s="0" t="s">
        <v>604</v>
      </c>
      <c r="N191" s="0" t="s">
        <v>605</v>
      </c>
      <c r="O191" s="0" t="s">
        <v>606</v>
      </c>
      <c r="P191" s="0" t="n">
        <v>1926</v>
      </c>
      <c r="Q191" s="0" t="s">
        <v>39</v>
      </c>
      <c r="R191" s="0" t="s">
        <v>607</v>
      </c>
      <c r="S191" s="0" t="s">
        <v>608</v>
      </c>
      <c r="T191" s="0" t="s">
        <v>51</v>
      </c>
      <c r="V191" s="0" t="n">
        <v>1</v>
      </c>
      <c r="W191" s="0" t="n">
        <v>1</v>
      </c>
      <c r="X191" s="0" t="str">
        <f aca="false">"31811011851113"</f>
        <v>31811011851113</v>
      </c>
      <c r="Y191" s="0" t="s">
        <v>39</v>
      </c>
      <c r="Z191" s="0" t="s">
        <v>42</v>
      </c>
      <c r="AA191" s="0" t="s">
        <v>43</v>
      </c>
      <c r="AE191" s="1" t="s">
        <v>52</v>
      </c>
      <c r="AF191" s="1" t="s">
        <v>433</v>
      </c>
    </row>
    <row r="192" customFormat="false" ht="12.8" hidden="false" customHeight="false" outlineLevel="0" collapsed="false">
      <c r="A192" s="0" t="n">
        <v>290327</v>
      </c>
      <c r="B192" s="0" t="n">
        <v>317127</v>
      </c>
      <c r="C192" s="0" t="n">
        <v>354758</v>
      </c>
      <c r="D192" s="0" t="s">
        <v>35</v>
      </c>
      <c r="E192" s="0" t="s">
        <v>35</v>
      </c>
      <c r="F192" s="0" t="s">
        <v>36</v>
      </c>
      <c r="G192" s="0" t="s">
        <v>37</v>
      </c>
      <c r="H192" s="0" t="s">
        <v>602</v>
      </c>
      <c r="J192" s="0" t="s">
        <v>603</v>
      </c>
      <c r="M192" s="0" t="s">
        <v>604</v>
      </c>
      <c r="N192" s="0" t="s">
        <v>605</v>
      </c>
      <c r="O192" s="0" t="s">
        <v>606</v>
      </c>
      <c r="P192" s="0" t="n">
        <v>1926</v>
      </c>
      <c r="Q192" s="0" t="s">
        <v>39</v>
      </c>
      <c r="R192" s="0" t="s">
        <v>607</v>
      </c>
      <c r="S192" s="0" t="s">
        <v>608</v>
      </c>
      <c r="T192" s="0" t="s">
        <v>53</v>
      </c>
      <c r="V192" s="0" t="n">
        <v>1</v>
      </c>
      <c r="W192" s="0" t="n">
        <v>1</v>
      </c>
      <c r="X192" s="0" t="str">
        <f aca="false">"31811011851097"</f>
        <v>31811011851097</v>
      </c>
      <c r="Y192" s="0" t="s">
        <v>39</v>
      </c>
      <c r="Z192" s="0" t="s">
        <v>42</v>
      </c>
      <c r="AA192" s="0" t="s">
        <v>43</v>
      </c>
      <c r="AE192" s="1" t="s">
        <v>52</v>
      </c>
      <c r="AF192" s="1" t="s">
        <v>433</v>
      </c>
    </row>
    <row r="193" customFormat="false" ht="12.8" hidden="false" customHeight="false" outlineLevel="0" collapsed="false">
      <c r="A193" s="0" t="n">
        <v>290327</v>
      </c>
      <c r="B193" s="0" t="n">
        <v>317127</v>
      </c>
      <c r="C193" s="0" t="n">
        <v>354759</v>
      </c>
      <c r="D193" s="0" t="s">
        <v>35</v>
      </c>
      <c r="E193" s="0" t="s">
        <v>35</v>
      </c>
      <c r="F193" s="0" t="s">
        <v>36</v>
      </c>
      <c r="G193" s="0" t="s">
        <v>37</v>
      </c>
      <c r="H193" s="0" t="s">
        <v>602</v>
      </c>
      <c r="J193" s="0" t="s">
        <v>603</v>
      </c>
      <c r="M193" s="0" t="s">
        <v>604</v>
      </c>
      <c r="N193" s="0" t="s">
        <v>605</v>
      </c>
      <c r="O193" s="0" t="s">
        <v>606</v>
      </c>
      <c r="P193" s="0" t="n">
        <v>1926</v>
      </c>
      <c r="Q193" s="0" t="s">
        <v>39</v>
      </c>
      <c r="R193" s="0" t="s">
        <v>607</v>
      </c>
      <c r="S193" s="0" t="s">
        <v>608</v>
      </c>
      <c r="T193" s="0" t="s">
        <v>243</v>
      </c>
      <c r="V193" s="0" t="n">
        <v>1</v>
      </c>
      <c r="W193" s="0" t="n">
        <v>1</v>
      </c>
      <c r="X193" s="0" t="str">
        <f aca="false">"31811011851105"</f>
        <v>31811011851105</v>
      </c>
      <c r="Y193" s="0" t="s">
        <v>39</v>
      </c>
      <c r="Z193" s="0" t="s">
        <v>42</v>
      </c>
      <c r="AA193" s="0" t="s">
        <v>43</v>
      </c>
      <c r="AE193" s="1" t="s">
        <v>52</v>
      </c>
      <c r="AF193" s="1" t="s">
        <v>433</v>
      </c>
    </row>
    <row r="194" customFormat="false" ht="12.8" hidden="false" customHeight="false" outlineLevel="0" collapsed="false">
      <c r="A194" s="0" t="n">
        <v>517245</v>
      </c>
      <c r="B194" s="0" t="n">
        <v>554572</v>
      </c>
      <c r="C194" s="0" t="n">
        <v>625881</v>
      </c>
      <c r="D194" s="0" t="s">
        <v>35</v>
      </c>
      <c r="E194" s="0" t="s">
        <v>35</v>
      </c>
      <c r="F194" s="0" t="s">
        <v>36</v>
      </c>
      <c r="G194" s="0" t="s">
        <v>37</v>
      </c>
      <c r="H194" s="0" t="s">
        <v>609</v>
      </c>
      <c r="J194" s="0" t="s">
        <v>609</v>
      </c>
      <c r="K194" s="0" t="s">
        <v>610</v>
      </c>
      <c r="L194" s="0" t="n">
        <v>852296630</v>
      </c>
      <c r="M194" s="0" t="s">
        <v>611</v>
      </c>
      <c r="N194" s="0" t="s">
        <v>612</v>
      </c>
      <c r="O194" s="0" t="s">
        <v>613</v>
      </c>
      <c r="P194" s="0" t="n">
        <v>1998</v>
      </c>
      <c r="Q194" s="0" t="s">
        <v>39</v>
      </c>
      <c r="R194" s="0" t="s">
        <v>614</v>
      </c>
      <c r="S194" s="0" t="s">
        <v>615</v>
      </c>
      <c r="T194" s="0" t="s">
        <v>56</v>
      </c>
      <c r="V194" s="0" t="n">
        <v>1</v>
      </c>
      <c r="W194" s="0" t="n">
        <v>1</v>
      </c>
      <c r="X194" s="0" t="str">
        <f aca="false">"31811010979154"</f>
        <v>31811010979154</v>
      </c>
      <c r="Y194" s="0" t="s">
        <v>39</v>
      </c>
      <c r="Z194" s="0" t="s">
        <v>42</v>
      </c>
      <c r="AA194" s="0" t="s">
        <v>43</v>
      </c>
      <c r="AE194" s="1" t="s">
        <v>52</v>
      </c>
    </row>
    <row r="195" customFormat="false" ht="12.8" hidden="false" customHeight="false" outlineLevel="0" collapsed="false">
      <c r="A195" s="0" t="n">
        <v>517245</v>
      </c>
      <c r="B195" s="0" t="n">
        <v>554572</v>
      </c>
      <c r="C195" s="0" t="n">
        <v>625882</v>
      </c>
      <c r="D195" s="0" t="s">
        <v>35</v>
      </c>
      <c r="E195" s="0" t="s">
        <v>35</v>
      </c>
      <c r="F195" s="0" t="s">
        <v>36</v>
      </c>
      <c r="G195" s="0" t="s">
        <v>37</v>
      </c>
      <c r="H195" s="0" t="s">
        <v>609</v>
      </c>
      <c r="J195" s="0" t="s">
        <v>609</v>
      </c>
      <c r="K195" s="0" t="s">
        <v>610</v>
      </c>
      <c r="L195" s="0" t="n">
        <v>852296630</v>
      </c>
      <c r="M195" s="0" t="s">
        <v>611</v>
      </c>
      <c r="N195" s="0" t="s">
        <v>612</v>
      </c>
      <c r="O195" s="0" t="s">
        <v>613</v>
      </c>
      <c r="P195" s="0" t="n">
        <v>1998</v>
      </c>
      <c r="Q195" s="0" t="s">
        <v>39</v>
      </c>
      <c r="R195" s="0" t="s">
        <v>614</v>
      </c>
      <c r="S195" s="0" t="s">
        <v>615</v>
      </c>
      <c r="T195" s="0" t="s">
        <v>57</v>
      </c>
      <c r="V195" s="0" t="n">
        <v>1</v>
      </c>
      <c r="W195" s="0" t="n">
        <v>1</v>
      </c>
      <c r="X195" s="0" t="str">
        <f aca="false">"31811010979113"</f>
        <v>31811010979113</v>
      </c>
      <c r="Y195" s="0" t="s">
        <v>39</v>
      </c>
      <c r="Z195" s="0" t="s">
        <v>42</v>
      </c>
      <c r="AA195" s="0" t="s">
        <v>43</v>
      </c>
      <c r="AE195" s="1" t="s">
        <v>52</v>
      </c>
    </row>
    <row r="196" customFormat="false" ht="12.8" hidden="false" customHeight="false" outlineLevel="0" collapsed="false">
      <c r="A196" s="0" t="n">
        <v>517245</v>
      </c>
      <c r="B196" s="0" t="n">
        <v>554572</v>
      </c>
      <c r="C196" s="0" t="n">
        <v>625883</v>
      </c>
      <c r="D196" s="0" t="s">
        <v>35</v>
      </c>
      <c r="E196" s="0" t="s">
        <v>35</v>
      </c>
      <c r="F196" s="0" t="s">
        <v>36</v>
      </c>
      <c r="G196" s="0" t="s">
        <v>37</v>
      </c>
      <c r="H196" s="0" t="s">
        <v>609</v>
      </c>
      <c r="J196" s="0" t="s">
        <v>609</v>
      </c>
      <c r="K196" s="0" t="s">
        <v>610</v>
      </c>
      <c r="L196" s="0" t="n">
        <v>852296630</v>
      </c>
      <c r="M196" s="0" t="s">
        <v>611</v>
      </c>
      <c r="N196" s="0" t="s">
        <v>612</v>
      </c>
      <c r="O196" s="0" t="s">
        <v>613</v>
      </c>
      <c r="P196" s="0" t="n">
        <v>1998</v>
      </c>
      <c r="Q196" s="0" t="s">
        <v>39</v>
      </c>
      <c r="R196" s="0" t="s">
        <v>614</v>
      </c>
      <c r="S196" s="0" t="s">
        <v>615</v>
      </c>
      <c r="T196" s="0" t="s">
        <v>58</v>
      </c>
      <c r="V196" s="0" t="n">
        <v>1</v>
      </c>
      <c r="W196" s="0" t="n">
        <v>1</v>
      </c>
      <c r="X196" s="0" t="str">
        <f aca="false">"31811010979071"</f>
        <v>31811010979071</v>
      </c>
      <c r="Y196" s="0" t="s">
        <v>39</v>
      </c>
      <c r="Z196" s="0" t="s">
        <v>42</v>
      </c>
      <c r="AA196" s="0" t="s">
        <v>43</v>
      </c>
      <c r="AE196" s="1" t="s">
        <v>52</v>
      </c>
    </row>
    <row r="197" customFormat="false" ht="12.8" hidden="false" customHeight="false" outlineLevel="0" collapsed="false">
      <c r="A197" s="0" t="n">
        <v>517245</v>
      </c>
      <c r="B197" s="0" t="n">
        <v>554572</v>
      </c>
      <c r="C197" s="0" t="n">
        <v>625884</v>
      </c>
      <c r="D197" s="0" t="s">
        <v>35</v>
      </c>
      <c r="E197" s="0" t="s">
        <v>35</v>
      </c>
      <c r="F197" s="0" t="s">
        <v>36</v>
      </c>
      <c r="G197" s="0" t="s">
        <v>37</v>
      </c>
      <c r="H197" s="0" t="s">
        <v>609</v>
      </c>
      <c r="J197" s="0" t="s">
        <v>609</v>
      </c>
      <c r="K197" s="0" t="s">
        <v>610</v>
      </c>
      <c r="L197" s="0" t="n">
        <v>852296630</v>
      </c>
      <c r="M197" s="0" t="s">
        <v>611</v>
      </c>
      <c r="N197" s="0" t="s">
        <v>612</v>
      </c>
      <c r="O197" s="0" t="s">
        <v>613</v>
      </c>
      <c r="P197" s="0" t="n">
        <v>1998</v>
      </c>
      <c r="Q197" s="0" t="s">
        <v>39</v>
      </c>
      <c r="R197" s="0" t="s">
        <v>614</v>
      </c>
      <c r="S197" s="0" t="s">
        <v>615</v>
      </c>
      <c r="T197" s="0" t="s">
        <v>60</v>
      </c>
      <c r="V197" s="0" t="n">
        <v>1</v>
      </c>
      <c r="W197" s="0" t="n">
        <v>1</v>
      </c>
      <c r="X197" s="0" t="str">
        <f aca="false">"31811010979030"</f>
        <v>31811010979030</v>
      </c>
      <c r="Y197" s="0" t="s">
        <v>39</v>
      </c>
      <c r="Z197" s="0" t="s">
        <v>42</v>
      </c>
      <c r="AA197" s="0" t="s">
        <v>43</v>
      </c>
      <c r="AE197" s="1" t="s">
        <v>52</v>
      </c>
    </row>
    <row r="198" customFormat="false" ht="12.8" hidden="false" customHeight="false" outlineLevel="0" collapsed="false">
      <c r="A198" s="0" t="n">
        <v>517245</v>
      </c>
      <c r="B198" s="0" t="n">
        <v>554572</v>
      </c>
      <c r="C198" s="0" t="n">
        <v>625885</v>
      </c>
      <c r="D198" s="0" t="s">
        <v>35</v>
      </c>
      <c r="E198" s="0" t="s">
        <v>35</v>
      </c>
      <c r="F198" s="0" t="s">
        <v>36</v>
      </c>
      <c r="G198" s="0" t="s">
        <v>37</v>
      </c>
      <c r="H198" s="0" t="s">
        <v>609</v>
      </c>
      <c r="J198" s="0" t="s">
        <v>609</v>
      </c>
      <c r="K198" s="0" t="s">
        <v>610</v>
      </c>
      <c r="L198" s="0" t="n">
        <v>852296630</v>
      </c>
      <c r="M198" s="0" t="s">
        <v>611</v>
      </c>
      <c r="N198" s="0" t="s">
        <v>612</v>
      </c>
      <c r="O198" s="0" t="s">
        <v>613</v>
      </c>
      <c r="P198" s="0" t="n">
        <v>1998</v>
      </c>
      <c r="Q198" s="0" t="s">
        <v>39</v>
      </c>
      <c r="R198" s="0" t="s">
        <v>614</v>
      </c>
      <c r="S198" s="0" t="s">
        <v>615</v>
      </c>
      <c r="T198" s="0" t="s">
        <v>61</v>
      </c>
      <c r="V198" s="0" t="n">
        <v>1</v>
      </c>
      <c r="W198" s="0" t="n">
        <v>1</v>
      </c>
      <c r="X198" s="0" t="str">
        <f aca="false">"31811010979329"</f>
        <v>31811010979329</v>
      </c>
      <c r="Y198" s="0" t="s">
        <v>39</v>
      </c>
      <c r="Z198" s="0" t="s">
        <v>42</v>
      </c>
      <c r="AA198" s="0" t="s">
        <v>43</v>
      </c>
      <c r="AE198" s="1" t="s">
        <v>52</v>
      </c>
    </row>
    <row r="199" customFormat="false" ht="12.8" hidden="false" customHeight="false" outlineLevel="0" collapsed="false">
      <c r="A199" s="0" t="n">
        <v>517245</v>
      </c>
      <c r="B199" s="0" t="n">
        <v>554572</v>
      </c>
      <c r="C199" s="0" t="n">
        <v>625886</v>
      </c>
      <c r="D199" s="0" t="s">
        <v>35</v>
      </c>
      <c r="E199" s="0" t="s">
        <v>35</v>
      </c>
      <c r="F199" s="0" t="s">
        <v>36</v>
      </c>
      <c r="G199" s="0" t="s">
        <v>37</v>
      </c>
      <c r="H199" s="0" t="s">
        <v>609</v>
      </c>
      <c r="J199" s="0" t="s">
        <v>609</v>
      </c>
      <c r="K199" s="0" t="s">
        <v>610</v>
      </c>
      <c r="L199" s="0" t="n">
        <v>852296630</v>
      </c>
      <c r="M199" s="0" t="s">
        <v>611</v>
      </c>
      <c r="N199" s="0" t="s">
        <v>612</v>
      </c>
      <c r="O199" s="0" t="s">
        <v>613</v>
      </c>
      <c r="P199" s="0" t="n">
        <v>1998</v>
      </c>
      <c r="Q199" s="0" t="s">
        <v>39</v>
      </c>
      <c r="R199" s="0" t="s">
        <v>614</v>
      </c>
      <c r="S199" s="0" t="s">
        <v>615</v>
      </c>
      <c r="T199" s="0" t="s">
        <v>62</v>
      </c>
      <c r="V199" s="0" t="n">
        <v>1</v>
      </c>
      <c r="W199" s="0" t="n">
        <v>1</v>
      </c>
      <c r="X199" s="0" t="str">
        <f aca="false">"31811010979287"</f>
        <v>31811010979287</v>
      </c>
      <c r="Y199" s="0" t="s">
        <v>39</v>
      </c>
      <c r="Z199" s="0" t="s">
        <v>42</v>
      </c>
      <c r="AA199" s="0" t="s">
        <v>43</v>
      </c>
      <c r="AE199" s="1" t="s">
        <v>52</v>
      </c>
    </row>
    <row r="200" customFormat="false" ht="12.8" hidden="false" customHeight="false" outlineLevel="0" collapsed="false">
      <c r="A200" s="0" t="n">
        <v>517245</v>
      </c>
      <c r="B200" s="0" t="n">
        <v>554572</v>
      </c>
      <c r="C200" s="0" t="n">
        <v>625887</v>
      </c>
      <c r="D200" s="0" t="s">
        <v>35</v>
      </c>
      <c r="E200" s="0" t="s">
        <v>35</v>
      </c>
      <c r="F200" s="0" t="s">
        <v>36</v>
      </c>
      <c r="G200" s="0" t="s">
        <v>37</v>
      </c>
      <c r="H200" s="0" t="s">
        <v>609</v>
      </c>
      <c r="J200" s="0" t="s">
        <v>609</v>
      </c>
      <c r="K200" s="0" t="s">
        <v>610</v>
      </c>
      <c r="L200" s="0" t="n">
        <v>852296630</v>
      </c>
      <c r="M200" s="0" t="s">
        <v>611</v>
      </c>
      <c r="N200" s="0" t="s">
        <v>612</v>
      </c>
      <c r="O200" s="0" t="s">
        <v>613</v>
      </c>
      <c r="P200" s="0" t="n">
        <v>1998</v>
      </c>
      <c r="Q200" s="0" t="s">
        <v>39</v>
      </c>
      <c r="R200" s="0" t="s">
        <v>614</v>
      </c>
      <c r="S200" s="0" t="s">
        <v>615</v>
      </c>
      <c r="T200" s="0" t="s">
        <v>539</v>
      </c>
      <c r="V200" s="0" t="n">
        <v>1</v>
      </c>
      <c r="W200" s="0" t="n">
        <v>1</v>
      </c>
      <c r="X200" s="0" t="str">
        <f aca="false">"31811010979246"</f>
        <v>31811010979246</v>
      </c>
      <c r="Y200" s="0" t="s">
        <v>39</v>
      </c>
      <c r="Z200" s="0" t="s">
        <v>42</v>
      </c>
      <c r="AA200" s="0" t="s">
        <v>43</v>
      </c>
      <c r="AE200" s="1" t="s">
        <v>52</v>
      </c>
    </row>
    <row r="201" customFormat="false" ht="12.8" hidden="false" customHeight="false" outlineLevel="0" collapsed="false">
      <c r="A201" s="0" t="n">
        <v>517245</v>
      </c>
      <c r="B201" s="0" t="n">
        <v>554572</v>
      </c>
      <c r="C201" s="0" t="n">
        <v>625888</v>
      </c>
      <c r="D201" s="0" t="s">
        <v>35</v>
      </c>
      <c r="E201" s="0" t="s">
        <v>35</v>
      </c>
      <c r="F201" s="0" t="s">
        <v>36</v>
      </c>
      <c r="G201" s="0" t="s">
        <v>37</v>
      </c>
      <c r="H201" s="0" t="s">
        <v>609</v>
      </c>
      <c r="J201" s="0" t="s">
        <v>609</v>
      </c>
      <c r="K201" s="0" t="s">
        <v>610</v>
      </c>
      <c r="L201" s="0" t="n">
        <v>852296630</v>
      </c>
      <c r="M201" s="0" t="s">
        <v>611</v>
      </c>
      <c r="N201" s="0" t="s">
        <v>612</v>
      </c>
      <c r="O201" s="0" t="s">
        <v>613</v>
      </c>
      <c r="P201" s="0" t="n">
        <v>1998</v>
      </c>
      <c r="Q201" s="0" t="s">
        <v>39</v>
      </c>
      <c r="R201" s="0" t="s">
        <v>614</v>
      </c>
      <c r="S201" s="0" t="s">
        <v>615</v>
      </c>
      <c r="T201" s="0" t="s">
        <v>63</v>
      </c>
      <c r="V201" s="0" t="n">
        <v>1</v>
      </c>
      <c r="W201" s="0" t="n">
        <v>1</v>
      </c>
      <c r="X201" s="0" t="str">
        <f aca="false">"31811010979204"</f>
        <v>31811010979204</v>
      </c>
      <c r="Y201" s="0" t="s">
        <v>39</v>
      </c>
      <c r="Z201" s="0" t="s">
        <v>42</v>
      </c>
      <c r="AA201" s="0" t="s">
        <v>43</v>
      </c>
      <c r="AE201" s="1" t="s">
        <v>52</v>
      </c>
    </row>
    <row r="202" customFormat="false" ht="12.8" hidden="false" customHeight="false" outlineLevel="0" collapsed="false">
      <c r="A202" s="0" t="n">
        <v>517245</v>
      </c>
      <c r="B202" s="0" t="n">
        <v>554572</v>
      </c>
      <c r="C202" s="0" t="n">
        <v>625889</v>
      </c>
      <c r="D202" s="0" t="s">
        <v>35</v>
      </c>
      <c r="E202" s="0" t="s">
        <v>35</v>
      </c>
      <c r="F202" s="0" t="s">
        <v>36</v>
      </c>
      <c r="G202" s="0" t="s">
        <v>37</v>
      </c>
      <c r="H202" s="0" t="s">
        <v>609</v>
      </c>
      <c r="J202" s="0" t="s">
        <v>609</v>
      </c>
      <c r="K202" s="0" t="s">
        <v>610</v>
      </c>
      <c r="L202" s="0" t="n">
        <v>852296630</v>
      </c>
      <c r="M202" s="0" t="s">
        <v>611</v>
      </c>
      <c r="N202" s="0" t="s">
        <v>612</v>
      </c>
      <c r="O202" s="0" t="s">
        <v>613</v>
      </c>
      <c r="P202" s="0" t="n">
        <v>1998</v>
      </c>
      <c r="Q202" s="0" t="s">
        <v>39</v>
      </c>
      <c r="R202" s="0" t="s">
        <v>614</v>
      </c>
      <c r="S202" s="0" t="s">
        <v>615</v>
      </c>
      <c r="T202" s="0" t="s">
        <v>64</v>
      </c>
      <c r="V202" s="0" t="n">
        <v>1</v>
      </c>
      <c r="W202" s="0" t="n">
        <v>1</v>
      </c>
      <c r="X202" s="0" t="str">
        <f aca="false">"31811010979162"</f>
        <v>31811010979162</v>
      </c>
      <c r="Y202" s="0" t="s">
        <v>39</v>
      </c>
      <c r="Z202" s="0" t="s">
        <v>42</v>
      </c>
      <c r="AA202" s="0" t="s">
        <v>43</v>
      </c>
      <c r="AE202" s="1" t="s">
        <v>52</v>
      </c>
    </row>
    <row r="203" customFormat="false" ht="12.8" hidden="false" customHeight="false" outlineLevel="0" collapsed="false">
      <c r="A203" s="0" t="n">
        <v>517245</v>
      </c>
      <c r="B203" s="0" t="n">
        <v>554572</v>
      </c>
      <c r="C203" s="0" t="n">
        <v>625890</v>
      </c>
      <c r="D203" s="0" t="s">
        <v>35</v>
      </c>
      <c r="E203" s="0" t="s">
        <v>35</v>
      </c>
      <c r="F203" s="0" t="s">
        <v>36</v>
      </c>
      <c r="G203" s="0" t="s">
        <v>37</v>
      </c>
      <c r="H203" s="0" t="s">
        <v>609</v>
      </c>
      <c r="J203" s="0" t="s">
        <v>609</v>
      </c>
      <c r="K203" s="0" t="s">
        <v>610</v>
      </c>
      <c r="L203" s="0" t="n">
        <v>852296630</v>
      </c>
      <c r="M203" s="0" t="s">
        <v>611</v>
      </c>
      <c r="N203" s="0" t="s">
        <v>612</v>
      </c>
      <c r="O203" s="0" t="s">
        <v>613</v>
      </c>
      <c r="P203" s="0" t="n">
        <v>1998</v>
      </c>
      <c r="Q203" s="0" t="s">
        <v>39</v>
      </c>
      <c r="R203" s="0" t="s">
        <v>614</v>
      </c>
      <c r="S203" s="0" t="s">
        <v>615</v>
      </c>
      <c r="T203" s="0" t="s">
        <v>65</v>
      </c>
      <c r="V203" s="0" t="n">
        <v>1</v>
      </c>
      <c r="W203" s="0" t="n">
        <v>1</v>
      </c>
      <c r="X203" s="0" t="str">
        <f aca="false">"31811010979121"</f>
        <v>31811010979121</v>
      </c>
      <c r="Y203" s="0" t="s">
        <v>39</v>
      </c>
      <c r="Z203" s="0" t="s">
        <v>42</v>
      </c>
      <c r="AA203" s="0" t="s">
        <v>43</v>
      </c>
      <c r="AE203" s="1" t="s">
        <v>52</v>
      </c>
    </row>
    <row r="204" customFormat="false" ht="12.8" hidden="false" customHeight="false" outlineLevel="0" collapsed="false">
      <c r="A204" s="0" t="n">
        <v>517245</v>
      </c>
      <c r="B204" s="0" t="n">
        <v>554572</v>
      </c>
      <c r="C204" s="0" t="n">
        <v>625891</v>
      </c>
      <c r="D204" s="0" t="s">
        <v>35</v>
      </c>
      <c r="E204" s="0" t="s">
        <v>35</v>
      </c>
      <c r="F204" s="0" t="s">
        <v>36</v>
      </c>
      <c r="G204" s="0" t="s">
        <v>37</v>
      </c>
      <c r="H204" s="0" t="s">
        <v>609</v>
      </c>
      <c r="J204" s="0" t="s">
        <v>609</v>
      </c>
      <c r="K204" s="0" t="s">
        <v>610</v>
      </c>
      <c r="L204" s="0" t="n">
        <v>852296630</v>
      </c>
      <c r="M204" s="0" t="s">
        <v>611</v>
      </c>
      <c r="N204" s="0" t="s">
        <v>612</v>
      </c>
      <c r="O204" s="0" t="s">
        <v>613</v>
      </c>
      <c r="P204" s="0" t="n">
        <v>1998</v>
      </c>
      <c r="Q204" s="0" t="s">
        <v>39</v>
      </c>
      <c r="R204" s="0" t="s">
        <v>614</v>
      </c>
      <c r="S204" s="0" t="s">
        <v>615</v>
      </c>
      <c r="T204" s="0" t="s">
        <v>66</v>
      </c>
      <c r="V204" s="0" t="n">
        <v>1</v>
      </c>
      <c r="W204" s="0" t="n">
        <v>1</v>
      </c>
      <c r="X204" s="0" t="str">
        <f aca="false">"31811010979089"</f>
        <v>31811010979089</v>
      </c>
      <c r="Y204" s="0" t="s">
        <v>39</v>
      </c>
      <c r="Z204" s="0" t="s">
        <v>42</v>
      </c>
      <c r="AA204" s="0" t="s">
        <v>43</v>
      </c>
      <c r="AE204" s="1" t="s">
        <v>52</v>
      </c>
    </row>
    <row r="205" customFormat="false" ht="12.8" hidden="false" customHeight="false" outlineLevel="0" collapsed="false">
      <c r="A205" s="0" t="n">
        <v>517245</v>
      </c>
      <c r="B205" s="0" t="n">
        <v>554572</v>
      </c>
      <c r="C205" s="0" t="n">
        <v>625892</v>
      </c>
      <c r="D205" s="0" t="s">
        <v>35</v>
      </c>
      <c r="E205" s="0" t="s">
        <v>35</v>
      </c>
      <c r="F205" s="0" t="s">
        <v>36</v>
      </c>
      <c r="G205" s="0" t="s">
        <v>37</v>
      </c>
      <c r="H205" s="0" t="s">
        <v>609</v>
      </c>
      <c r="J205" s="0" t="s">
        <v>609</v>
      </c>
      <c r="K205" s="0" t="s">
        <v>610</v>
      </c>
      <c r="L205" s="0" t="n">
        <v>852296630</v>
      </c>
      <c r="M205" s="0" t="s">
        <v>611</v>
      </c>
      <c r="N205" s="0" t="s">
        <v>612</v>
      </c>
      <c r="O205" s="0" t="s">
        <v>613</v>
      </c>
      <c r="P205" s="0" t="n">
        <v>1998</v>
      </c>
      <c r="Q205" s="0" t="s">
        <v>39</v>
      </c>
      <c r="R205" s="0" t="s">
        <v>614</v>
      </c>
      <c r="S205" s="0" t="s">
        <v>615</v>
      </c>
      <c r="T205" s="0" t="s">
        <v>67</v>
      </c>
      <c r="V205" s="0" t="n">
        <v>1</v>
      </c>
      <c r="W205" s="0" t="n">
        <v>1</v>
      </c>
      <c r="X205" s="0" t="str">
        <f aca="false">"31811010979048"</f>
        <v>31811010979048</v>
      </c>
      <c r="Y205" s="0" t="s">
        <v>39</v>
      </c>
      <c r="Z205" s="0" t="s">
        <v>42</v>
      </c>
      <c r="AA205" s="0" t="s">
        <v>43</v>
      </c>
      <c r="AE205" s="1" t="s">
        <v>52</v>
      </c>
    </row>
    <row r="206" customFormat="false" ht="12.8" hidden="false" customHeight="false" outlineLevel="0" collapsed="false">
      <c r="A206" s="0" t="n">
        <v>517245</v>
      </c>
      <c r="B206" s="0" t="n">
        <v>554572</v>
      </c>
      <c r="C206" s="0" t="n">
        <v>625893</v>
      </c>
      <c r="D206" s="0" t="s">
        <v>35</v>
      </c>
      <c r="E206" s="0" t="s">
        <v>35</v>
      </c>
      <c r="F206" s="0" t="s">
        <v>36</v>
      </c>
      <c r="G206" s="0" t="s">
        <v>37</v>
      </c>
      <c r="H206" s="0" t="s">
        <v>609</v>
      </c>
      <c r="J206" s="0" t="s">
        <v>609</v>
      </c>
      <c r="K206" s="0" t="s">
        <v>610</v>
      </c>
      <c r="L206" s="0" t="n">
        <v>852296630</v>
      </c>
      <c r="M206" s="0" t="s">
        <v>611</v>
      </c>
      <c r="N206" s="0" t="s">
        <v>612</v>
      </c>
      <c r="O206" s="0" t="s">
        <v>613</v>
      </c>
      <c r="P206" s="0" t="n">
        <v>1998</v>
      </c>
      <c r="Q206" s="0" t="s">
        <v>39</v>
      </c>
      <c r="R206" s="0" t="s">
        <v>614</v>
      </c>
      <c r="S206" s="0" t="s">
        <v>615</v>
      </c>
      <c r="T206" s="0" t="s">
        <v>68</v>
      </c>
      <c r="V206" s="0" t="n">
        <v>1</v>
      </c>
      <c r="W206" s="0" t="n">
        <v>1</v>
      </c>
      <c r="X206" s="0" t="str">
        <f aca="false">"31811010980897"</f>
        <v>31811010980897</v>
      </c>
      <c r="Y206" s="0" t="s">
        <v>39</v>
      </c>
      <c r="Z206" s="0" t="s">
        <v>42</v>
      </c>
      <c r="AA206" s="0" t="s">
        <v>43</v>
      </c>
      <c r="AE206" s="1" t="s">
        <v>52</v>
      </c>
    </row>
    <row r="207" customFormat="false" ht="12.8" hidden="false" customHeight="false" outlineLevel="0" collapsed="false">
      <c r="A207" s="0" t="n">
        <v>517245</v>
      </c>
      <c r="B207" s="0" t="n">
        <v>554572</v>
      </c>
      <c r="C207" s="0" t="n">
        <v>625894</v>
      </c>
      <c r="D207" s="0" t="s">
        <v>35</v>
      </c>
      <c r="E207" s="0" t="s">
        <v>35</v>
      </c>
      <c r="F207" s="0" t="s">
        <v>36</v>
      </c>
      <c r="G207" s="0" t="s">
        <v>37</v>
      </c>
      <c r="H207" s="0" t="s">
        <v>609</v>
      </c>
      <c r="J207" s="0" t="s">
        <v>609</v>
      </c>
      <c r="K207" s="0" t="s">
        <v>610</v>
      </c>
      <c r="L207" s="0" t="n">
        <v>852296630</v>
      </c>
      <c r="M207" s="0" t="s">
        <v>611</v>
      </c>
      <c r="N207" s="0" t="s">
        <v>612</v>
      </c>
      <c r="O207" s="0" t="s">
        <v>613</v>
      </c>
      <c r="P207" s="0" t="n">
        <v>1998</v>
      </c>
      <c r="Q207" s="0" t="s">
        <v>39</v>
      </c>
      <c r="R207" s="0" t="s">
        <v>614</v>
      </c>
      <c r="S207" s="0" t="s">
        <v>615</v>
      </c>
      <c r="T207" s="0" t="s">
        <v>69</v>
      </c>
      <c r="V207" s="0" t="n">
        <v>1</v>
      </c>
      <c r="W207" s="0" t="n">
        <v>1</v>
      </c>
      <c r="X207" s="0" t="str">
        <f aca="false">"31811010980855"</f>
        <v>31811010980855</v>
      </c>
      <c r="Y207" s="0" t="s">
        <v>39</v>
      </c>
      <c r="Z207" s="0" t="s">
        <v>42</v>
      </c>
      <c r="AA207" s="0" t="s">
        <v>43</v>
      </c>
      <c r="AE207" s="1" t="s">
        <v>52</v>
      </c>
    </row>
    <row r="208" customFormat="false" ht="12.8" hidden="false" customHeight="false" outlineLevel="0" collapsed="false">
      <c r="A208" s="0" t="n">
        <v>517245</v>
      </c>
      <c r="B208" s="0" t="n">
        <v>554572</v>
      </c>
      <c r="C208" s="0" t="n">
        <v>625895</v>
      </c>
      <c r="D208" s="0" t="s">
        <v>35</v>
      </c>
      <c r="E208" s="0" t="s">
        <v>35</v>
      </c>
      <c r="F208" s="0" t="s">
        <v>36</v>
      </c>
      <c r="G208" s="0" t="s">
        <v>37</v>
      </c>
      <c r="H208" s="0" t="s">
        <v>609</v>
      </c>
      <c r="J208" s="0" t="s">
        <v>609</v>
      </c>
      <c r="K208" s="0" t="s">
        <v>610</v>
      </c>
      <c r="L208" s="0" t="n">
        <v>852296630</v>
      </c>
      <c r="M208" s="0" t="s">
        <v>611</v>
      </c>
      <c r="N208" s="0" t="s">
        <v>612</v>
      </c>
      <c r="O208" s="0" t="s">
        <v>613</v>
      </c>
      <c r="P208" s="0" t="n">
        <v>1998</v>
      </c>
      <c r="Q208" s="0" t="s">
        <v>39</v>
      </c>
      <c r="R208" s="0" t="s">
        <v>614</v>
      </c>
      <c r="S208" s="0" t="s">
        <v>615</v>
      </c>
      <c r="T208" s="0" t="s">
        <v>616</v>
      </c>
      <c r="V208" s="0" t="n">
        <v>1</v>
      </c>
      <c r="W208" s="0" t="n">
        <v>1</v>
      </c>
      <c r="X208" s="0" t="str">
        <f aca="false">"31811010980814"</f>
        <v>31811010980814</v>
      </c>
      <c r="Y208" s="0" t="s">
        <v>39</v>
      </c>
      <c r="Z208" s="0" t="s">
        <v>42</v>
      </c>
      <c r="AA208" s="0" t="s">
        <v>43</v>
      </c>
      <c r="AE208" s="1" t="s">
        <v>52</v>
      </c>
    </row>
    <row r="209" customFormat="false" ht="12.8" hidden="false" customHeight="false" outlineLevel="0" collapsed="false">
      <c r="A209" s="0" t="n">
        <v>517245</v>
      </c>
      <c r="B209" s="0" t="n">
        <v>554572</v>
      </c>
      <c r="C209" s="0" t="n">
        <v>625896</v>
      </c>
      <c r="D209" s="0" t="s">
        <v>35</v>
      </c>
      <c r="E209" s="0" t="s">
        <v>35</v>
      </c>
      <c r="F209" s="0" t="s">
        <v>36</v>
      </c>
      <c r="G209" s="0" t="s">
        <v>37</v>
      </c>
      <c r="H209" s="0" t="s">
        <v>609</v>
      </c>
      <c r="J209" s="0" t="s">
        <v>609</v>
      </c>
      <c r="K209" s="0" t="s">
        <v>610</v>
      </c>
      <c r="L209" s="0" t="n">
        <v>852296630</v>
      </c>
      <c r="M209" s="0" t="s">
        <v>611</v>
      </c>
      <c r="N209" s="0" t="s">
        <v>612</v>
      </c>
      <c r="O209" s="0" t="s">
        <v>613</v>
      </c>
      <c r="P209" s="0" t="n">
        <v>1998</v>
      </c>
      <c r="Q209" s="0" t="s">
        <v>39</v>
      </c>
      <c r="R209" s="0" t="s">
        <v>614</v>
      </c>
      <c r="S209" s="0" t="s">
        <v>615</v>
      </c>
      <c r="T209" s="0" t="s">
        <v>70</v>
      </c>
      <c r="V209" s="0" t="n">
        <v>1</v>
      </c>
      <c r="W209" s="0" t="n">
        <v>1</v>
      </c>
      <c r="X209" s="0" t="str">
        <f aca="false">"31811010980772"</f>
        <v>31811010980772</v>
      </c>
      <c r="Y209" s="0" t="s">
        <v>39</v>
      </c>
      <c r="Z209" s="0" t="s">
        <v>42</v>
      </c>
      <c r="AA209" s="0" t="s">
        <v>43</v>
      </c>
      <c r="AE209" s="1" t="s">
        <v>52</v>
      </c>
    </row>
    <row r="210" customFormat="false" ht="12.8" hidden="false" customHeight="false" outlineLevel="0" collapsed="false">
      <c r="A210" s="0" t="n">
        <v>517245</v>
      </c>
      <c r="B210" s="0" t="n">
        <v>554572</v>
      </c>
      <c r="C210" s="0" t="n">
        <v>625897</v>
      </c>
      <c r="D210" s="0" t="s">
        <v>35</v>
      </c>
      <c r="E210" s="0" t="s">
        <v>35</v>
      </c>
      <c r="F210" s="0" t="s">
        <v>36</v>
      </c>
      <c r="G210" s="0" t="s">
        <v>37</v>
      </c>
      <c r="H210" s="0" t="s">
        <v>609</v>
      </c>
      <c r="J210" s="0" t="s">
        <v>609</v>
      </c>
      <c r="K210" s="0" t="s">
        <v>610</v>
      </c>
      <c r="L210" s="0" t="n">
        <v>852296630</v>
      </c>
      <c r="M210" s="0" t="s">
        <v>611</v>
      </c>
      <c r="N210" s="0" t="s">
        <v>612</v>
      </c>
      <c r="O210" s="0" t="s">
        <v>613</v>
      </c>
      <c r="P210" s="0" t="n">
        <v>1998</v>
      </c>
      <c r="Q210" s="0" t="s">
        <v>39</v>
      </c>
      <c r="R210" s="0" t="s">
        <v>614</v>
      </c>
      <c r="S210" s="0" t="s">
        <v>615</v>
      </c>
      <c r="T210" s="0" t="s">
        <v>71</v>
      </c>
      <c r="V210" s="0" t="n">
        <v>1</v>
      </c>
      <c r="W210" s="0" t="n">
        <v>1</v>
      </c>
      <c r="X210" s="0" t="str">
        <f aca="false">"31811010980731"</f>
        <v>31811010980731</v>
      </c>
      <c r="Y210" s="0" t="s">
        <v>39</v>
      </c>
      <c r="Z210" s="0" t="s">
        <v>42</v>
      </c>
      <c r="AA210" s="0" t="s">
        <v>43</v>
      </c>
      <c r="AE210" s="1" t="s">
        <v>52</v>
      </c>
    </row>
    <row r="211" customFormat="false" ht="12.8" hidden="false" customHeight="false" outlineLevel="0" collapsed="false">
      <c r="A211" s="0" t="n">
        <v>517245</v>
      </c>
      <c r="B211" s="0" t="n">
        <v>554572</v>
      </c>
      <c r="C211" s="0" t="n">
        <v>625898</v>
      </c>
      <c r="D211" s="0" t="s">
        <v>35</v>
      </c>
      <c r="E211" s="0" t="s">
        <v>35</v>
      </c>
      <c r="F211" s="0" t="s">
        <v>36</v>
      </c>
      <c r="G211" s="0" t="s">
        <v>37</v>
      </c>
      <c r="H211" s="0" t="s">
        <v>609</v>
      </c>
      <c r="J211" s="0" t="s">
        <v>609</v>
      </c>
      <c r="K211" s="0" t="s">
        <v>610</v>
      </c>
      <c r="L211" s="0" t="n">
        <v>852296630</v>
      </c>
      <c r="M211" s="0" t="s">
        <v>611</v>
      </c>
      <c r="N211" s="0" t="s">
        <v>612</v>
      </c>
      <c r="O211" s="0" t="s">
        <v>613</v>
      </c>
      <c r="P211" s="0" t="n">
        <v>1998</v>
      </c>
      <c r="Q211" s="0" t="s">
        <v>39</v>
      </c>
      <c r="R211" s="0" t="s">
        <v>614</v>
      </c>
      <c r="S211" s="0" t="s">
        <v>615</v>
      </c>
      <c r="T211" s="0" t="s">
        <v>72</v>
      </c>
      <c r="V211" s="0" t="n">
        <v>1</v>
      </c>
      <c r="W211" s="0" t="n">
        <v>1</v>
      </c>
      <c r="X211" s="0" t="str">
        <f aca="false">"31811010980699"</f>
        <v>31811010980699</v>
      </c>
      <c r="Y211" s="0" t="s">
        <v>39</v>
      </c>
      <c r="Z211" s="0" t="s">
        <v>42</v>
      </c>
      <c r="AA211" s="0" t="s">
        <v>43</v>
      </c>
      <c r="AE211" s="1" t="s">
        <v>52</v>
      </c>
    </row>
    <row r="212" customFormat="false" ht="12.8" hidden="false" customHeight="false" outlineLevel="0" collapsed="false">
      <c r="A212" s="0" t="n">
        <v>517245</v>
      </c>
      <c r="B212" s="0" t="n">
        <v>554572</v>
      </c>
      <c r="C212" s="0" t="n">
        <v>625899</v>
      </c>
      <c r="D212" s="0" t="s">
        <v>35</v>
      </c>
      <c r="E212" s="0" t="s">
        <v>35</v>
      </c>
      <c r="F212" s="0" t="s">
        <v>36</v>
      </c>
      <c r="G212" s="0" t="s">
        <v>37</v>
      </c>
      <c r="H212" s="0" t="s">
        <v>609</v>
      </c>
      <c r="J212" s="0" t="s">
        <v>609</v>
      </c>
      <c r="K212" s="0" t="s">
        <v>610</v>
      </c>
      <c r="L212" s="0" t="n">
        <v>852296630</v>
      </c>
      <c r="M212" s="0" t="s">
        <v>611</v>
      </c>
      <c r="N212" s="0" t="s">
        <v>612</v>
      </c>
      <c r="O212" s="0" t="s">
        <v>613</v>
      </c>
      <c r="P212" s="0" t="n">
        <v>1998</v>
      </c>
      <c r="Q212" s="0" t="s">
        <v>39</v>
      </c>
      <c r="R212" s="0" t="s">
        <v>614</v>
      </c>
      <c r="S212" s="0" t="s">
        <v>615</v>
      </c>
      <c r="T212" s="0" t="s">
        <v>73</v>
      </c>
      <c r="V212" s="0" t="n">
        <v>1</v>
      </c>
      <c r="W212" s="0" t="n">
        <v>1</v>
      </c>
      <c r="X212" s="0" t="str">
        <f aca="false">"31811010980657"</f>
        <v>31811010980657</v>
      </c>
      <c r="Y212" s="0" t="s">
        <v>39</v>
      </c>
      <c r="Z212" s="0" t="s">
        <v>42</v>
      </c>
      <c r="AA212" s="0" t="s">
        <v>43</v>
      </c>
      <c r="AE212" s="1" t="s">
        <v>52</v>
      </c>
    </row>
    <row r="213" customFormat="false" ht="12.8" hidden="false" customHeight="false" outlineLevel="0" collapsed="false">
      <c r="A213" s="0" t="n">
        <v>517245</v>
      </c>
      <c r="B213" s="0" t="n">
        <v>554572</v>
      </c>
      <c r="C213" s="0" t="n">
        <v>625900</v>
      </c>
      <c r="D213" s="0" t="s">
        <v>35</v>
      </c>
      <c r="E213" s="0" t="s">
        <v>35</v>
      </c>
      <c r="F213" s="0" t="s">
        <v>36</v>
      </c>
      <c r="G213" s="0" t="s">
        <v>37</v>
      </c>
      <c r="H213" s="0" t="s">
        <v>609</v>
      </c>
      <c r="J213" s="0" t="s">
        <v>609</v>
      </c>
      <c r="K213" s="0" t="s">
        <v>610</v>
      </c>
      <c r="L213" s="0" t="n">
        <v>852296630</v>
      </c>
      <c r="M213" s="0" t="s">
        <v>611</v>
      </c>
      <c r="N213" s="0" t="s">
        <v>612</v>
      </c>
      <c r="O213" s="0" t="s">
        <v>613</v>
      </c>
      <c r="P213" s="0" t="n">
        <v>1998</v>
      </c>
      <c r="Q213" s="0" t="s">
        <v>39</v>
      </c>
      <c r="R213" s="0" t="s">
        <v>614</v>
      </c>
      <c r="S213" s="0" t="s">
        <v>615</v>
      </c>
      <c r="T213" s="0" t="s">
        <v>74</v>
      </c>
      <c r="V213" s="0" t="n">
        <v>1</v>
      </c>
      <c r="W213" s="0" t="n">
        <v>1</v>
      </c>
      <c r="X213" s="0" t="str">
        <f aca="false">"31811010980616"</f>
        <v>31811010980616</v>
      </c>
      <c r="Y213" s="0" t="s">
        <v>39</v>
      </c>
      <c r="Z213" s="0" t="s">
        <v>42</v>
      </c>
      <c r="AA213" s="0" t="s">
        <v>43</v>
      </c>
      <c r="AE213" s="1" t="s">
        <v>52</v>
      </c>
    </row>
    <row r="214" customFormat="false" ht="12.8" hidden="false" customHeight="false" outlineLevel="0" collapsed="false">
      <c r="A214" s="0" t="n">
        <v>517245</v>
      </c>
      <c r="B214" s="0" t="n">
        <v>554572</v>
      </c>
      <c r="C214" s="0" t="n">
        <v>625901</v>
      </c>
      <c r="D214" s="0" t="s">
        <v>35</v>
      </c>
      <c r="E214" s="0" t="s">
        <v>35</v>
      </c>
      <c r="F214" s="0" t="s">
        <v>36</v>
      </c>
      <c r="G214" s="0" t="s">
        <v>37</v>
      </c>
      <c r="H214" s="0" t="s">
        <v>609</v>
      </c>
      <c r="J214" s="0" t="s">
        <v>609</v>
      </c>
      <c r="K214" s="0" t="s">
        <v>610</v>
      </c>
      <c r="L214" s="0" t="n">
        <v>852296630</v>
      </c>
      <c r="M214" s="0" t="s">
        <v>611</v>
      </c>
      <c r="N214" s="0" t="s">
        <v>612</v>
      </c>
      <c r="O214" s="0" t="s">
        <v>613</v>
      </c>
      <c r="P214" s="0" t="n">
        <v>1998</v>
      </c>
      <c r="Q214" s="0" t="s">
        <v>39</v>
      </c>
      <c r="R214" s="0" t="s">
        <v>614</v>
      </c>
      <c r="S214" s="0" t="s">
        <v>615</v>
      </c>
      <c r="T214" s="0" t="s">
        <v>75</v>
      </c>
      <c r="V214" s="0" t="n">
        <v>1</v>
      </c>
      <c r="W214" s="0" t="n">
        <v>1</v>
      </c>
      <c r="X214" s="0" t="str">
        <f aca="false">"31811010980905"</f>
        <v>31811010980905</v>
      </c>
      <c r="Y214" s="0" t="s">
        <v>39</v>
      </c>
      <c r="Z214" s="0" t="s">
        <v>42</v>
      </c>
      <c r="AA214" s="0" t="s">
        <v>43</v>
      </c>
      <c r="AE214" s="1" t="s">
        <v>52</v>
      </c>
    </row>
    <row r="215" customFormat="false" ht="12.8" hidden="false" customHeight="false" outlineLevel="0" collapsed="false">
      <c r="A215" s="0" t="n">
        <v>517245</v>
      </c>
      <c r="B215" s="0" t="n">
        <v>554572</v>
      </c>
      <c r="C215" s="0" t="n">
        <v>625902</v>
      </c>
      <c r="D215" s="0" t="s">
        <v>35</v>
      </c>
      <c r="E215" s="0" t="s">
        <v>35</v>
      </c>
      <c r="F215" s="0" t="s">
        <v>36</v>
      </c>
      <c r="G215" s="0" t="s">
        <v>37</v>
      </c>
      <c r="H215" s="0" t="s">
        <v>609</v>
      </c>
      <c r="J215" s="0" t="s">
        <v>609</v>
      </c>
      <c r="K215" s="0" t="s">
        <v>610</v>
      </c>
      <c r="L215" s="0" t="n">
        <v>852296630</v>
      </c>
      <c r="M215" s="0" t="s">
        <v>611</v>
      </c>
      <c r="N215" s="0" t="s">
        <v>612</v>
      </c>
      <c r="O215" s="0" t="s">
        <v>613</v>
      </c>
      <c r="P215" s="0" t="n">
        <v>1998</v>
      </c>
      <c r="Q215" s="0" t="s">
        <v>39</v>
      </c>
      <c r="R215" s="0" t="s">
        <v>614</v>
      </c>
      <c r="S215" s="0" t="s">
        <v>615</v>
      </c>
      <c r="T215" s="0" t="s">
        <v>76</v>
      </c>
      <c r="V215" s="0" t="n">
        <v>1</v>
      </c>
      <c r="W215" s="0" t="n">
        <v>1</v>
      </c>
      <c r="X215" s="0" t="str">
        <f aca="false">"31811010980863"</f>
        <v>31811010980863</v>
      </c>
      <c r="Y215" s="0" t="s">
        <v>39</v>
      </c>
      <c r="Z215" s="0" t="s">
        <v>42</v>
      </c>
      <c r="AA215" s="0" t="s">
        <v>43</v>
      </c>
      <c r="AE215" s="1" t="s">
        <v>52</v>
      </c>
    </row>
    <row r="216" customFormat="false" ht="12.8" hidden="false" customHeight="false" outlineLevel="0" collapsed="false">
      <c r="A216" s="0" t="n">
        <v>517245</v>
      </c>
      <c r="B216" s="0" t="n">
        <v>554572</v>
      </c>
      <c r="C216" s="0" t="n">
        <v>625903</v>
      </c>
      <c r="D216" s="0" t="s">
        <v>35</v>
      </c>
      <c r="E216" s="0" t="s">
        <v>35</v>
      </c>
      <c r="F216" s="0" t="s">
        <v>36</v>
      </c>
      <c r="G216" s="0" t="s">
        <v>37</v>
      </c>
      <c r="H216" s="0" t="s">
        <v>609</v>
      </c>
      <c r="J216" s="0" t="s">
        <v>609</v>
      </c>
      <c r="K216" s="0" t="s">
        <v>610</v>
      </c>
      <c r="L216" s="0" t="n">
        <v>852296630</v>
      </c>
      <c r="M216" s="0" t="s">
        <v>611</v>
      </c>
      <c r="N216" s="0" t="s">
        <v>612</v>
      </c>
      <c r="O216" s="0" t="s">
        <v>613</v>
      </c>
      <c r="P216" s="0" t="n">
        <v>1998</v>
      </c>
      <c r="Q216" s="0" t="s">
        <v>39</v>
      </c>
      <c r="R216" s="0" t="s">
        <v>614</v>
      </c>
      <c r="S216" s="0" t="s">
        <v>615</v>
      </c>
      <c r="T216" s="0" t="s">
        <v>77</v>
      </c>
      <c r="V216" s="0" t="n">
        <v>1</v>
      </c>
      <c r="W216" s="0" t="n">
        <v>1</v>
      </c>
      <c r="X216" s="0" t="str">
        <f aca="false">"31811010980822"</f>
        <v>31811010980822</v>
      </c>
      <c r="Y216" s="0" t="s">
        <v>39</v>
      </c>
      <c r="Z216" s="0" t="s">
        <v>42</v>
      </c>
      <c r="AA216" s="0" t="s">
        <v>43</v>
      </c>
      <c r="AE216" s="1" t="s">
        <v>52</v>
      </c>
    </row>
    <row r="217" customFormat="false" ht="12.8" hidden="false" customHeight="false" outlineLevel="0" collapsed="false">
      <c r="A217" s="0" t="n">
        <v>517245</v>
      </c>
      <c r="B217" s="0" t="n">
        <v>554572</v>
      </c>
      <c r="C217" s="0" t="n">
        <v>625904</v>
      </c>
      <c r="D217" s="0" t="s">
        <v>35</v>
      </c>
      <c r="E217" s="0" t="s">
        <v>35</v>
      </c>
      <c r="F217" s="0" t="s">
        <v>36</v>
      </c>
      <c r="G217" s="0" t="s">
        <v>37</v>
      </c>
      <c r="H217" s="0" t="s">
        <v>609</v>
      </c>
      <c r="J217" s="0" t="s">
        <v>609</v>
      </c>
      <c r="K217" s="0" t="s">
        <v>610</v>
      </c>
      <c r="L217" s="0" t="n">
        <v>852296630</v>
      </c>
      <c r="M217" s="0" t="s">
        <v>611</v>
      </c>
      <c r="N217" s="0" t="s">
        <v>612</v>
      </c>
      <c r="O217" s="0" t="s">
        <v>613</v>
      </c>
      <c r="P217" s="0" t="n">
        <v>1998</v>
      </c>
      <c r="Q217" s="0" t="s">
        <v>39</v>
      </c>
      <c r="R217" s="0" t="s">
        <v>614</v>
      </c>
      <c r="S217" s="0" t="s">
        <v>615</v>
      </c>
      <c r="T217" s="0" t="s">
        <v>78</v>
      </c>
      <c r="V217" s="0" t="n">
        <v>1</v>
      </c>
      <c r="W217" s="0" t="n">
        <v>1</v>
      </c>
      <c r="X217" s="0" t="str">
        <f aca="false">"31811010980780"</f>
        <v>31811010980780</v>
      </c>
      <c r="Y217" s="0" t="s">
        <v>39</v>
      </c>
      <c r="Z217" s="0" t="s">
        <v>42</v>
      </c>
      <c r="AA217" s="0" t="s">
        <v>43</v>
      </c>
      <c r="AE217" s="1" t="s">
        <v>52</v>
      </c>
    </row>
    <row r="218" customFormat="false" ht="12.8" hidden="false" customHeight="false" outlineLevel="0" collapsed="false">
      <c r="A218" s="0" t="n">
        <v>517245</v>
      </c>
      <c r="B218" s="0" t="n">
        <v>554572</v>
      </c>
      <c r="C218" s="0" t="n">
        <v>625905</v>
      </c>
      <c r="D218" s="0" t="s">
        <v>35</v>
      </c>
      <c r="E218" s="0" t="s">
        <v>35</v>
      </c>
      <c r="F218" s="0" t="s">
        <v>36</v>
      </c>
      <c r="G218" s="0" t="s">
        <v>37</v>
      </c>
      <c r="H218" s="0" t="s">
        <v>609</v>
      </c>
      <c r="J218" s="0" t="s">
        <v>609</v>
      </c>
      <c r="K218" s="0" t="s">
        <v>610</v>
      </c>
      <c r="L218" s="0" t="n">
        <v>852296630</v>
      </c>
      <c r="M218" s="0" t="s">
        <v>611</v>
      </c>
      <c r="N218" s="0" t="s">
        <v>612</v>
      </c>
      <c r="O218" s="0" t="s">
        <v>613</v>
      </c>
      <c r="P218" s="0" t="n">
        <v>1998</v>
      </c>
      <c r="Q218" s="0" t="s">
        <v>39</v>
      </c>
      <c r="R218" s="0" t="s">
        <v>614</v>
      </c>
      <c r="S218" s="0" t="s">
        <v>615</v>
      </c>
      <c r="T218" s="0" t="s">
        <v>79</v>
      </c>
      <c r="V218" s="0" t="n">
        <v>1</v>
      </c>
      <c r="W218" s="0" t="n">
        <v>1</v>
      </c>
      <c r="X218" s="0" t="str">
        <f aca="false">"31811010980749"</f>
        <v>31811010980749</v>
      </c>
      <c r="Y218" s="0" t="s">
        <v>39</v>
      </c>
      <c r="Z218" s="0" t="s">
        <v>42</v>
      </c>
      <c r="AA218" s="0" t="s">
        <v>43</v>
      </c>
      <c r="AE218" s="1" t="s">
        <v>52</v>
      </c>
    </row>
    <row r="219" customFormat="false" ht="12.8" hidden="false" customHeight="false" outlineLevel="0" collapsed="false">
      <c r="A219" s="0" t="n">
        <v>517245</v>
      </c>
      <c r="B219" s="0" t="n">
        <v>554572</v>
      </c>
      <c r="C219" s="0" t="n">
        <v>625874</v>
      </c>
      <c r="D219" s="0" t="s">
        <v>35</v>
      </c>
      <c r="E219" s="0" t="s">
        <v>35</v>
      </c>
      <c r="F219" s="0" t="s">
        <v>36</v>
      </c>
      <c r="G219" s="0" t="s">
        <v>37</v>
      </c>
      <c r="H219" s="0" t="s">
        <v>609</v>
      </c>
      <c r="J219" s="0" t="s">
        <v>609</v>
      </c>
      <c r="K219" s="0" t="s">
        <v>610</v>
      </c>
      <c r="L219" s="0" t="n">
        <v>852296630</v>
      </c>
      <c r="M219" s="0" t="s">
        <v>611</v>
      </c>
      <c r="N219" s="0" t="s">
        <v>612</v>
      </c>
      <c r="O219" s="0" t="s">
        <v>613</v>
      </c>
      <c r="P219" s="0" t="n">
        <v>1998</v>
      </c>
      <c r="Q219" s="0" t="s">
        <v>39</v>
      </c>
      <c r="R219" s="0" t="s">
        <v>614</v>
      </c>
      <c r="S219" s="0" t="s">
        <v>615</v>
      </c>
      <c r="T219" s="0" t="s">
        <v>51</v>
      </c>
      <c r="V219" s="0" t="n">
        <v>1</v>
      </c>
      <c r="W219" s="0" t="n">
        <v>1</v>
      </c>
      <c r="X219" s="0" t="str">
        <f aca="false">"31811010979105"</f>
        <v>31811010979105</v>
      </c>
      <c r="Y219" s="0" t="s">
        <v>39</v>
      </c>
      <c r="Z219" s="0" t="s">
        <v>42</v>
      </c>
      <c r="AA219" s="0" t="s">
        <v>43</v>
      </c>
      <c r="AE219" s="1" t="s">
        <v>52</v>
      </c>
    </row>
    <row r="220" customFormat="false" ht="12.8" hidden="false" customHeight="false" outlineLevel="0" collapsed="false">
      <c r="A220" s="0" t="n">
        <v>517245</v>
      </c>
      <c r="B220" s="0" t="n">
        <v>554572</v>
      </c>
      <c r="C220" s="0" t="n">
        <v>625875</v>
      </c>
      <c r="D220" s="0" t="s">
        <v>35</v>
      </c>
      <c r="E220" s="0" t="s">
        <v>35</v>
      </c>
      <c r="F220" s="0" t="s">
        <v>36</v>
      </c>
      <c r="G220" s="0" t="s">
        <v>37</v>
      </c>
      <c r="H220" s="0" t="s">
        <v>609</v>
      </c>
      <c r="J220" s="0" t="s">
        <v>609</v>
      </c>
      <c r="K220" s="0" t="s">
        <v>610</v>
      </c>
      <c r="L220" s="0" t="n">
        <v>852296630</v>
      </c>
      <c r="M220" s="0" t="s">
        <v>611</v>
      </c>
      <c r="N220" s="0" t="s">
        <v>612</v>
      </c>
      <c r="O220" s="0" t="s">
        <v>613</v>
      </c>
      <c r="P220" s="0" t="n">
        <v>1998</v>
      </c>
      <c r="Q220" s="0" t="s">
        <v>39</v>
      </c>
      <c r="R220" s="0" t="s">
        <v>614</v>
      </c>
      <c r="S220" s="0" t="s">
        <v>615</v>
      </c>
      <c r="T220" s="0" t="s">
        <v>53</v>
      </c>
      <c r="V220" s="0" t="n">
        <v>1</v>
      </c>
      <c r="W220" s="0" t="n">
        <v>1</v>
      </c>
      <c r="X220" s="0" t="str">
        <f aca="false">"31811010979063"</f>
        <v>31811010979063</v>
      </c>
      <c r="Y220" s="0" t="s">
        <v>39</v>
      </c>
      <c r="Z220" s="0" t="s">
        <v>42</v>
      </c>
      <c r="AA220" s="0" t="s">
        <v>43</v>
      </c>
      <c r="AE220" s="1" t="s">
        <v>52</v>
      </c>
    </row>
    <row r="221" customFormat="false" ht="12.8" hidden="false" customHeight="false" outlineLevel="0" collapsed="false">
      <c r="A221" s="0" t="n">
        <v>517245</v>
      </c>
      <c r="B221" s="0" t="n">
        <v>554572</v>
      </c>
      <c r="C221" s="0" t="n">
        <v>625876</v>
      </c>
      <c r="D221" s="0" t="s">
        <v>35</v>
      </c>
      <c r="E221" s="0" t="s">
        <v>35</v>
      </c>
      <c r="F221" s="0" t="s">
        <v>36</v>
      </c>
      <c r="G221" s="0" t="s">
        <v>37</v>
      </c>
      <c r="H221" s="0" t="s">
        <v>609</v>
      </c>
      <c r="J221" s="0" t="s">
        <v>609</v>
      </c>
      <c r="K221" s="0" t="s">
        <v>610</v>
      </c>
      <c r="L221" s="0" t="n">
        <v>852296630</v>
      </c>
      <c r="M221" s="0" t="s">
        <v>611</v>
      </c>
      <c r="N221" s="0" t="s">
        <v>612</v>
      </c>
      <c r="O221" s="0" t="s">
        <v>613</v>
      </c>
      <c r="P221" s="0" t="n">
        <v>1998</v>
      </c>
      <c r="Q221" s="0" t="s">
        <v>39</v>
      </c>
      <c r="R221" s="0" t="s">
        <v>614</v>
      </c>
      <c r="S221" s="0" t="s">
        <v>615</v>
      </c>
      <c r="T221" s="0" t="s">
        <v>243</v>
      </c>
      <c r="V221" s="0" t="n">
        <v>1</v>
      </c>
      <c r="W221" s="0" t="n">
        <v>1</v>
      </c>
      <c r="X221" s="0" t="str">
        <f aca="false">"31811010979022"</f>
        <v>31811010979022</v>
      </c>
      <c r="Y221" s="0" t="s">
        <v>39</v>
      </c>
      <c r="Z221" s="0" t="s">
        <v>42</v>
      </c>
      <c r="AA221" s="0" t="s">
        <v>43</v>
      </c>
      <c r="AE221" s="1" t="s">
        <v>52</v>
      </c>
    </row>
    <row r="222" customFormat="false" ht="12.8" hidden="false" customHeight="false" outlineLevel="0" collapsed="false">
      <c r="A222" s="0" t="n">
        <v>517245</v>
      </c>
      <c r="B222" s="0" t="n">
        <v>554572</v>
      </c>
      <c r="C222" s="0" t="n">
        <v>625877</v>
      </c>
      <c r="D222" s="0" t="s">
        <v>35</v>
      </c>
      <c r="E222" s="0" t="s">
        <v>35</v>
      </c>
      <c r="F222" s="0" t="s">
        <v>36</v>
      </c>
      <c r="G222" s="0" t="s">
        <v>37</v>
      </c>
      <c r="H222" s="0" t="s">
        <v>609</v>
      </c>
      <c r="J222" s="0" t="s">
        <v>609</v>
      </c>
      <c r="K222" s="0" t="s">
        <v>610</v>
      </c>
      <c r="L222" s="0" t="n">
        <v>852296630</v>
      </c>
      <c r="M222" s="0" t="s">
        <v>611</v>
      </c>
      <c r="N222" s="0" t="s">
        <v>612</v>
      </c>
      <c r="O222" s="0" t="s">
        <v>613</v>
      </c>
      <c r="P222" s="0" t="n">
        <v>1998</v>
      </c>
      <c r="Q222" s="0" t="s">
        <v>39</v>
      </c>
      <c r="R222" s="0" t="s">
        <v>614</v>
      </c>
      <c r="S222" s="0" t="s">
        <v>615</v>
      </c>
      <c r="T222" s="0" t="s">
        <v>54</v>
      </c>
      <c r="V222" s="0" t="n">
        <v>1</v>
      </c>
      <c r="W222" s="0" t="n">
        <v>1</v>
      </c>
      <c r="X222" s="0" t="str">
        <f aca="false">"31811010979311"</f>
        <v>31811010979311</v>
      </c>
      <c r="Y222" s="0" t="s">
        <v>39</v>
      </c>
      <c r="Z222" s="0" t="s">
        <v>42</v>
      </c>
      <c r="AA222" s="0" t="s">
        <v>43</v>
      </c>
      <c r="AE222" s="1" t="s">
        <v>52</v>
      </c>
    </row>
    <row r="223" customFormat="false" ht="12.8" hidden="false" customHeight="false" outlineLevel="0" collapsed="false">
      <c r="A223" s="0" t="n">
        <v>517245</v>
      </c>
      <c r="B223" s="0" t="n">
        <v>554572</v>
      </c>
      <c r="C223" s="0" t="n">
        <v>625878</v>
      </c>
      <c r="D223" s="0" t="s">
        <v>35</v>
      </c>
      <c r="E223" s="0" t="s">
        <v>35</v>
      </c>
      <c r="F223" s="0" t="s">
        <v>36</v>
      </c>
      <c r="G223" s="0" t="s">
        <v>37</v>
      </c>
      <c r="H223" s="0" t="s">
        <v>609</v>
      </c>
      <c r="J223" s="0" t="s">
        <v>609</v>
      </c>
      <c r="K223" s="0" t="s">
        <v>610</v>
      </c>
      <c r="L223" s="0" t="n">
        <v>852296630</v>
      </c>
      <c r="M223" s="0" t="s">
        <v>611</v>
      </c>
      <c r="N223" s="0" t="s">
        <v>612</v>
      </c>
      <c r="O223" s="0" t="s">
        <v>613</v>
      </c>
      <c r="P223" s="0" t="n">
        <v>1998</v>
      </c>
      <c r="Q223" s="0" t="s">
        <v>39</v>
      </c>
      <c r="R223" s="0" t="s">
        <v>614</v>
      </c>
      <c r="S223" s="0" t="s">
        <v>615</v>
      </c>
      <c r="T223" s="0" t="s">
        <v>510</v>
      </c>
      <c r="V223" s="0" t="n">
        <v>1</v>
      </c>
      <c r="W223" s="0" t="n">
        <v>1</v>
      </c>
      <c r="X223" s="0" t="str">
        <f aca="false">"31811010979279"</f>
        <v>31811010979279</v>
      </c>
      <c r="Y223" s="0" t="s">
        <v>39</v>
      </c>
      <c r="Z223" s="0" t="s">
        <v>42</v>
      </c>
      <c r="AA223" s="0" t="s">
        <v>43</v>
      </c>
      <c r="AE223" s="1" t="s">
        <v>52</v>
      </c>
    </row>
    <row r="224" customFormat="false" ht="12.8" hidden="false" customHeight="false" outlineLevel="0" collapsed="false">
      <c r="A224" s="0" t="n">
        <v>517245</v>
      </c>
      <c r="B224" s="0" t="n">
        <v>554572</v>
      </c>
      <c r="C224" s="0" t="n">
        <v>625879</v>
      </c>
      <c r="D224" s="0" t="s">
        <v>35</v>
      </c>
      <c r="E224" s="0" t="s">
        <v>35</v>
      </c>
      <c r="F224" s="0" t="s">
        <v>36</v>
      </c>
      <c r="G224" s="0" t="s">
        <v>37</v>
      </c>
      <c r="H224" s="0" t="s">
        <v>609</v>
      </c>
      <c r="J224" s="0" t="s">
        <v>609</v>
      </c>
      <c r="K224" s="0" t="s">
        <v>610</v>
      </c>
      <c r="L224" s="0" t="n">
        <v>852296630</v>
      </c>
      <c r="M224" s="0" t="s">
        <v>611</v>
      </c>
      <c r="N224" s="0" t="s">
        <v>612</v>
      </c>
      <c r="O224" s="0" t="s">
        <v>613</v>
      </c>
      <c r="P224" s="0" t="n">
        <v>1998</v>
      </c>
      <c r="Q224" s="0" t="s">
        <v>39</v>
      </c>
      <c r="R224" s="0" t="s">
        <v>614</v>
      </c>
      <c r="S224" s="0" t="s">
        <v>615</v>
      </c>
      <c r="T224" s="0" t="s">
        <v>55</v>
      </c>
      <c r="V224" s="0" t="n">
        <v>1</v>
      </c>
      <c r="W224" s="0" t="n">
        <v>1</v>
      </c>
      <c r="X224" s="0" t="str">
        <f aca="false">"31811010979238"</f>
        <v>31811010979238</v>
      </c>
      <c r="Y224" s="0" t="s">
        <v>39</v>
      </c>
      <c r="Z224" s="0" t="s">
        <v>42</v>
      </c>
      <c r="AA224" s="0" t="s">
        <v>43</v>
      </c>
      <c r="AE224" s="1" t="s">
        <v>52</v>
      </c>
    </row>
    <row r="225" customFormat="false" ht="12.8" hidden="false" customHeight="false" outlineLevel="0" collapsed="false">
      <c r="A225" s="0" t="n">
        <v>517245</v>
      </c>
      <c r="B225" s="0" t="n">
        <v>554572</v>
      </c>
      <c r="C225" s="0" t="n">
        <v>625880</v>
      </c>
      <c r="D225" s="0" t="s">
        <v>35</v>
      </c>
      <c r="E225" s="0" t="s">
        <v>35</v>
      </c>
      <c r="F225" s="0" t="s">
        <v>36</v>
      </c>
      <c r="G225" s="0" t="s">
        <v>37</v>
      </c>
      <c r="H225" s="0" t="s">
        <v>609</v>
      </c>
      <c r="J225" s="0" t="s">
        <v>609</v>
      </c>
      <c r="K225" s="0" t="s">
        <v>610</v>
      </c>
      <c r="L225" s="0" t="n">
        <v>852296630</v>
      </c>
      <c r="M225" s="0" t="s">
        <v>611</v>
      </c>
      <c r="N225" s="0" t="s">
        <v>612</v>
      </c>
      <c r="O225" s="0" t="s">
        <v>613</v>
      </c>
      <c r="P225" s="0" t="n">
        <v>1998</v>
      </c>
      <c r="Q225" s="0" t="s">
        <v>39</v>
      </c>
      <c r="R225" s="0" t="s">
        <v>614</v>
      </c>
      <c r="S225" s="0" t="s">
        <v>615</v>
      </c>
      <c r="T225" s="0" t="s">
        <v>511</v>
      </c>
      <c r="V225" s="0" t="n">
        <v>1</v>
      </c>
      <c r="W225" s="0" t="n">
        <v>1</v>
      </c>
      <c r="X225" s="0" t="str">
        <f aca="false">"31811010979196"</f>
        <v>31811010979196</v>
      </c>
      <c r="Y225" s="0" t="s">
        <v>39</v>
      </c>
      <c r="Z225" s="0" t="s">
        <v>42</v>
      </c>
      <c r="AA225" s="0" t="s">
        <v>43</v>
      </c>
      <c r="AE225" s="1" t="s">
        <v>52</v>
      </c>
    </row>
    <row r="226" customFormat="false" ht="12.8" hidden="false" customHeight="false" outlineLevel="0" collapsed="false">
      <c r="A226" s="0" t="n">
        <v>461616</v>
      </c>
      <c r="B226" s="0" t="n">
        <v>493301</v>
      </c>
      <c r="C226" s="0" t="n">
        <v>554049</v>
      </c>
      <c r="D226" s="0" t="s">
        <v>35</v>
      </c>
      <c r="E226" s="0" t="s">
        <v>35</v>
      </c>
      <c r="F226" s="0" t="s">
        <v>480</v>
      </c>
      <c r="G226" s="0" t="s">
        <v>37</v>
      </c>
      <c r="H226" s="0" t="s">
        <v>617</v>
      </c>
      <c r="J226" s="0" t="s">
        <v>617</v>
      </c>
      <c r="M226" s="0" t="s">
        <v>618</v>
      </c>
      <c r="O226" s="0" t="s">
        <v>619</v>
      </c>
      <c r="P226" s="0" t="n">
        <v>1938</v>
      </c>
      <c r="Q226" s="0" t="s">
        <v>39</v>
      </c>
      <c r="R226" s="0" t="s">
        <v>620</v>
      </c>
      <c r="S226" s="0" t="s">
        <v>621</v>
      </c>
      <c r="T226" s="0" t="n">
        <v>1997</v>
      </c>
      <c r="V226" s="0" t="n">
        <v>1</v>
      </c>
      <c r="W226" s="0" t="n">
        <v>1</v>
      </c>
      <c r="X226" s="0" t="str">
        <f aca="false">"31811010980707"</f>
        <v>31811010980707</v>
      </c>
      <c r="Y226" s="0" t="s">
        <v>39</v>
      </c>
      <c r="Z226" s="0" t="s">
        <v>42</v>
      </c>
      <c r="AA226" s="0" t="s">
        <v>622</v>
      </c>
      <c r="AE226" s="1" t="s">
        <v>52</v>
      </c>
      <c r="AF226" s="1" t="s">
        <v>623</v>
      </c>
    </row>
    <row r="227" customFormat="false" ht="12.8" hidden="false" customHeight="false" outlineLevel="0" collapsed="false">
      <c r="A227" s="0" t="n">
        <v>461616</v>
      </c>
      <c r="B227" s="0" t="n">
        <v>493301</v>
      </c>
      <c r="C227" s="0" t="n">
        <v>554050</v>
      </c>
      <c r="D227" s="0" t="s">
        <v>35</v>
      </c>
      <c r="E227" s="0" t="s">
        <v>35</v>
      </c>
      <c r="F227" s="0" t="s">
        <v>480</v>
      </c>
      <c r="G227" s="0" t="s">
        <v>37</v>
      </c>
      <c r="H227" s="0" t="s">
        <v>617</v>
      </c>
      <c r="J227" s="0" t="s">
        <v>617</v>
      </c>
      <c r="M227" s="0" t="s">
        <v>618</v>
      </c>
      <c r="O227" s="0" t="s">
        <v>619</v>
      </c>
      <c r="P227" s="0" t="n">
        <v>1938</v>
      </c>
      <c r="Q227" s="0" t="s">
        <v>39</v>
      </c>
      <c r="R227" s="0" t="s">
        <v>620</v>
      </c>
      <c r="S227" s="0" t="s">
        <v>621</v>
      </c>
      <c r="T227" s="0" t="n">
        <v>1992</v>
      </c>
      <c r="V227" s="0" t="n">
        <v>1</v>
      </c>
      <c r="W227" s="0" t="n">
        <v>1</v>
      </c>
      <c r="X227" s="0" t="str">
        <f aca="false">"31811010969460"</f>
        <v>31811010969460</v>
      </c>
      <c r="Y227" s="0" t="s">
        <v>39</v>
      </c>
      <c r="Z227" s="0" t="s">
        <v>42</v>
      </c>
      <c r="AA227" s="0" t="s">
        <v>622</v>
      </c>
      <c r="AE227" s="1" t="s">
        <v>52</v>
      </c>
      <c r="AF227" s="1" t="s">
        <v>623</v>
      </c>
    </row>
    <row r="228" customFormat="false" ht="12.8" hidden="false" customHeight="false" outlineLevel="0" collapsed="false">
      <c r="A228" s="0" t="n">
        <v>461616</v>
      </c>
      <c r="B228" s="0" t="n">
        <v>493301</v>
      </c>
      <c r="C228" s="0" t="n">
        <v>554051</v>
      </c>
      <c r="D228" s="0" t="s">
        <v>35</v>
      </c>
      <c r="E228" s="0" t="s">
        <v>35</v>
      </c>
      <c r="F228" s="0" t="s">
        <v>480</v>
      </c>
      <c r="G228" s="0" t="s">
        <v>37</v>
      </c>
      <c r="H228" s="0" t="s">
        <v>617</v>
      </c>
      <c r="J228" s="0" t="s">
        <v>617</v>
      </c>
      <c r="M228" s="0" t="s">
        <v>618</v>
      </c>
      <c r="O228" s="0" t="s">
        <v>619</v>
      </c>
      <c r="P228" s="0" t="n">
        <v>1938</v>
      </c>
      <c r="Q228" s="0" t="s">
        <v>39</v>
      </c>
      <c r="R228" s="0" t="s">
        <v>620</v>
      </c>
      <c r="S228" s="0" t="s">
        <v>621</v>
      </c>
      <c r="T228" s="0" t="n">
        <v>1985</v>
      </c>
      <c r="V228" s="0" t="n">
        <v>1</v>
      </c>
      <c r="W228" s="0" t="n">
        <v>1</v>
      </c>
      <c r="X228" s="0" t="str">
        <f aca="false">"31811010093378"</f>
        <v>31811010093378</v>
      </c>
      <c r="Y228" s="0" t="s">
        <v>39</v>
      </c>
      <c r="Z228" s="0" t="s">
        <v>42</v>
      </c>
      <c r="AA228" s="0" t="s">
        <v>622</v>
      </c>
      <c r="AE228" s="1" t="s">
        <v>52</v>
      </c>
      <c r="AF228" s="1" t="s">
        <v>623</v>
      </c>
    </row>
    <row r="229" customFormat="false" ht="12.8" hidden="false" customHeight="false" outlineLevel="0" collapsed="false">
      <c r="A229" s="0" t="n">
        <v>461616</v>
      </c>
      <c r="B229" s="0" t="n">
        <v>493301</v>
      </c>
      <c r="C229" s="0" t="n">
        <v>554053</v>
      </c>
      <c r="D229" s="0" t="s">
        <v>35</v>
      </c>
      <c r="E229" s="0" t="s">
        <v>35</v>
      </c>
      <c r="F229" s="0" t="s">
        <v>480</v>
      </c>
      <c r="G229" s="0" t="s">
        <v>37</v>
      </c>
      <c r="H229" s="0" t="s">
        <v>617</v>
      </c>
      <c r="J229" s="0" t="s">
        <v>617</v>
      </c>
      <c r="M229" s="0" t="s">
        <v>618</v>
      </c>
      <c r="O229" s="0" t="s">
        <v>619</v>
      </c>
      <c r="P229" s="0" t="n">
        <v>1938</v>
      </c>
      <c r="Q229" s="0" t="s">
        <v>39</v>
      </c>
      <c r="R229" s="0" t="s">
        <v>620</v>
      </c>
      <c r="S229" s="0" t="s">
        <v>621</v>
      </c>
      <c r="T229" s="0" t="n">
        <v>1974</v>
      </c>
      <c r="V229" s="0" t="n">
        <v>1</v>
      </c>
      <c r="W229" s="0" t="n">
        <v>1</v>
      </c>
      <c r="X229" s="0" t="str">
        <f aca="false">"31811010334640"</f>
        <v>31811010334640</v>
      </c>
      <c r="Y229" s="0" t="s">
        <v>39</v>
      </c>
      <c r="Z229" s="0" t="s">
        <v>42</v>
      </c>
      <c r="AA229" s="0" t="s">
        <v>622</v>
      </c>
      <c r="AE229" s="1" t="s">
        <v>52</v>
      </c>
      <c r="AF229" s="1" t="s">
        <v>623</v>
      </c>
    </row>
    <row r="230" customFormat="false" ht="12.8" hidden="false" customHeight="false" outlineLevel="0" collapsed="false">
      <c r="A230" s="0" t="n">
        <v>461616</v>
      </c>
      <c r="B230" s="0" t="n">
        <v>493301</v>
      </c>
      <c r="C230" s="0" t="n">
        <v>554054</v>
      </c>
      <c r="D230" s="0" t="s">
        <v>35</v>
      </c>
      <c r="E230" s="0" t="s">
        <v>35</v>
      </c>
      <c r="F230" s="0" t="s">
        <v>480</v>
      </c>
      <c r="G230" s="0" t="s">
        <v>37</v>
      </c>
      <c r="H230" s="0" t="s">
        <v>617</v>
      </c>
      <c r="J230" s="0" t="s">
        <v>617</v>
      </c>
      <c r="M230" s="0" t="s">
        <v>618</v>
      </c>
      <c r="O230" s="0" t="s">
        <v>619</v>
      </c>
      <c r="P230" s="0" t="n">
        <v>1938</v>
      </c>
      <c r="Q230" s="0" t="s">
        <v>39</v>
      </c>
      <c r="R230" s="0" t="s">
        <v>620</v>
      </c>
      <c r="S230" s="0" t="s">
        <v>621</v>
      </c>
      <c r="T230" s="0" t="n">
        <v>1973</v>
      </c>
      <c r="V230" s="0" t="n">
        <v>1</v>
      </c>
      <c r="W230" s="0" t="n">
        <v>1</v>
      </c>
      <c r="X230" s="0" t="str">
        <f aca="false">"31811010334681"</f>
        <v>31811010334681</v>
      </c>
      <c r="Y230" s="0" t="s">
        <v>39</v>
      </c>
      <c r="Z230" s="0" t="s">
        <v>42</v>
      </c>
      <c r="AA230" s="0" t="s">
        <v>622</v>
      </c>
      <c r="AE230" s="1" t="s">
        <v>52</v>
      </c>
      <c r="AF230" s="1" t="s">
        <v>623</v>
      </c>
    </row>
    <row r="231" customFormat="false" ht="12.8" hidden="false" customHeight="false" outlineLevel="0" collapsed="false">
      <c r="A231" s="0" t="n">
        <v>461616</v>
      </c>
      <c r="B231" s="0" t="n">
        <v>493301</v>
      </c>
      <c r="C231" s="0" t="n">
        <v>554055</v>
      </c>
      <c r="D231" s="0" t="s">
        <v>35</v>
      </c>
      <c r="E231" s="0" t="s">
        <v>35</v>
      </c>
      <c r="F231" s="0" t="s">
        <v>480</v>
      </c>
      <c r="G231" s="0" t="s">
        <v>37</v>
      </c>
      <c r="H231" s="0" t="s">
        <v>617</v>
      </c>
      <c r="J231" s="0" t="s">
        <v>617</v>
      </c>
      <c r="M231" s="0" t="s">
        <v>618</v>
      </c>
      <c r="O231" s="0" t="s">
        <v>619</v>
      </c>
      <c r="P231" s="0" t="n">
        <v>1938</v>
      </c>
      <c r="Q231" s="0" t="s">
        <v>39</v>
      </c>
      <c r="R231" s="0" t="s">
        <v>620</v>
      </c>
      <c r="S231" s="0" t="s">
        <v>621</v>
      </c>
      <c r="T231" s="0" t="n">
        <v>1972</v>
      </c>
      <c r="V231" s="0" t="n">
        <v>1</v>
      </c>
      <c r="W231" s="0" t="n">
        <v>1</v>
      </c>
      <c r="X231" s="0" t="str">
        <f aca="false">"31811010334723"</f>
        <v>31811010334723</v>
      </c>
      <c r="Y231" s="0" t="s">
        <v>39</v>
      </c>
      <c r="Z231" s="0" t="s">
        <v>42</v>
      </c>
      <c r="AA231" s="0" t="s">
        <v>622</v>
      </c>
      <c r="AE231" s="1" t="s">
        <v>52</v>
      </c>
      <c r="AF231" s="1" t="s">
        <v>623</v>
      </c>
    </row>
    <row r="232" customFormat="false" ht="12.8" hidden="false" customHeight="false" outlineLevel="0" collapsed="false">
      <c r="A232" s="0" t="n">
        <v>461616</v>
      </c>
      <c r="B232" s="0" t="n">
        <v>493301</v>
      </c>
      <c r="C232" s="0" t="n">
        <v>554056</v>
      </c>
      <c r="D232" s="0" t="s">
        <v>35</v>
      </c>
      <c r="E232" s="0" t="s">
        <v>35</v>
      </c>
      <c r="F232" s="0" t="s">
        <v>480</v>
      </c>
      <c r="G232" s="0" t="s">
        <v>37</v>
      </c>
      <c r="H232" s="0" t="s">
        <v>617</v>
      </c>
      <c r="J232" s="0" t="s">
        <v>617</v>
      </c>
      <c r="M232" s="0" t="s">
        <v>618</v>
      </c>
      <c r="O232" s="0" t="s">
        <v>619</v>
      </c>
      <c r="P232" s="0" t="n">
        <v>1938</v>
      </c>
      <c r="Q232" s="0" t="s">
        <v>39</v>
      </c>
      <c r="R232" s="0" t="s">
        <v>620</v>
      </c>
      <c r="S232" s="0" t="s">
        <v>621</v>
      </c>
      <c r="T232" s="0" t="n">
        <v>1971</v>
      </c>
      <c r="V232" s="0" t="n">
        <v>1</v>
      </c>
      <c r="W232" s="0" t="n">
        <v>1</v>
      </c>
      <c r="X232" s="0" t="str">
        <f aca="false">"31811010334590"</f>
        <v>31811010334590</v>
      </c>
      <c r="Y232" s="0" t="s">
        <v>39</v>
      </c>
      <c r="Z232" s="0" t="s">
        <v>42</v>
      </c>
      <c r="AA232" s="0" t="s">
        <v>622</v>
      </c>
      <c r="AE232" s="1" t="s">
        <v>52</v>
      </c>
      <c r="AF232" s="1" t="s">
        <v>623</v>
      </c>
    </row>
    <row r="233" customFormat="false" ht="12.8" hidden="false" customHeight="false" outlineLevel="0" collapsed="false">
      <c r="A233" s="0" t="n">
        <v>461616</v>
      </c>
      <c r="B233" s="0" t="n">
        <v>493301</v>
      </c>
      <c r="C233" s="0" t="n">
        <v>554057</v>
      </c>
      <c r="D233" s="0" t="s">
        <v>35</v>
      </c>
      <c r="E233" s="0" t="s">
        <v>35</v>
      </c>
      <c r="F233" s="0" t="s">
        <v>480</v>
      </c>
      <c r="G233" s="0" t="s">
        <v>37</v>
      </c>
      <c r="H233" s="0" t="s">
        <v>617</v>
      </c>
      <c r="J233" s="0" t="s">
        <v>617</v>
      </c>
      <c r="M233" s="0" t="s">
        <v>618</v>
      </c>
      <c r="O233" s="0" t="s">
        <v>619</v>
      </c>
      <c r="P233" s="0" t="n">
        <v>1938</v>
      </c>
      <c r="Q233" s="0" t="s">
        <v>39</v>
      </c>
      <c r="R233" s="0" t="s">
        <v>620</v>
      </c>
      <c r="S233" s="0" t="s">
        <v>621</v>
      </c>
      <c r="T233" s="0" t="n">
        <v>1970</v>
      </c>
      <c r="V233" s="0" t="n">
        <v>1</v>
      </c>
      <c r="W233" s="0" t="n">
        <v>1</v>
      </c>
      <c r="X233" s="0" t="str">
        <f aca="false">"31811010334244"</f>
        <v>31811010334244</v>
      </c>
      <c r="Y233" s="0" t="s">
        <v>39</v>
      </c>
      <c r="Z233" s="0" t="s">
        <v>42</v>
      </c>
      <c r="AA233" s="0" t="s">
        <v>622</v>
      </c>
      <c r="AE233" s="1" t="s">
        <v>52</v>
      </c>
      <c r="AF233" s="1" t="s">
        <v>623</v>
      </c>
    </row>
    <row r="234" customFormat="false" ht="12.8" hidden="false" customHeight="false" outlineLevel="0" collapsed="false">
      <c r="A234" s="0" t="n">
        <v>461616</v>
      </c>
      <c r="B234" s="0" t="n">
        <v>493301</v>
      </c>
      <c r="C234" s="0" t="n">
        <v>554058</v>
      </c>
      <c r="D234" s="0" t="s">
        <v>35</v>
      </c>
      <c r="E234" s="0" t="s">
        <v>35</v>
      </c>
      <c r="F234" s="0" t="s">
        <v>480</v>
      </c>
      <c r="G234" s="0" t="s">
        <v>37</v>
      </c>
      <c r="H234" s="0" t="s">
        <v>617</v>
      </c>
      <c r="J234" s="0" t="s">
        <v>617</v>
      </c>
      <c r="M234" s="0" t="s">
        <v>618</v>
      </c>
      <c r="O234" s="0" t="s">
        <v>619</v>
      </c>
      <c r="P234" s="0" t="n">
        <v>1938</v>
      </c>
      <c r="Q234" s="0" t="s">
        <v>39</v>
      </c>
      <c r="R234" s="0" t="s">
        <v>620</v>
      </c>
      <c r="S234" s="0" t="s">
        <v>621</v>
      </c>
      <c r="T234" s="0" t="n">
        <v>1969</v>
      </c>
      <c r="V234" s="0" t="n">
        <v>1</v>
      </c>
      <c r="W234" s="0" t="n">
        <v>1</v>
      </c>
      <c r="X234" s="0" t="str">
        <f aca="false">"31811010334251"</f>
        <v>31811010334251</v>
      </c>
      <c r="Y234" s="0" t="s">
        <v>39</v>
      </c>
      <c r="Z234" s="0" t="s">
        <v>42</v>
      </c>
      <c r="AA234" s="0" t="s">
        <v>622</v>
      </c>
      <c r="AE234" s="1" t="s">
        <v>52</v>
      </c>
      <c r="AF234" s="1" t="s">
        <v>623</v>
      </c>
    </row>
    <row r="235" customFormat="false" ht="12.8" hidden="false" customHeight="false" outlineLevel="0" collapsed="false">
      <c r="A235" s="0" t="n">
        <v>461616</v>
      </c>
      <c r="B235" s="0" t="n">
        <v>493301</v>
      </c>
      <c r="C235" s="0" t="n">
        <v>554059</v>
      </c>
      <c r="D235" s="0" t="s">
        <v>35</v>
      </c>
      <c r="E235" s="0" t="s">
        <v>35</v>
      </c>
      <c r="F235" s="0" t="s">
        <v>480</v>
      </c>
      <c r="G235" s="0" t="s">
        <v>37</v>
      </c>
      <c r="H235" s="0" t="s">
        <v>617</v>
      </c>
      <c r="J235" s="0" t="s">
        <v>617</v>
      </c>
      <c r="M235" s="0" t="s">
        <v>618</v>
      </c>
      <c r="O235" s="0" t="s">
        <v>619</v>
      </c>
      <c r="P235" s="0" t="n">
        <v>1938</v>
      </c>
      <c r="Q235" s="0" t="s">
        <v>39</v>
      </c>
      <c r="R235" s="0" t="s">
        <v>620</v>
      </c>
      <c r="S235" s="0" t="s">
        <v>621</v>
      </c>
      <c r="T235" s="0" t="n">
        <v>1968</v>
      </c>
      <c r="V235" s="0" t="n">
        <v>1</v>
      </c>
      <c r="W235" s="0" t="n">
        <v>1</v>
      </c>
      <c r="X235" s="0" t="str">
        <f aca="false">"31811010334293"</f>
        <v>31811010334293</v>
      </c>
      <c r="Y235" s="0" t="s">
        <v>39</v>
      </c>
      <c r="Z235" s="0" t="s">
        <v>42</v>
      </c>
      <c r="AA235" s="0" t="s">
        <v>622</v>
      </c>
      <c r="AE235" s="1" t="s">
        <v>52</v>
      </c>
      <c r="AF235" s="1" t="s">
        <v>623</v>
      </c>
    </row>
    <row r="236" customFormat="false" ht="12.8" hidden="false" customHeight="false" outlineLevel="0" collapsed="false">
      <c r="A236" s="0" t="n">
        <v>461616</v>
      </c>
      <c r="B236" s="0" t="n">
        <v>493301</v>
      </c>
      <c r="C236" s="0" t="n">
        <v>554060</v>
      </c>
      <c r="D236" s="0" t="s">
        <v>35</v>
      </c>
      <c r="E236" s="0" t="s">
        <v>35</v>
      </c>
      <c r="F236" s="0" t="s">
        <v>480</v>
      </c>
      <c r="G236" s="0" t="s">
        <v>37</v>
      </c>
      <c r="H236" s="0" t="s">
        <v>617</v>
      </c>
      <c r="J236" s="0" t="s">
        <v>617</v>
      </c>
      <c r="M236" s="0" t="s">
        <v>618</v>
      </c>
      <c r="O236" s="0" t="s">
        <v>619</v>
      </c>
      <c r="P236" s="0" t="n">
        <v>1938</v>
      </c>
      <c r="Q236" s="0" t="s">
        <v>39</v>
      </c>
      <c r="R236" s="0" t="s">
        <v>620</v>
      </c>
      <c r="S236" s="0" t="s">
        <v>621</v>
      </c>
      <c r="T236" s="0" t="n">
        <v>1967</v>
      </c>
      <c r="V236" s="0" t="n">
        <v>1</v>
      </c>
      <c r="W236" s="0" t="n">
        <v>1</v>
      </c>
      <c r="X236" s="0" t="str">
        <f aca="false">"31811010334335"</f>
        <v>31811010334335</v>
      </c>
      <c r="Y236" s="0" t="s">
        <v>39</v>
      </c>
      <c r="Z236" s="0" t="s">
        <v>42</v>
      </c>
      <c r="AA236" s="0" t="s">
        <v>622</v>
      </c>
      <c r="AE236" s="1" t="s">
        <v>52</v>
      </c>
      <c r="AF236" s="1" t="s">
        <v>623</v>
      </c>
    </row>
    <row r="237" customFormat="false" ht="12.8" hidden="false" customHeight="false" outlineLevel="0" collapsed="false">
      <c r="A237" s="0" t="n">
        <v>461616</v>
      </c>
      <c r="B237" s="0" t="n">
        <v>493301</v>
      </c>
      <c r="C237" s="0" t="n">
        <v>554061</v>
      </c>
      <c r="D237" s="0" t="s">
        <v>35</v>
      </c>
      <c r="E237" s="0" t="s">
        <v>35</v>
      </c>
      <c r="F237" s="0" t="s">
        <v>480</v>
      </c>
      <c r="G237" s="0" t="s">
        <v>37</v>
      </c>
      <c r="H237" s="0" t="s">
        <v>617</v>
      </c>
      <c r="J237" s="0" t="s">
        <v>617</v>
      </c>
      <c r="M237" s="0" t="s">
        <v>618</v>
      </c>
      <c r="O237" s="0" t="s">
        <v>619</v>
      </c>
      <c r="P237" s="0" t="n">
        <v>1938</v>
      </c>
      <c r="Q237" s="0" t="s">
        <v>39</v>
      </c>
      <c r="R237" s="0" t="s">
        <v>620</v>
      </c>
      <c r="S237" s="0" t="s">
        <v>621</v>
      </c>
      <c r="T237" s="0" t="n">
        <v>1966</v>
      </c>
      <c r="V237" s="0" t="n">
        <v>1</v>
      </c>
      <c r="W237" s="0" t="n">
        <v>1</v>
      </c>
      <c r="X237" s="0" t="str">
        <f aca="false">"31811010334376"</f>
        <v>31811010334376</v>
      </c>
      <c r="Y237" s="0" t="s">
        <v>39</v>
      </c>
      <c r="Z237" s="0" t="s">
        <v>42</v>
      </c>
      <c r="AA237" s="0" t="s">
        <v>622</v>
      </c>
      <c r="AE237" s="1" t="s">
        <v>52</v>
      </c>
      <c r="AF237" s="1" t="s">
        <v>623</v>
      </c>
    </row>
    <row r="238" customFormat="false" ht="12.8" hidden="false" customHeight="false" outlineLevel="0" collapsed="false">
      <c r="A238" s="0" t="n">
        <v>461616</v>
      </c>
      <c r="B238" s="0" t="n">
        <v>493301</v>
      </c>
      <c r="C238" s="0" t="n">
        <v>554062</v>
      </c>
      <c r="D238" s="0" t="s">
        <v>35</v>
      </c>
      <c r="E238" s="0" t="s">
        <v>35</v>
      </c>
      <c r="F238" s="0" t="s">
        <v>480</v>
      </c>
      <c r="G238" s="0" t="s">
        <v>37</v>
      </c>
      <c r="H238" s="0" t="s">
        <v>617</v>
      </c>
      <c r="J238" s="0" t="s">
        <v>617</v>
      </c>
      <c r="M238" s="0" t="s">
        <v>618</v>
      </c>
      <c r="O238" s="0" t="s">
        <v>619</v>
      </c>
      <c r="P238" s="0" t="n">
        <v>1938</v>
      </c>
      <c r="Q238" s="0" t="s">
        <v>39</v>
      </c>
      <c r="R238" s="0" t="s">
        <v>620</v>
      </c>
      <c r="S238" s="0" t="s">
        <v>621</v>
      </c>
      <c r="T238" s="0" t="n">
        <v>1965</v>
      </c>
      <c r="V238" s="0" t="n">
        <v>1</v>
      </c>
      <c r="W238" s="0" t="n">
        <v>1</v>
      </c>
      <c r="X238" s="0" t="str">
        <f aca="false">"31811010334384"</f>
        <v>31811010334384</v>
      </c>
      <c r="Y238" s="0" t="s">
        <v>39</v>
      </c>
      <c r="Z238" s="0" t="s">
        <v>42</v>
      </c>
      <c r="AA238" s="0" t="s">
        <v>622</v>
      </c>
      <c r="AE238" s="1" t="s">
        <v>52</v>
      </c>
      <c r="AF238" s="1" t="s">
        <v>623</v>
      </c>
    </row>
    <row r="239" customFormat="false" ht="12.8" hidden="false" customHeight="false" outlineLevel="0" collapsed="false">
      <c r="A239" s="0" t="n">
        <v>461616</v>
      </c>
      <c r="B239" s="0" t="n">
        <v>493301</v>
      </c>
      <c r="C239" s="0" t="n">
        <v>554063</v>
      </c>
      <c r="D239" s="0" t="s">
        <v>35</v>
      </c>
      <c r="E239" s="0" t="s">
        <v>35</v>
      </c>
      <c r="F239" s="0" t="s">
        <v>480</v>
      </c>
      <c r="G239" s="0" t="s">
        <v>37</v>
      </c>
      <c r="H239" s="0" t="s">
        <v>617</v>
      </c>
      <c r="J239" s="0" t="s">
        <v>617</v>
      </c>
      <c r="M239" s="0" t="s">
        <v>618</v>
      </c>
      <c r="O239" s="0" t="s">
        <v>619</v>
      </c>
      <c r="P239" s="0" t="n">
        <v>1938</v>
      </c>
      <c r="Q239" s="0" t="s">
        <v>39</v>
      </c>
      <c r="R239" s="0" t="s">
        <v>620</v>
      </c>
      <c r="S239" s="0" t="s">
        <v>621</v>
      </c>
      <c r="T239" s="0" t="n">
        <v>1964</v>
      </c>
      <c r="V239" s="0" t="n">
        <v>1</v>
      </c>
      <c r="W239" s="0" t="n">
        <v>1</v>
      </c>
      <c r="X239" s="0" t="str">
        <f aca="false">"31811010334343"</f>
        <v>31811010334343</v>
      </c>
      <c r="Y239" s="0" t="s">
        <v>39</v>
      </c>
      <c r="Z239" s="0" t="s">
        <v>42</v>
      </c>
      <c r="AA239" s="0" t="s">
        <v>622</v>
      </c>
      <c r="AE239" s="1" t="s">
        <v>52</v>
      </c>
      <c r="AF239" s="1" t="s">
        <v>623</v>
      </c>
    </row>
    <row r="240" customFormat="false" ht="12.8" hidden="false" customHeight="false" outlineLevel="0" collapsed="false">
      <c r="A240" s="0" t="n">
        <v>461616</v>
      </c>
      <c r="B240" s="0" t="n">
        <v>493301</v>
      </c>
      <c r="C240" s="0" t="n">
        <v>554064</v>
      </c>
      <c r="D240" s="0" t="s">
        <v>35</v>
      </c>
      <c r="E240" s="0" t="s">
        <v>35</v>
      </c>
      <c r="F240" s="0" t="s">
        <v>480</v>
      </c>
      <c r="G240" s="0" t="s">
        <v>37</v>
      </c>
      <c r="H240" s="0" t="s">
        <v>617</v>
      </c>
      <c r="J240" s="0" t="s">
        <v>617</v>
      </c>
      <c r="M240" s="0" t="s">
        <v>618</v>
      </c>
      <c r="O240" s="0" t="s">
        <v>619</v>
      </c>
      <c r="P240" s="0" t="n">
        <v>1938</v>
      </c>
      <c r="Q240" s="0" t="s">
        <v>39</v>
      </c>
      <c r="R240" s="0" t="s">
        <v>620</v>
      </c>
      <c r="S240" s="0" t="s">
        <v>621</v>
      </c>
      <c r="T240" s="0" t="n">
        <v>1962</v>
      </c>
      <c r="V240" s="0" t="n">
        <v>1</v>
      </c>
      <c r="W240" s="0" t="n">
        <v>1</v>
      </c>
      <c r="X240" s="0" t="str">
        <f aca="false">"31811010334301"</f>
        <v>31811010334301</v>
      </c>
      <c r="Y240" s="0" t="s">
        <v>39</v>
      </c>
      <c r="Z240" s="0" t="s">
        <v>42</v>
      </c>
      <c r="AA240" s="0" t="s">
        <v>622</v>
      </c>
      <c r="AE240" s="1" t="s">
        <v>52</v>
      </c>
      <c r="AF240" s="1" t="s">
        <v>623</v>
      </c>
    </row>
    <row r="241" customFormat="false" ht="12.8" hidden="false" customHeight="false" outlineLevel="0" collapsed="false">
      <c r="A241" s="0" t="n">
        <v>461616</v>
      </c>
      <c r="B241" s="0" t="n">
        <v>493301</v>
      </c>
      <c r="C241" s="0" t="n">
        <v>554065</v>
      </c>
      <c r="D241" s="0" t="s">
        <v>35</v>
      </c>
      <c r="E241" s="0" t="s">
        <v>35</v>
      </c>
      <c r="F241" s="0" t="s">
        <v>480</v>
      </c>
      <c r="G241" s="0" t="s">
        <v>37</v>
      </c>
      <c r="H241" s="0" t="s">
        <v>617</v>
      </c>
      <c r="J241" s="0" t="s">
        <v>617</v>
      </c>
      <c r="M241" s="0" t="s">
        <v>618</v>
      </c>
      <c r="O241" s="0" t="s">
        <v>619</v>
      </c>
      <c r="P241" s="0" t="n">
        <v>1938</v>
      </c>
      <c r="Q241" s="0" t="s">
        <v>39</v>
      </c>
      <c r="R241" s="0" t="s">
        <v>620</v>
      </c>
      <c r="S241" s="0" t="s">
        <v>621</v>
      </c>
      <c r="T241" s="0" t="n">
        <v>1961</v>
      </c>
      <c r="V241" s="0" t="n">
        <v>1</v>
      </c>
      <c r="W241" s="0" t="n">
        <v>1</v>
      </c>
      <c r="X241" s="0" t="str">
        <f aca="false">"31811003177030"</f>
        <v>31811003177030</v>
      </c>
      <c r="Y241" s="0" t="s">
        <v>39</v>
      </c>
      <c r="Z241" s="0" t="s">
        <v>42</v>
      </c>
      <c r="AA241" s="0" t="s">
        <v>622</v>
      </c>
      <c r="AE241" s="1" t="s">
        <v>52</v>
      </c>
      <c r="AF241" s="1" t="s">
        <v>623</v>
      </c>
    </row>
    <row r="242" customFormat="false" ht="12.8" hidden="false" customHeight="false" outlineLevel="0" collapsed="false">
      <c r="A242" s="0" t="n">
        <v>461616</v>
      </c>
      <c r="B242" s="0" t="n">
        <v>493301</v>
      </c>
      <c r="C242" s="0" t="n">
        <v>554066</v>
      </c>
      <c r="D242" s="0" t="s">
        <v>35</v>
      </c>
      <c r="E242" s="0" t="s">
        <v>35</v>
      </c>
      <c r="F242" s="0" t="s">
        <v>480</v>
      </c>
      <c r="G242" s="0" t="s">
        <v>37</v>
      </c>
      <c r="H242" s="0" t="s">
        <v>617</v>
      </c>
      <c r="J242" s="0" t="s">
        <v>617</v>
      </c>
      <c r="M242" s="0" t="s">
        <v>618</v>
      </c>
      <c r="O242" s="0" t="s">
        <v>619</v>
      </c>
      <c r="P242" s="0" t="n">
        <v>1938</v>
      </c>
      <c r="Q242" s="0" t="s">
        <v>39</v>
      </c>
      <c r="R242" s="0" t="s">
        <v>620</v>
      </c>
      <c r="S242" s="0" t="s">
        <v>621</v>
      </c>
      <c r="T242" s="0" t="n">
        <v>1959</v>
      </c>
      <c r="V242" s="0" t="n">
        <v>1</v>
      </c>
      <c r="W242" s="0" t="n">
        <v>1</v>
      </c>
      <c r="X242" s="0" t="str">
        <f aca="false">"31811010334269"</f>
        <v>31811010334269</v>
      </c>
      <c r="Y242" s="0" t="s">
        <v>39</v>
      </c>
      <c r="Z242" s="0" t="s">
        <v>42</v>
      </c>
      <c r="AA242" s="0" t="s">
        <v>622</v>
      </c>
      <c r="AE242" s="1" t="s">
        <v>52</v>
      </c>
      <c r="AF242" s="1" t="s">
        <v>623</v>
      </c>
      <c r="AH242" s="1" t="s">
        <v>624</v>
      </c>
    </row>
    <row r="243" customFormat="false" ht="12.8" hidden="false" customHeight="false" outlineLevel="0" collapsed="false">
      <c r="A243" s="0" t="n">
        <v>461616</v>
      </c>
      <c r="B243" s="0" t="n">
        <v>493301</v>
      </c>
      <c r="C243" s="0" t="n">
        <v>554067</v>
      </c>
      <c r="D243" s="0" t="s">
        <v>35</v>
      </c>
      <c r="E243" s="0" t="s">
        <v>35</v>
      </c>
      <c r="F243" s="0" t="s">
        <v>480</v>
      </c>
      <c r="G243" s="0" t="s">
        <v>37</v>
      </c>
      <c r="H243" s="0" t="s">
        <v>617</v>
      </c>
      <c r="J243" s="0" t="s">
        <v>617</v>
      </c>
      <c r="M243" s="0" t="s">
        <v>618</v>
      </c>
      <c r="O243" s="0" t="s">
        <v>619</v>
      </c>
      <c r="P243" s="0" t="n">
        <v>1938</v>
      </c>
      <c r="Q243" s="0" t="s">
        <v>39</v>
      </c>
      <c r="R243" s="0" t="s">
        <v>620</v>
      </c>
      <c r="S243" s="0" t="s">
        <v>621</v>
      </c>
      <c r="T243" s="0" t="n">
        <v>1957</v>
      </c>
      <c r="V243" s="0" t="n">
        <v>1</v>
      </c>
      <c r="W243" s="0" t="n">
        <v>1</v>
      </c>
      <c r="X243" s="0" t="str">
        <f aca="false">"31811010334277"</f>
        <v>31811010334277</v>
      </c>
      <c r="Y243" s="0" t="s">
        <v>39</v>
      </c>
      <c r="Z243" s="0" t="s">
        <v>42</v>
      </c>
      <c r="AA243" s="0" t="s">
        <v>622</v>
      </c>
      <c r="AE243" s="1" t="s">
        <v>52</v>
      </c>
      <c r="AF243" s="1" t="s">
        <v>623</v>
      </c>
      <c r="AH243" s="1" t="s">
        <v>624</v>
      </c>
    </row>
    <row r="244" customFormat="false" ht="12.8" hidden="false" customHeight="false" outlineLevel="0" collapsed="false">
      <c r="A244" s="0" t="n">
        <v>461616</v>
      </c>
      <c r="B244" s="0" t="n">
        <v>493301</v>
      </c>
      <c r="C244" s="0" t="n">
        <v>554068</v>
      </c>
      <c r="D244" s="0" t="s">
        <v>35</v>
      </c>
      <c r="E244" s="0" t="s">
        <v>35</v>
      </c>
      <c r="F244" s="0" t="s">
        <v>480</v>
      </c>
      <c r="G244" s="0" t="s">
        <v>37</v>
      </c>
      <c r="H244" s="0" t="s">
        <v>617</v>
      </c>
      <c r="J244" s="0" t="s">
        <v>617</v>
      </c>
      <c r="M244" s="0" t="s">
        <v>618</v>
      </c>
      <c r="O244" s="0" t="s">
        <v>619</v>
      </c>
      <c r="P244" s="0" t="n">
        <v>1938</v>
      </c>
      <c r="Q244" s="0" t="s">
        <v>39</v>
      </c>
      <c r="R244" s="0" t="s">
        <v>620</v>
      </c>
      <c r="S244" s="0" t="s">
        <v>621</v>
      </c>
      <c r="T244" s="0" t="n">
        <v>1956</v>
      </c>
      <c r="V244" s="0" t="n">
        <v>1</v>
      </c>
      <c r="W244" s="0" t="n">
        <v>1</v>
      </c>
      <c r="X244" s="0" t="str">
        <f aca="false">"31811010334319"</f>
        <v>31811010334319</v>
      </c>
      <c r="Y244" s="0" t="s">
        <v>39</v>
      </c>
      <c r="Z244" s="0" t="s">
        <v>42</v>
      </c>
      <c r="AA244" s="0" t="s">
        <v>622</v>
      </c>
      <c r="AE244" s="1" t="s">
        <v>52</v>
      </c>
      <c r="AF244" s="1" t="s">
        <v>623</v>
      </c>
    </row>
    <row r="245" customFormat="false" ht="12.8" hidden="false" customHeight="false" outlineLevel="0" collapsed="false">
      <c r="A245" s="0" t="n">
        <v>461616</v>
      </c>
      <c r="B245" s="0" t="n">
        <v>493301</v>
      </c>
      <c r="C245" s="0" t="n">
        <v>554069</v>
      </c>
      <c r="D245" s="0" t="s">
        <v>35</v>
      </c>
      <c r="E245" s="0" t="s">
        <v>35</v>
      </c>
      <c r="F245" s="0" t="s">
        <v>480</v>
      </c>
      <c r="G245" s="0" t="s">
        <v>37</v>
      </c>
      <c r="H245" s="0" t="s">
        <v>617</v>
      </c>
      <c r="J245" s="0" t="s">
        <v>617</v>
      </c>
      <c r="M245" s="0" t="s">
        <v>618</v>
      </c>
      <c r="O245" s="0" t="s">
        <v>619</v>
      </c>
      <c r="P245" s="0" t="n">
        <v>1938</v>
      </c>
      <c r="Q245" s="0" t="s">
        <v>39</v>
      </c>
      <c r="R245" s="0" t="s">
        <v>620</v>
      </c>
      <c r="S245" s="0" t="s">
        <v>621</v>
      </c>
      <c r="T245" s="0" t="n">
        <v>1955</v>
      </c>
      <c r="V245" s="0" t="n">
        <v>1</v>
      </c>
      <c r="W245" s="0" t="n">
        <v>1</v>
      </c>
      <c r="X245" s="0" t="str">
        <f aca="false">"31811010334350"</f>
        <v>31811010334350</v>
      </c>
      <c r="Y245" s="0" t="s">
        <v>39</v>
      </c>
      <c r="Z245" s="0" t="s">
        <v>42</v>
      </c>
      <c r="AA245" s="0" t="s">
        <v>622</v>
      </c>
      <c r="AE245" s="1" t="s">
        <v>52</v>
      </c>
      <c r="AF245" s="1" t="s">
        <v>623</v>
      </c>
    </row>
    <row r="246" customFormat="false" ht="12.8" hidden="false" customHeight="false" outlineLevel="0" collapsed="false">
      <c r="A246" s="0" t="n">
        <v>461616</v>
      </c>
      <c r="B246" s="0" t="n">
        <v>493301</v>
      </c>
      <c r="C246" s="0" t="n">
        <v>554070</v>
      </c>
      <c r="D246" s="0" t="s">
        <v>35</v>
      </c>
      <c r="E246" s="0" t="s">
        <v>35</v>
      </c>
      <c r="F246" s="0" t="s">
        <v>480</v>
      </c>
      <c r="G246" s="0" t="s">
        <v>37</v>
      </c>
      <c r="H246" s="0" t="s">
        <v>617</v>
      </c>
      <c r="J246" s="0" t="s">
        <v>617</v>
      </c>
      <c r="M246" s="0" t="s">
        <v>618</v>
      </c>
      <c r="O246" s="0" t="s">
        <v>619</v>
      </c>
      <c r="P246" s="0" t="n">
        <v>1938</v>
      </c>
      <c r="Q246" s="0" t="s">
        <v>39</v>
      </c>
      <c r="R246" s="0" t="s">
        <v>620</v>
      </c>
      <c r="S246" s="0" t="s">
        <v>621</v>
      </c>
      <c r="T246" s="0" t="n">
        <v>1954</v>
      </c>
      <c r="V246" s="0" t="n">
        <v>1</v>
      </c>
      <c r="W246" s="0" t="n">
        <v>1</v>
      </c>
      <c r="X246" s="0" t="str">
        <f aca="false">"31811010334392"</f>
        <v>31811010334392</v>
      </c>
      <c r="Y246" s="0" t="s">
        <v>39</v>
      </c>
      <c r="Z246" s="0" t="s">
        <v>42</v>
      </c>
      <c r="AA246" s="0" t="s">
        <v>622</v>
      </c>
      <c r="AE246" s="1" t="s">
        <v>52</v>
      </c>
      <c r="AF246" s="1" t="s">
        <v>623</v>
      </c>
      <c r="AH246" s="1" t="s">
        <v>625</v>
      </c>
    </row>
    <row r="247" customFormat="false" ht="12.8" hidden="false" customHeight="false" outlineLevel="0" collapsed="false">
      <c r="A247" s="0" t="n">
        <v>461616</v>
      </c>
      <c r="B247" s="0" t="n">
        <v>493301</v>
      </c>
      <c r="C247" s="0" t="n">
        <v>554071</v>
      </c>
      <c r="D247" s="0" t="s">
        <v>35</v>
      </c>
      <c r="E247" s="0" t="s">
        <v>35</v>
      </c>
      <c r="F247" s="0" t="s">
        <v>480</v>
      </c>
      <c r="G247" s="0" t="s">
        <v>37</v>
      </c>
      <c r="H247" s="0" t="s">
        <v>617</v>
      </c>
      <c r="J247" s="0" t="s">
        <v>617</v>
      </c>
      <c r="M247" s="0" t="s">
        <v>618</v>
      </c>
      <c r="O247" s="0" t="s">
        <v>619</v>
      </c>
      <c r="P247" s="0" t="n">
        <v>1938</v>
      </c>
      <c r="Q247" s="0" t="s">
        <v>39</v>
      </c>
      <c r="R247" s="0" t="s">
        <v>620</v>
      </c>
      <c r="S247" s="0" t="s">
        <v>621</v>
      </c>
      <c r="T247" s="0" t="n">
        <v>1952</v>
      </c>
      <c r="V247" s="0" t="n">
        <v>1</v>
      </c>
      <c r="W247" s="0" t="n">
        <v>1</v>
      </c>
      <c r="X247" s="0" t="str">
        <f aca="false">"31811010334285"</f>
        <v>31811010334285</v>
      </c>
      <c r="Y247" s="0" t="s">
        <v>39</v>
      </c>
      <c r="Z247" s="0" t="s">
        <v>42</v>
      </c>
      <c r="AA247" s="0" t="s">
        <v>622</v>
      </c>
      <c r="AE247" s="1" t="s">
        <v>52</v>
      </c>
      <c r="AF247" s="1" t="s">
        <v>623</v>
      </c>
    </row>
    <row r="248" customFormat="false" ht="12.8" hidden="false" customHeight="false" outlineLevel="0" collapsed="false">
      <c r="A248" s="0" t="n">
        <v>461616</v>
      </c>
      <c r="B248" s="0" t="n">
        <v>493301</v>
      </c>
      <c r="C248" s="0" t="n">
        <v>554072</v>
      </c>
      <c r="D248" s="0" t="s">
        <v>35</v>
      </c>
      <c r="E248" s="0" t="s">
        <v>35</v>
      </c>
      <c r="F248" s="0" t="s">
        <v>480</v>
      </c>
      <c r="G248" s="0" t="s">
        <v>37</v>
      </c>
      <c r="H248" s="0" t="s">
        <v>617</v>
      </c>
      <c r="J248" s="0" t="s">
        <v>617</v>
      </c>
      <c r="M248" s="0" t="s">
        <v>618</v>
      </c>
      <c r="O248" s="0" t="s">
        <v>619</v>
      </c>
      <c r="P248" s="0" t="n">
        <v>1938</v>
      </c>
      <c r="Q248" s="0" t="s">
        <v>39</v>
      </c>
      <c r="R248" s="0" t="s">
        <v>620</v>
      </c>
      <c r="S248" s="0" t="s">
        <v>621</v>
      </c>
      <c r="T248" s="0" t="n">
        <v>1951</v>
      </c>
      <c r="V248" s="0" t="n">
        <v>1</v>
      </c>
      <c r="W248" s="0" t="n">
        <v>1</v>
      </c>
      <c r="X248" s="0" t="str">
        <f aca="false">"31811010334327"</f>
        <v>31811010334327</v>
      </c>
      <c r="Y248" s="0" t="s">
        <v>39</v>
      </c>
      <c r="Z248" s="0" t="s">
        <v>42</v>
      </c>
      <c r="AA248" s="0" t="s">
        <v>622</v>
      </c>
      <c r="AE248" s="1" t="s">
        <v>52</v>
      </c>
      <c r="AF248" s="1" t="s">
        <v>623</v>
      </c>
    </row>
    <row r="249" customFormat="false" ht="12.8" hidden="false" customHeight="false" outlineLevel="0" collapsed="false">
      <c r="A249" s="0" t="n">
        <v>461616</v>
      </c>
      <c r="B249" s="0" t="n">
        <v>493301</v>
      </c>
      <c r="C249" s="0" t="n">
        <v>554073</v>
      </c>
      <c r="D249" s="0" t="s">
        <v>35</v>
      </c>
      <c r="E249" s="0" t="s">
        <v>35</v>
      </c>
      <c r="F249" s="0" t="s">
        <v>480</v>
      </c>
      <c r="G249" s="0" t="s">
        <v>37</v>
      </c>
      <c r="H249" s="0" t="s">
        <v>617</v>
      </c>
      <c r="J249" s="0" t="s">
        <v>617</v>
      </c>
      <c r="M249" s="0" t="s">
        <v>618</v>
      </c>
      <c r="O249" s="0" t="s">
        <v>619</v>
      </c>
      <c r="P249" s="0" t="n">
        <v>1938</v>
      </c>
      <c r="Q249" s="0" t="s">
        <v>39</v>
      </c>
      <c r="R249" s="0" t="s">
        <v>620</v>
      </c>
      <c r="S249" s="0" t="s">
        <v>621</v>
      </c>
      <c r="T249" s="0" t="n">
        <v>1950</v>
      </c>
      <c r="V249" s="0" t="n">
        <v>1</v>
      </c>
      <c r="W249" s="0" t="n">
        <v>1</v>
      </c>
      <c r="X249" s="0" t="str">
        <f aca="false">"31811010334368"</f>
        <v>31811010334368</v>
      </c>
      <c r="Y249" s="0" t="s">
        <v>39</v>
      </c>
      <c r="Z249" s="0" t="s">
        <v>42</v>
      </c>
      <c r="AA249" s="0" t="s">
        <v>622</v>
      </c>
      <c r="AE249" s="1" t="s">
        <v>52</v>
      </c>
      <c r="AF249" s="1" t="s">
        <v>623</v>
      </c>
    </row>
    <row r="250" customFormat="false" ht="12.8" hidden="false" customHeight="false" outlineLevel="0" collapsed="false">
      <c r="A250" s="0" t="n">
        <v>461616</v>
      </c>
      <c r="B250" s="0" t="n">
        <v>493301</v>
      </c>
      <c r="C250" s="0" t="n">
        <v>554074</v>
      </c>
      <c r="D250" s="0" t="s">
        <v>35</v>
      </c>
      <c r="E250" s="0" t="s">
        <v>35</v>
      </c>
      <c r="F250" s="0" t="s">
        <v>480</v>
      </c>
      <c r="G250" s="0" t="s">
        <v>37</v>
      </c>
      <c r="H250" s="0" t="s">
        <v>617</v>
      </c>
      <c r="J250" s="0" t="s">
        <v>617</v>
      </c>
      <c r="M250" s="0" t="s">
        <v>618</v>
      </c>
      <c r="O250" s="0" t="s">
        <v>619</v>
      </c>
      <c r="P250" s="0" t="n">
        <v>1938</v>
      </c>
      <c r="Q250" s="0" t="s">
        <v>39</v>
      </c>
      <c r="R250" s="0" t="s">
        <v>620</v>
      </c>
      <c r="S250" s="0" t="s">
        <v>621</v>
      </c>
      <c r="T250" s="0" t="n">
        <v>1949</v>
      </c>
      <c r="V250" s="0" t="n">
        <v>1</v>
      </c>
      <c r="W250" s="0" t="n">
        <v>1</v>
      </c>
      <c r="X250" s="0" t="str">
        <f aca="false">"31811010334400"</f>
        <v>31811010334400</v>
      </c>
      <c r="Y250" s="0" t="s">
        <v>39</v>
      </c>
      <c r="Z250" s="0" t="s">
        <v>42</v>
      </c>
      <c r="AA250" s="0" t="s">
        <v>622</v>
      </c>
      <c r="AE250" s="1" t="s">
        <v>52</v>
      </c>
      <c r="AF250" s="1" t="s">
        <v>623</v>
      </c>
    </row>
    <row r="251" customFormat="false" ht="12.8" hidden="false" customHeight="false" outlineLevel="0" collapsed="false">
      <c r="A251" s="0" t="n">
        <v>461616</v>
      </c>
      <c r="B251" s="0" t="n">
        <v>493301</v>
      </c>
      <c r="C251" s="0" t="n">
        <v>554075</v>
      </c>
      <c r="D251" s="0" t="s">
        <v>35</v>
      </c>
      <c r="E251" s="0" t="s">
        <v>35</v>
      </c>
      <c r="F251" s="0" t="s">
        <v>480</v>
      </c>
      <c r="G251" s="0" t="s">
        <v>37</v>
      </c>
      <c r="H251" s="0" t="s">
        <v>617</v>
      </c>
      <c r="J251" s="0" t="s">
        <v>617</v>
      </c>
      <c r="M251" s="0" t="s">
        <v>618</v>
      </c>
      <c r="O251" s="0" t="s">
        <v>619</v>
      </c>
      <c r="P251" s="0" t="n">
        <v>1938</v>
      </c>
      <c r="Q251" s="0" t="s">
        <v>39</v>
      </c>
      <c r="R251" s="0" t="s">
        <v>620</v>
      </c>
      <c r="S251" s="0" t="s">
        <v>621</v>
      </c>
      <c r="T251" s="0" t="n">
        <v>1948</v>
      </c>
      <c r="V251" s="0" t="n">
        <v>1</v>
      </c>
      <c r="W251" s="0" t="n">
        <v>1</v>
      </c>
      <c r="X251" s="0" t="str">
        <f aca="false">"31811010333964"</f>
        <v>31811010333964</v>
      </c>
      <c r="Y251" s="0" t="s">
        <v>39</v>
      </c>
      <c r="Z251" s="0" t="s">
        <v>42</v>
      </c>
      <c r="AA251" s="0" t="s">
        <v>622</v>
      </c>
      <c r="AE251" s="1" t="s">
        <v>52</v>
      </c>
      <c r="AF251" s="1" t="s">
        <v>623</v>
      </c>
    </row>
    <row r="252" customFormat="false" ht="12.8" hidden="false" customHeight="false" outlineLevel="0" collapsed="false">
      <c r="A252" s="0" t="n">
        <v>461616</v>
      </c>
      <c r="B252" s="0" t="n">
        <v>493301</v>
      </c>
      <c r="C252" s="0" t="n">
        <v>554076</v>
      </c>
      <c r="D252" s="0" t="s">
        <v>35</v>
      </c>
      <c r="E252" s="0" t="s">
        <v>35</v>
      </c>
      <c r="F252" s="0" t="s">
        <v>480</v>
      </c>
      <c r="G252" s="0" t="s">
        <v>37</v>
      </c>
      <c r="H252" s="0" t="s">
        <v>617</v>
      </c>
      <c r="J252" s="0" t="s">
        <v>617</v>
      </c>
      <c r="M252" s="0" t="s">
        <v>618</v>
      </c>
      <c r="O252" s="0" t="s">
        <v>619</v>
      </c>
      <c r="P252" s="0" t="n">
        <v>1938</v>
      </c>
      <c r="Q252" s="0" t="s">
        <v>39</v>
      </c>
      <c r="R252" s="0" t="s">
        <v>620</v>
      </c>
      <c r="S252" s="0" t="s">
        <v>621</v>
      </c>
      <c r="T252" s="0" t="n">
        <v>1947</v>
      </c>
      <c r="V252" s="0" t="n">
        <v>1</v>
      </c>
      <c r="W252" s="0" t="n">
        <v>1</v>
      </c>
      <c r="X252" s="0" t="str">
        <f aca="false">"31811010333774"</f>
        <v>31811010333774</v>
      </c>
      <c r="Y252" s="0" t="s">
        <v>39</v>
      </c>
      <c r="Z252" s="0" t="s">
        <v>42</v>
      </c>
      <c r="AA252" s="0" t="s">
        <v>622</v>
      </c>
      <c r="AE252" s="1" t="s">
        <v>52</v>
      </c>
      <c r="AF252" s="1" t="s">
        <v>623</v>
      </c>
    </row>
    <row r="253" customFormat="false" ht="12.8" hidden="false" customHeight="false" outlineLevel="0" collapsed="false">
      <c r="A253" s="0" t="n">
        <v>461616</v>
      </c>
      <c r="B253" s="0" t="n">
        <v>493301</v>
      </c>
      <c r="C253" s="0" t="n">
        <v>554077</v>
      </c>
      <c r="D253" s="0" t="s">
        <v>35</v>
      </c>
      <c r="E253" s="0" t="s">
        <v>35</v>
      </c>
      <c r="F253" s="0" t="s">
        <v>480</v>
      </c>
      <c r="G253" s="0" t="s">
        <v>37</v>
      </c>
      <c r="H253" s="0" t="s">
        <v>617</v>
      </c>
      <c r="J253" s="0" t="s">
        <v>617</v>
      </c>
      <c r="M253" s="0" t="s">
        <v>618</v>
      </c>
      <c r="O253" s="0" t="s">
        <v>619</v>
      </c>
      <c r="P253" s="0" t="n">
        <v>1938</v>
      </c>
      <c r="Q253" s="0" t="s">
        <v>39</v>
      </c>
      <c r="R253" s="0" t="s">
        <v>620</v>
      </c>
      <c r="S253" s="0" t="s">
        <v>621</v>
      </c>
      <c r="T253" s="0" t="n">
        <v>1943</v>
      </c>
      <c r="V253" s="0" t="n">
        <v>1</v>
      </c>
      <c r="W253" s="0" t="n">
        <v>1</v>
      </c>
      <c r="X253" s="0" t="str">
        <f aca="false">"31811010333782"</f>
        <v>31811010333782</v>
      </c>
      <c r="Y253" s="0" t="s">
        <v>39</v>
      </c>
      <c r="Z253" s="0" t="s">
        <v>42</v>
      </c>
      <c r="AA253" s="0" t="s">
        <v>622</v>
      </c>
      <c r="AE253" s="1" t="s">
        <v>52</v>
      </c>
      <c r="AF253" s="1" t="s">
        <v>623</v>
      </c>
      <c r="AH253" s="1" t="s">
        <v>626</v>
      </c>
    </row>
    <row r="254" customFormat="false" ht="12.8" hidden="false" customHeight="false" outlineLevel="0" collapsed="false">
      <c r="A254" s="0" t="n">
        <v>461616</v>
      </c>
      <c r="B254" s="0" t="n">
        <v>493301</v>
      </c>
      <c r="C254" s="0" t="n">
        <v>554078</v>
      </c>
      <c r="D254" s="0" t="s">
        <v>35</v>
      </c>
      <c r="E254" s="0" t="s">
        <v>35</v>
      </c>
      <c r="F254" s="0" t="s">
        <v>480</v>
      </c>
      <c r="G254" s="0" t="s">
        <v>37</v>
      </c>
      <c r="H254" s="0" t="s">
        <v>617</v>
      </c>
      <c r="J254" s="0" t="s">
        <v>617</v>
      </c>
      <c r="M254" s="0" t="s">
        <v>618</v>
      </c>
      <c r="O254" s="0" t="s">
        <v>619</v>
      </c>
      <c r="P254" s="0" t="n">
        <v>1938</v>
      </c>
      <c r="Q254" s="0" t="s">
        <v>39</v>
      </c>
      <c r="R254" s="0" t="s">
        <v>620</v>
      </c>
      <c r="S254" s="0" t="s">
        <v>621</v>
      </c>
      <c r="T254" s="0" t="n">
        <v>1941</v>
      </c>
      <c r="V254" s="0" t="n">
        <v>1</v>
      </c>
      <c r="W254" s="0" t="n">
        <v>1</v>
      </c>
      <c r="X254" s="0" t="str">
        <f aca="false">"31811010333790"</f>
        <v>31811010333790</v>
      </c>
      <c r="Y254" s="0" t="s">
        <v>39</v>
      </c>
      <c r="Z254" s="0" t="s">
        <v>42</v>
      </c>
      <c r="AA254" s="0" t="s">
        <v>622</v>
      </c>
      <c r="AE254" s="1" t="s">
        <v>52</v>
      </c>
      <c r="AF254" s="1" t="s">
        <v>623</v>
      </c>
      <c r="AH254" s="1" t="s">
        <v>626</v>
      </c>
    </row>
    <row r="255" customFormat="false" ht="12.8" hidden="false" customHeight="false" outlineLevel="0" collapsed="false">
      <c r="A255" s="0" t="n">
        <v>461616</v>
      </c>
      <c r="B255" s="0" t="n">
        <v>493301</v>
      </c>
      <c r="C255" s="0" t="n">
        <v>554079</v>
      </c>
      <c r="D255" s="0" t="s">
        <v>35</v>
      </c>
      <c r="E255" s="0" t="s">
        <v>35</v>
      </c>
      <c r="F255" s="0" t="s">
        <v>480</v>
      </c>
      <c r="G255" s="0" t="s">
        <v>37</v>
      </c>
      <c r="H255" s="0" t="s">
        <v>617</v>
      </c>
      <c r="J255" s="0" t="s">
        <v>617</v>
      </c>
      <c r="M255" s="0" t="s">
        <v>618</v>
      </c>
      <c r="O255" s="0" t="s">
        <v>619</v>
      </c>
      <c r="P255" s="0" t="n">
        <v>1938</v>
      </c>
      <c r="Q255" s="0" t="s">
        <v>39</v>
      </c>
      <c r="R255" s="0" t="s">
        <v>620</v>
      </c>
      <c r="S255" s="0" t="s">
        <v>621</v>
      </c>
      <c r="T255" s="0" t="n">
        <v>1939</v>
      </c>
      <c r="V255" s="0" t="n">
        <v>1</v>
      </c>
      <c r="W255" s="0" t="n">
        <v>1</v>
      </c>
      <c r="X255" s="0" t="str">
        <f aca="false">"31811010333808"</f>
        <v>31811010333808</v>
      </c>
      <c r="Y255" s="0" t="s">
        <v>39</v>
      </c>
      <c r="Z255" s="0" t="s">
        <v>42</v>
      </c>
      <c r="AA255" s="0" t="s">
        <v>622</v>
      </c>
      <c r="AE255" s="1" t="s">
        <v>52</v>
      </c>
      <c r="AF255" s="1" t="s">
        <v>623</v>
      </c>
      <c r="AH255" s="1" t="s">
        <v>627</v>
      </c>
    </row>
    <row r="256" customFormat="false" ht="12.8" hidden="false" customHeight="false" outlineLevel="0" collapsed="false">
      <c r="A256" s="0" t="n">
        <v>461616</v>
      </c>
      <c r="B256" s="0" t="n">
        <v>493301</v>
      </c>
      <c r="C256" s="0" t="n">
        <v>554080</v>
      </c>
      <c r="D256" s="0" t="s">
        <v>35</v>
      </c>
      <c r="E256" s="0" t="s">
        <v>35</v>
      </c>
      <c r="F256" s="0" t="s">
        <v>480</v>
      </c>
      <c r="G256" s="0" t="s">
        <v>37</v>
      </c>
      <c r="H256" s="0" t="s">
        <v>617</v>
      </c>
      <c r="J256" s="0" t="s">
        <v>617</v>
      </c>
      <c r="M256" s="0" t="s">
        <v>618</v>
      </c>
      <c r="O256" s="0" t="s">
        <v>619</v>
      </c>
      <c r="P256" s="0" t="n">
        <v>1938</v>
      </c>
      <c r="Q256" s="0" t="s">
        <v>39</v>
      </c>
      <c r="R256" s="0" t="s">
        <v>620</v>
      </c>
      <c r="S256" s="0" t="s">
        <v>621</v>
      </c>
      <c r="T256" s="0" t="n">
        <v>1938</v>
      </c>
      <c r="V256" s="0" t="n">
        <v>1</v>
      </c>
      <c r="W256" s="0" t="n">
        <v>1</v>
      </c>
      <c r="X256" s="0" t="str">
        <f aca="false">"31811010333816"</f>
        <v>31811010333816</v>
      </c>
      <c r="Y256" s="0" t="s">
        <v>39</v>
      </c>
      <c r="Z256" s="0" t="s">
        <v>42</v>
      </c>
      <c r="AA256" s="0" t="s">
        <v>622</v>
      </c>
      <c r="AE256" s="1" t="s">
        <v>52</v>
      </c>
      <c r="AF256" s="1" t="s">
        <v>623</v>
      </c>
      <c r="AH256" s="1" t="s">
        <v>627</v>
      </c>
    </row>
    <row r="257" customFormat="false" ht="12.8" hidden="false" customHeight="false" outlineLevel="0" collapsed="false">
      <c r="A257" s="0" t="n">
        <v>461616</v>
      </c>
      <c r="B257" s="0" t="n">
        <v>493301</v>
      </c>
      <c r="C257" s="0" t="n">
        <v>554081</v>
      </c>
      <c r="D257" s="0" t="s">
        <v>35</v>
      </c>
      <c r="E257" s="0" t="s">
        <v>35</v>
      </c>
      <c r="F257" s="0" t="s">
        <v>480</v>
      </c>
      <c r="G257" s="0" t="s">
        <v>37</v>
      </c>
      <c r="H257" s="0" t="s">
        <v>617</v>
      </c>
      <c r="J257" s="0" t="s">
        <v>617</v>
      </c>
      <c r="M257" s="0" t="s">
        <v>618</v>
      </c>
      <c r="O257" s="0" t="s">
        <v>619</v>
      </c>
      <c r="P257" s="0" t="n">
        <v>1938</v>
      </c>
      <c r="Q257" s="0" t="s">
        <v>39</v>
      </c>
      <c r="R257" s="0" t="s">
        <v>620</v>
      </c>
      <c r="S257" s="0" t="s">
        <v>621</v>
      </c>
      <c r="T257" s="0" t="n">
        <v>2002</v>
      </c>
      <c r="V257" s="0" t="n">
        <v>1</v>
      </c>
      <c r="W257" s="0" t="n">
        <v>1</v>
      </c>
      <c r="X257" s="0" t="str">
        <f aca="false">"31811012201144"</f>
        <v>31811012201144</v>
      </c>
      <c r="Y257" s="0" t="s">
        <v>39</v>
      </c>
      <c r="Z257" s="0" t="s">
        <v>42</v>
      </c>
      <c r="AA257" s="0" t="s">
        <v>622</v>
      </c>
      <c r="AE257" s="1" t="s">
        <v>52</v>
      </c>
      <c r="AF257" s="1" t="s">
        <v>623</v>
      </c>
    </row>
    <row r="258" customFormat="false" ht="12.8" hidden="false" customHeight="false" outlineLevel="0" collapsed="false">
      <c r="A258" s="0" t="n">
        <v>350539</v>
      </c>
      <c r="B258" s="0" t="n">
        <v>379772</v>
      </c>
      <c r="C258" s="0" t="n">
        <v>422645</v>
      </c>
      <c r="D258" s="0" t="s">
        <v>35</v>
      </c>
      <c r="E258" s="0" t="s">
        <v>35</v>
      </c>
      <c r="F258" s="0" t="s">
        <v>36</v>
      </c>
      <c r="G258" s="0" t="s">
        <v>37</v>
      </c>
      <c r="H258" s="0" t="s">
        <v>628</v>
      </c>
      <c r="I258" s="0" t="s">
        <v>619</v>
      </c>
      <c r="J258" s="0" t="s">
        <v>629</v>
      </c>
      <c r="K258" s="0" t="s">
        <v>630</v>
      </c>
      <c r="M258" s="0" t="s">
        <v>631</v>
      </c>
      <c r="N258" s="0" t="n">
        <v>1904</v>
      </c>
      <c r="O258" s="0" t="s">
        <v>632</v>
      </c>
      <c r="P258" s="0" t="n">
        <v>1904</v>
      </c>
      <c r="Q258" s="0" t="s">
        <v>39</v>
      </c>
      <c r="R258" s="0" t="s">
        <v>633</v>
      </c>
      <c r="S258" s="0" t="s">
        <v>634</v>
      </c>
      <c r="T258" s="0" t="s">
        <v>51</v>
      </c>
      <c r="V258" s="0" t="n">
        <v>1</v>
      </c>
      <c r="W258" s="0" t="n">
        <v>1</v>
      </c>
      <c r="X258" s="0" t="str">
        <f aca="false">"31811010334657"</f>
        <v>31811010334657</v>
      </c>
      <c r="Y258" s="0" t="s">
        <v>39</v>
      </c>
      <c r="Z258" s="0" t="s">
        <v>42</v>
      </c>
      <c r="AA258" s="0" t="s">
        <v>43</v>
      </c>
      <c r="AE258" s="1" t="s">
        <v>52</v>
      </c>
    </row>
    <row r="259" customFormat="false" ht="12.8" hidden="false" customHeight="false" outlineLevel="0" collapsed="false">
      <c r="A259" s="0" t="n">
        <v>350539</v>
      </c>
      <c r="B259" s="0" t="n">
        <v>379772</v>
      </c>
      <c r="C259" s="0" t="n">
        <v>422646</v>
      </c>
      <c r="D259" s="0" t="s">
        <v>35</v>
      </c>
      <c r="E259" s="0" t="s">
        <v>35</v>
      </c>
      <c r="F259" s="0" t="s">
        <v>36</v>
      </c>
      <c r="G259" s="0" t="s">
        <v>37</v>
      </c>
      <c r="H259" s="0" t="s">
        <v>628</v>
      </c>
      <c r="I259" s="0" t="s">
        <v>619</v>
      </c>
      <c r="J259" s="0" t="s">
        <v>629</v>
      </c>
      <c r="K259" s="0" t="s">
        <v>630</v>
      </c>
      <c r="M259" s="0" t="s">
        <v>631</v>
      </c>
      <c r="N259" s="0" t="n">
        <v>1904</v>
      </c>
      <c r="O259" s="0" t="s">
        <v>632</v>
      </c>
      <c r="P259" s="0" t="n">
        <v>1904</v>
      </c>
      <c r="Q259" s="0" t="s">
        <v>39</v>
      </c>
      <c r="R259" s="0" t="s">
        <v>633</v>
      </c>
      <c r="S259" s="0" t="s">
        <v>634</v>
      </c>
      <c r="T259" s="0" t="s">
        <v>53</v>
      </c>
      <c r="V259" s="0" t="n">
        <v>1</v>
      </c>
      <c r="W259" s="0" t="n">
        <v>1</v>
      </c>
      <c r="X259" s="0" t="str">
        <f aca="false">"31811010334616"</f>
        <v>31811010334616</v>
      </c>
      <c r="Y259" s="0" t="s">
        <v>39</v>
      </c>
      <c r="Z259" s="0" t="s">
        <v>42</v>
      </c>
      <c r="AA259" s="0" t="s">
        <v>43</v>
      </c>
      <c r="AE259" s="1" t="s">
        <v>52</v>
      </c>
    </row>
    <row r="260" customFormat="false" ht="12.8" hidden="false" customHeight="false" outlineLevel="0" collapsed="false">
      <c r="A260" s="0" t="n">
        <v>350539</v>
      </c>
      <c r="B260" s="0" t="n">
        <v>379772</v>
      </c>
      <c r="C260" s="0" t="n">
        <v>422647</v>
      </c>
      <c r="D260" s="0" t="s">
        <v>35</v>
      </c>
      <c r="E260" s="0" t="s">
        <v>35</v>
      </c>
      <c r="F260" s="0" t="s">
        <v>36</v>
      </c>
      <c r="G260" s="0" t="s">
        <v>37</v>
      </c>
      <c r="H260" s="0" t="s">
        <v>628</v>
      </c>
      <c r="I260" s="0" t="s">
        <v>619</v>
      </c>
      <c r="J260" s="0" t="s">
        <v>629</v>
      </c>
      <c r="K260" s="0" t="s">
        <v>630</v>
      </c>
      <c r="M260" s="0" t="s">
        <v>631</v>
      </c>
      <c r="N260" s="0" t="n">
        <v>1904</v>
      </c>
      <c r="O260" s="0" t="s">
        <v>632</v>
      </c>
      <c r="P260" s="0" t="n">
        <v>1904</v>
      </c>
      <c r="Q260" s="0" t="s">
        <v>39</v>
      </c>
      <c r="R260" s="0" t="s">
        <v>633</v>
      </c>
      <c r="S260" s="0" t="s">
        <v>634</v>
      </c>
      <c r="T260" s="0" t="s">
        <v>243</v>
      </c>
      <c r="V260" s="0" t="n">
        <v>1</v>
      </c>
      <c r="W260" s="0" t="n">
        <v>1</v>
      </c>
      <c r="X260" s="0" t="str">
        <f aca="false">"31811010334574"</f>
        <v>31811010334574</v>
      </c>
      <c r="Y260" s="0" t="s">
        <v>39</v>
      </c>
      <c r="Z260" s="0" t="s">
        <v>42</v>
      </c>
      <c r="AA260" s="0" t="s">
        <v>43</v>
      </c>
      <c r="AE260" s="1" t="s">
        <v>52</v>
      </c>
    </row>
    <row r="261" customFormat="false" ht="12.8" hidden="false" customHeight="false" outlineLevel="0" collapsed="false">
      <c r="A261" s="0" t="n">
        <v>350539</v>
      </c>
      <c r="B261" s="0" t="n">
        <v>379772</v>
      </c>
      <c r="C261" s="0" t="n">
        <v>422648</v>
      </c>
      <c r="D261" s="0" t="s">
        <v>35</v>
      </c>
      <c r="E261" s="0" t="s">
        <v>35</v>
      </c>
      <c r="F261" s="0" t="s">
        <v>36</v>
      </c>
      <c r="G261" s="0" t="s">
        <v>37</v>
      </c>
      <c r="H261" s="0" t="s">
        <v>628</v>
      </c>
      <c r="I261" s="0" t="s">
        <v>619</v>
      </c>
      <c r="J261" s="0" t="s">
        <v>629</v>
      </c>
      <c r="K261" s="0" t="s">
        <v>630</v>
      </c>
      <c r="M261" s="0" t="s">
        <v>631</v>
      </c>
      <c r="N261" s="0" t="n">
        <v>1904</v>
      </c>
      <c r="O261" s="0" t="s">
        <v>632</v>
      </c>
      <c r="P261" s="0" t="n">
        <v>1904</v>
      </c>
      <c r="Q261" s="0" t="s">
        <v>39</v>
      </c>
      <c r="R261" s="0" t="s">
        <v>633</v>
      </c>
      <c r="S261" s="0" t="s">
        <v>634</v>
      </c>
      <c r="T261" s="0" t="s">
        <v>54</v>
      </c>
      <c r="V261" s="0" t="n">
        <v>1</v>
      </c>
      <c r="W261" s="0" t="n">
        <v>1</v>
      </c>
      <c r="X261" s="0" t="str">
        <f aca="false">"31811010334566"</f>
        <v>31811010334566</v>
      </c>
      <c r="Y261" s="0" t="s">
        <v>39</v>
      </c>
      <c r="Z261" s="0" t="s">
        <v>42</v>
      </c>
      <c r="AA261" s="0" t="s">
        <v>43</v>
      </c>
      <c r="AE261" s="1" t="s">
        <v>52</v>
      </c>
    </row>
    <row r="262" customFormat="false" ht="12.8" hidden="false" customHeight="false" outlineLevel="0" collapsed="false">
      <c r="A262" s="0" t="n">
        <v>350539</v>
      </c>
      <c r="B262" s="0" t="n">
        <v>379772</v>
      </c>
      <c r="C262" s="0" t="n">
        <v>422649</v>
      </c>
      <c r="D262" s="0" t="s">
        <v>35</v>
      </c>
      <c r="E262" s="0" t="s">
        <v>35</v>
      </c>
      <c r="F262" s="0" t="s">
        <v>36</v>
      </c>
      <c r="G262" s="0" t="s">
        <v>37</v>
      </c>
      <c r="H262" s="0" t="s">
        <v>628</v>
      </c>
      <c r="I262" s="0" t="s">
        <v>619</v>
      </c>
      <c r="J262" s="0" t="s">
        <v>629</v>
      </c>
      <c r="K262" s="0" t="s">
        <v>630</v>
      </c>
      <c r="M262" s="0" t="s">
        <v>631</v>
      </c>
      <c r="N262" s="0" t="n">
        <v>1904</v>
      </c>
      <c r="O262" s="0" t="s">
        <v>632</v>
      </c>
      <c r="P262" s="0" t="n">
        <v>1904</v>
      </c>
      <c r="Q262" s="0" t="s">
        <v>39</v>
      </c>
      <c r="R262" s="0" t="s">
        <v>633</v>
      </c>
      <c r="S262" s="0" t="s">
        <v>634</v>
      </c>
      <c r="T262" s="0" t="s">
        <v>510</v>
      </c>
      <c r="V262" s="0" t="n">
        <v>1</v>
      </c>
      <c r="W262" s="0" t="n">
        <v>1</v>
      </c>
      <c r="X262" s="0" t="str">
        <f aca="false">"31811010334525"</f>
        <v>31811010334525</v>
      </c>
      <c r="Y262" s="0" t="s">
        <v>39</v>
      </c>
      <c r="Z262" s="0" t="s">
        <v>42</v>
      </c>
      <c r="AA262" s="0" t="s">
        <v>43</v>
      </c>
      <c r="AE262" s="1" t="s">
        <v>52</v>
      </c>
    </row>
    <row r="263" customFormat="false" ht="12.8" hidden="false" customHeight="false" outlineLevel="0" collapsed="false">
      <c r="A263" s="0" t="n">
        <v>350539</v>
      </c>
      <c r="B263" s="0" t="n">
        <v>379772</v>
      </c>
      <c r="C263" s="0" t="n">
        <v>422650</v>
      </c>
      <c r="D263" s="0" t="s">
        <v>35</v>
      </c>
      <c r="E263" s="0" t="s">
        <v>35</v>
      </c>
      <c r="F263" s="0" t="s">
        <v>36</v>
      </c>
      <c r="G263" s="0" t="s">
        <v>37</v>
      </c>
      <c r="H263" s="0" t="s">
        <v>628</v>
      </c>
      <c r="I263" s="0" t="s">
        <v>619</v>
      </c>
      <c r="J263" s="0" t="s">
        <v>629</v>
      </c>
      <c r="K263" s="0" t="s">
        <v>630</v>
      </c>
      <c r="M263" s="0" t="s">
        <v>631</v>
      </c>
      <c r="N263" s="0" t="n">
        <v>1904</v>
      </c>
      <c r="O263" s="0" t="s">
        <v>632</v>
      </c>
      <c r="P263" s="0" t="n">
        <v>1904</v>
      </c>
      <c r="Q263" s="0" t="s">
        <v>39</v>
      </c>
      <c r="R263" s="0" t="s">
        <v>633</v>
      </c>
      <c r="S263" s="0" t="s">
        <v>634</v>
      </c>
      <c r="T263" s="0" t="s">
        <v>55</v>
      </c>
      <c r="V263" s="0" t="n">
        <v>1</v>
      </c>
      <c r="W263" s="0" t="n">
        <v>1</v>
      </c>
      <c r="X263" s="0" t="str">
        <f aca="false">"31811010334483"</f>
        <v>31811010334483</v>
      </c>
      <c r="Y263" s="0" t="s">
        <v>39</v>
      </c>
      <c r="Z263" s="0" t="s">
        <v>42</v>
      </c>
      <c r="AA263" s="0" t="s">
        <v>43</v>
      </c>
      <c r="AE263" s="1" t="s">
        <v>52</v>
      </c>
    </row>
    <row r="264" customFormat="false" ht="12.8" hidden="false" customHeight="false" outlineLevel="0" collapsed="false">
      <c r="A264" s="0" t="n">
        <v>350539</v>
      </c>
      <c r="B264" s="0" t="n">
        <v>379772</v>
      </c>
      <c r="C264" s="0" t="n">
        <v>422651</v>
      </c>
      <c r="D264" s="0" t="s">
        <v>35</v>
      </c>
      <c r="E264" s="0" t="s">
        <v>35</v>
      </c>
      <c r="F264" s="0" t="s">
        <v>36</v>
      </c>
      <c r="G264" s="0" t="s">
        <v>37</v>
      </c>
      <c r="H264" s="0" t="s">
        <v>628</v>
      </c>
      <c r="I264" s="0" t="s">
        <v>619</v>
      </c>
      <c r="J264" s="0" t="s">
        <v>629</v>
      </c>
      <c r="K264" s="0" t="s">
        <v>630</v>
      </c>
      <c r="M264" s="0" t="s">
        <v>631</v>
      </c>
      <c r="N264" s="0" t="n">
        <v>1904</v>
      </c>
      <c r="O264" s="0" t="s">
        <v>632</v>
      </c>
      <c r="P264" s="0" t="n">
        <v>1904</v>
      </c>
      <c r="Q264" s="0" t="s">
        <v>39</v>
      </c>
      <c r="R264" s="0" t="s">
        <v>633</v>
      </c>
      <c r="S264" s="0" t="s">
        <v>634</v>
      </c>
      <c r="T264" s="0" t="s">
        <v>511</v>
      </c>
      <c r="V264" s="0" t="n">
        <v>1</v>
      </c>
      <c r="W264" s="0" t="n">
        <v>1</v>
      </c>
      <c r="X264" s="0" t="str">
        <f aca="false">"31811010334442"</f>
        <v>31811010334442</v>
      </c>
      <c r="Y264" s="0" t="s">
        <v>39</v>
      </c>
      <c r="Z264" s="0" t="s">
        <v>42</v>
      </c>
      <c r="AA264" s="0" t="s">
        <v>43</v>
      </c>
      <c r="AE264" s="1" t="s">
        <v>52</v>
      </c>
    </row>
    <row r="265" customFormat="false" ht="12.8" hidden="false" customHeight="false" outlineLevel="0" collapsed="false">
      <c r="A265" s="0" t="n">
        <v>350539</v>
      </c>
      <c r="B265" s="0" t="n">
        <v>379772</v>
      </c>
      <c r="C265" s="0" t="n">
        <v>422652</v>
      </c>
      <c r="D265" s="0" t="s">
        <v>35</v>
      </c>
      <c r="E265" s="0" t="s">
        <v>35</v>
      </c>
      <c r="F265" s="0" t="s">
        <v>36</v>
      </c>
      <c r="G265" s="0" t="s">
        <v>37</v>
      </c>
      <c r="H265" s="0" t="s">
        <v>628</v>
      </c>
      <c r="I265" s="0" t="s">
        <v>619</v>
      </c>
      <c r="J265" s="0" t="s">
        <v>629</v>
      </c>
      <c r="K265" s="0" t="s">
        <v>630</v>
      </c>
      <c r="M265" s="0" t="s">
        <v>631</v>
      </c>
      <c r="N265" s="0" t="n">
        <v>1904</v>
      </c>
      <c r="O265" s="0" t="s">
        <v>632</v>
      </c>
      <c r="P265" s="0" t="n">
        <v>1904</v>
      </c>
      <c r="Q265" s="0" t="s">
        <v>39</v>
      </c>
      <c r="R265" s="0" t="s">
        <v>633</v>
      </c>
      <c r="S265" s="0" t="s">
        <v>634</v>
      </c>
      <c r="T265" s="0" t="s">
        <v>56</v>
      </c>
      <c r="V265" s="0" t="n">
        <v>1</v>
      </c>
      <c r="W265" s="0" t="n">
        <v>1</v>
      </c>
      <c r="X265" s="0" t="str">
        <f aca="false">"31811010334434"</f>
        <v>31811010334434</v>
      </c>
      <c r="Y265" s="0" t="s">
        <v>39</v>
      </c>
      <c r="Z265" s="0" t="s">
        <v>42</v>
      </c>
      <c r="AA265" s="0" t="s">
        <v>43</v>
      </c>
      <c r="AE265" s="1" t="s">
        <v>52</v>
      </c>
    </row>
    <row r="266" customFormat="false" ht="12.8" hidden="false" customHeight="false" outlineLevel="0" collapsed="false">
      <c r="A266" s="0" t="n">
        <v>350539</v>
      </c>
      <c r="B266" s="0" t="n">
        <v>379772</v>
      </c>
      <c r="C266" s="0" t="n">
        <v>422653</v>
      </c>
      <c r="D266" s="0" t="s">
        <v>35</v>
      </c>
      <c r="E266" s="0" t="s">
        <v>35</v>
      </c>
      <c r="F266" s="0" t="s">
        <v>36</v>
      </c>
      <c r="G266" s="0" t="s">
        <v>37</v>
      </c>
      <c r="H266" s="0" t="s">
        <v>628</v>
      </c>
      <c r="I266" s="0" t="s">
        <v>619</v>
      </c>
      <c r="J266" s="0" t="s">
        <v>629</v>
      </c>
      <c r="K266" s="0" t="s">
        <v>630</v>
      </c>
      <c r="M266" s="0" t="s">
        <v>631</v>
      </c>
      <c r="N266" s="0" t="n">
        <v>1904</v>
      </c>
      <c r="O266" s="0" t="s">
        <v>632</v>
      </c>
      <c r="P266" s="0" t="n">
        <v>1904</v>
      </c>
      <c r="Q266" s="0" t="s">
        <v>39</v>
      </c>
      <c r="R266" s="0" t="s">
        <v>633</v>
      </c>
      <c r="S266" s="0" t="s">
        <v>634</v>
      </c>
      <c r="T266" s="0" t="s">
        <v>57</v>
      </c>
      <c r="V266" s="0" t="n">
        <v>1</v>
      </c>
      <c r="W266" s="0" t="n">
        <v>1</v>
      </c>
      <c r="X266" s="0" t="str">
        <f aca="false">"31811010334475"</f>
        <v>31811010334475</v>
      </c>
      <c r="Y266" s="0" t="s">
        <v>39</v>
      </c>
      <c r="Z266" s="0" t="s">
        <v>42</v>
      </c>
      <c r="AA266" s="0" t="s">
        <v>43</v>
      </c>
      <c r="AE266" s="1" t="s">
        <v>52</v>
      </c>
    </row>
    <row r="267" customFormat="false" ht="12.8" hidden="false" customHeight="false" outlineLevel="0" collapsed="false">
      <c r="A267" s="0" t="n">
        <v>350539</v>
      </c>
      <c r="B267" s="0" t="n">
        <v>379772</v>
      </c>
      <c r="C267" s="0" t="n">
        <v>422654</v>
      </c>
      <c r="D267" s="0" t="s">
        <v>35</v>
      </c>
      <c r="E267" s="0" t="s">
        <v>35</v>
      </c>
      <c r="F267" s="0" t="s">
        <v>36</v>
      </c>
      <c r="G267" s="0" t="s">
        <v>37</v>
      </c>
      <c r="H267" s="0" t="s">
        <v>628</v>
      </c>
      <c r="I267" s="0" t="s">
        <v>619</v>
      </c>
      <c r="J267" s="0" t="s">
        <v>629</v>
      </c>
      <c r="K267" s="0" t="s">
        <v>630</v>
      </c>
      <c r="M267" s="0" t="s">
        <v>631</v>
      </c>
      <c r="N267" s="0" t="n">
        <v>1904</v>
      </c>
      <c r="O267" s="0" t="s">
        <v>632</v>
      </c>
      <c r="P267" s="0" t="n">
        <v>1904</v>
      </c>
      <c r="Q267" s="0" t="s">
        <v>39</v>
      </c>
      <c r="R267" s="0" t="s">
        <v>633</v>
      </c>
      <c r="S267" s="0" t="s">
        <v>634</v>
      </c>
      <c r="T267" s="0" t="s">
        <v>58</v>
      </c>
      <c r="V267" s="0" t="n">
        <v>1</v>
      </c>
      <c r="W267" s="0" t="n">
        <v>1</v>
      </c>
      <c r="X267" s="0" t="str">
        <f aca="false">"31811010334517"</f>
        <v>31811010334517</v>
      </c>
      <c r="Y267" s="0" t="s">
        <v>39</v>
      </c>
      <c r="Z267" s="0" t="s">
        <v>42</v>
      </c>
      <c r="AA267" s="0" t="s">
        <v>43</v>
      </c>
      <c r="AE267" s="1" t="s">
        <v>52</v>
      </c>
    </row>
    <row r="268" customFormat="false" ht="12.8" hidden="false" customHeight="false" outlineLevel="0" collapsed="false">
      <c r="A268" s="0" t="n">
        <v>389111</v>
      </c>
      <c r="B268" s="0" t="n">
        <v>420739</v>
      </c>
      <c r="C268" s="0" t="n">
        <v>469565</v>
      </c>
      <c r="D268" s="0" t="s">
        <v>35</v>
      </c>
      <c r="E268" s="0" t="s">
        <v>35</v>
      </c>
      <c r="F268" s="0" t="s">
        <v>36</v>
      </c>
      <c r="G268" s="0" t="s">
        <v>412</v>
      </c>
      <c r="H268" s="0" t="s">
        <v>635</v>
      </c>
      <c r="J268" s="0" t="s">
        <v>635</v>
      </c>
      <c r="M268" s="0" t="s">
        <v>636</v>
      </c>
      <c r="N268" s="0" t="n">
        <v>1839</v>
      </c>
      <c r="P268" s="0" t="n">
        <v>1839</v>
      </c>
      <c r="Q268" s="0" t="s">
        <v>39</v>
      </c>
      <c r="R268" s="0" t="s">
        <v>637</v>
      </c>
      <c r="S268" s="0" t="s">
        <v>638</v>
      </c>
      <c r="T268" s="0" t="s">
        <v>51</v>
      </c>
      <c r="V268" s="0" t="n">
        <v>1</v>
      </c>
      <c r="W268" s="0" t="n">
        <v>1</v>
      </c>
      <c r="X268" s="0" t="str">
        <f aca="false">"31811010334509"</f>
        <v>31811010334509</v>
      </c>
      <c r="Y268" s="0" t="s">
        <v>39</v>
      </c>
      <c r="Z268" s="0" t="s">
        <v>42</v>
      </c>
      <c r="AA268" s="0" t="s">
        <v>43</v>
      </c>
      <c r="AE268" s="1" t="s">
        <v>52</v>
      </c>
    </row>
    <row r="269" customFormat="false" ht="12.8" hidden="false" customHeight="false" outlineLevel="0" collapsed="false">
      <c r="A269" s="0" t="n">
        <v>389111</v>
      </c>
      <c r="B269" s="0" t="n">
        <v>420739</v>
      </c>
      <c r="C269" s="0" t="n">
        <v>469566</v>
      </c>
      <c r="D269" s="0" t="s">
        <v>35</v>
      </c>
      <c r="E269" s="0" t="s">
        <v>35</v>
      </c>
      <c r="F269" s="0" t="s">
        <v>36</v>
      </c>
      <c r="G269" s="0" t="s">
        <v>412</v>
      </c>
      <c r="H269" s="0" t="s">
        <v>635</v>
      </c>
      <c r="J269" s="0" t="s">
        <v>635</v>
      </c>
      <c r="M269" s="0" t="s">
        <v>636</v>
      </c>
      <c r="N269" s="0" t="n">
        <v>1839</v>
      </c>
      <c r="P269" s="0" t="n">
        <v>1839</v>
      </c>
      <c r="Q269" s="0" t="s">
        <v>39</v>
      </c>
      <c r="R269" s="0" t="s">
        <v>637</v>
      </c>
      <c r="S269" s="0" t="s">
        <v>638</v>
      </c>
      <c r="T269" s="0" t="s">
        <v>53</v>
      </c>
      <c r="V269" s="0" t="n">
        <v>1</v>
      </c>
      <c r="W269" s="0" t="n">
        <v>1</v>
      </c>
      <c r="X269" s="0" t="str">
        <f aca="false">"31811010334467"</f>
        <v>31811010334467</v>
      </c>
      <c r="Y269" s="0" t="s">
        <v>39</v>
      </c>
      <c r="Z269" s="0" t="s">
        <v>42</v>
      </c>
      <c r="AA269" s="0" t="s">
        <v>43</v>
      </c>
      <c r="AE269" s="1" t="s">
        <v>52</v>
      </c>
    </row>
    <row r="270" customFormat="false" ht="12.8" hidden="false" customHeight="false" outlineLevel="0" collapsed="false">
      <c r="A270" s="0" t="n">
        <v>389111</v>
      </c>
      <c r="B270" s="0" t="n">
        <v>420739</v>
      </c>
      <c r="C270" s="0" t="n">
        <v>469567</v>
      </c>
      <c r="D270" s="0" t="s">
        <v>35</v>
      </c>
      <c r="E270" s="0" t="s">
        <v>35</v>
      </c>
      <c r="F270" s="0" t="s">
        <v>36</v>
      </c>
      <c r="G270" s="0" t="s">
        <v>412</v>
      </c>
      <c r="H270" s="0" t="s">
        <v>635</v>
      </c>
      <c r="J270" s="0" t="s">
        <v>635</v>
      </c>
      <c r="M270" s="0" t="s">
        <v>636</v>
      </c>
      <c r="N270" s="0" t="n">
        <v>1839</v>
      </c>
      <c r="P270" s="0" t="n">
        <v>1839</v>
      </c>
      <c r="Q270" s="0" t="s">
        <v>39</v>
      </c>
      <c r="R270" s="0" t="s">
        <v>637</v>
      </c>
      <c r="S270" s="0" t="s">
        <v>638</v>
      </c>
      <c r="T270" s="0" t="s">
        <v>243</v>
      </c>
      <c r="V270" s="0" t="n">
        <v>1</v>
      </c>
      <c r="W270" s="0" t="n">
        <v>1</v>
      </c>
      <c r="X270" s="0" t="str">
        <f aca="false">"31811010334426"</f>
        <v>31811010334426</v>
      </c>
      <c r="Y270" s="0" t="s">
        <v>39</v>
      </c>
      <c r="Z270" s="0" t="s">
        <v>42</v>
      </c>
      <c r="AA270" s="0" t="s">
        <v>43</v>
      </c>
      <c r="AE270" s="1" t="s">
        <v>52</v>
      </c>
    </row>
    <row r="271" customFormat="false" ht="12.8" hidden="false" customHeight="false" outlineLevel="0" collapsed="false">
      <c r="A271" s="0" t="n">
        <v>389111</v>
      </c>
      <c r="B271" s="0" t="n">
        <v>420739</v>
      </c>
      <c r="C271" s="0" t="n">
        <v>469568</v>
      </c>
      <c r="D271" s="0" t="s">
        <v>35</v>
      </c>
      <c r="E271" s="0" t="s">
        <v>35</v>
      </c>
      <c r="F271" s="0" t="s">
        <v>36</v>
      </c>
      <c r="G271" s="0" t="s">
        <v>412</v>
      </c>
      <c r="H271" s="0" t="s">
        <v>635</v>
      </c>
      <c r="J271" s="0" t="s">
        <v>635</v>
      </c>
      <c r="M271" s="0" t="s">
        <v>636</v>
      </c>
      <c r="N271" s="0" t="n">
        <v>1839</v>
      </c>
      <c r="P271" s="0" t="n">
        <v>1839</v>
      </c>
      <c r="Q271" s="0" t="s">
        <v>39</v>
      </c>
      <c r="R271" s="0" t="s">
        <v>637</v>
      </c>
      <c r="S271" s="0" t="s">
        <v>638</v>
      </c>
      <c r="T271" s="0" t="s">
        <v>54</v>
      </c>
      <c r="V271" s="0" t="n">
        <v>1</v>
      </c>
      <c r="W271" s="0" t="n">
        <v>1</v>
      </c>
      <c r="X271" s="0" t="str">
        <f aca="false">"31811010334533"</f>
        <v>31811010334533</v>
      </c>
      <c r="Y271" s="0" t="s">
        <v>39</v>
      </c>
      <c r="Z271" s="0" t="s">
        <v>42</v>
      </c>
      <c r="AA271" s="0" t="s">
        <v>43</v>
      </c>
      <c r="AE271" s="1" t="s">
        <v>52</v>
      </c>
    </row>
    <row r="272" customFormat="false" ht="12.8" hidden="false" customHeight="false" outlineLevel="0" collapsed="false">
      <c r="A272" s="0" t="n">
        <v>389111</v>
      </c>
      <c r="B272" s="0" t="n">
        <v>420739</v>
      </c>
      <c r="C272" s="0" t="n">
        <v>469569</v>
      </c>
      <c r="D272" s="0" t="s">
        <v>35</v>
      </c>
      <c r="E272" s="0" t="s">
        <v>35</v>
      </c>
      <c r="F272" s="0" t="s">
        <v>36</v>
      </c>
      <c r="G272" s="0" t="s">
        <v>412</v>
      </c>
      <c r="H272" s="0" t="s">
        <v>635</v>
      </c>
      <c r="J272" s="0" t="s">
        <v>635</v>
      </c>
      <c r="M272" s="0" t="s">
        <v>636</v>
      </c>
      <c r="N272" s="0" t="n">
        <v>1839</v>
      </c>
      <c r="P272" s="0" t="n">
        <v>1839</v>
      </c>
      <c r="Q272" s="0" t="s">
        <v>39</v>
      </c>
      <c r="R272" s="0" t="s">
        <v>637</v>
      </c>
      <c r="S272" s="0" t="s">
        <v>638</v>
      </c>
      <c r="T272" s="0" t="s">
        <v>510</v>
      </c>
      <c r="V272" s="0" t="n">
        <v>1</v>
      </c>
      <c r="W272" s="0" t="n">
        <v>1</v>
      </c>
      <c r="X272" s="0" t="str">
        <f aca="false">"31811010334491"</f>
        <v>31811010334491</v>
      </c>
      <c r="Y272" s="0" t="s">
        <v>39</v>
      </c>
      <c r="Z272" s="0" t="s">
        <v>42</v>
      </c>
      <c r="AA272" s="0" t="s">
        <v>43</v>
      </c>
      <c r="AE272" s="1" t="s">
        <v>52</v>
      </c>
    </row>
    <row r="273" customFormat="false" ht="12.8" hidden="false" customHeight="false" outlineLevel="0" collapsed="false">
      <c r="A273" s="0" t="n">
        <v>389111</v>
      </c>
      <c r="B273" s="0" t="n">
        <v>420739</v>
      </c>
      <c r="C273" s="0" t="n">
        <v>469570</v>
      </c>
      <c r="D273" s="0" t="s">
        <v>35</v>
      </c>
      <c r="E273" s="0" t="s">
        <v>35</v>
      </c>
      <c r="F273" s="0" t="s">
        <v>36</v>
      </c>
      <c r="G273" s="0" t="s">
        <v>412</v>
      </c>
      <c r="H273" s="0" t="s">
        <v>635</v>
      </c>
      <c r="J273" s="0" t="s">
        <v>635</v>
      </c>
      <c r="M273" s="0" t="s">
        <v>636</v>
      </c>
      <c r="N273" s="0" t="n">
        <v>1839</v>
      </c>
      <c r="P273" s="0" t="n">
        <v>1839</v>
      </c>
      <c r="Q273" s="0" t="s">
        <v>39</v>
      </c>
      <c r="R273" s="0" t="s">
        <v>637</v>
      </c>
      <c r="S273" s="0" t="s">
        <v>638</v>
      </c>
      <c r="T273" s="0" t="s">
        <v>55</v>
      </c>
      <c r="V273" s="0" t="n">
        <v>1</v>
      </c>
      <c r="W273" s="0" t="n">
        <v>1</v>
      </c>
      <c r="X273" s="0" t="str">
        <f aca="false">"31811010334822"</f>
        <v>31811010334822</v>
      </c>
      <c r="Y273" s="0" t="s">
        <v>39</v>
      </c>
      <c r="Z273" s="0" t="s">
        <v>42</v>
      </c>
      <c r="AA273" s="0" t="s">
        <v>43</v>
      </c>
      <c r="AE273" s="1" t="s">
        <v>52</v>
      </c>
    </row>
    <row r="274" customFormat="false" ht="12.8" hidden="false" customHeight="false" outlineLevel="0" collapsed="false">
      <c r="A274" s="0" t="n">
        <v>389111</v>
      </c>
      <c r="B274" s="0" t="n">
        <v>420739</v>
      </c>
      <c r="C274" s="0" t="n">
        <v>469571</v>
      </c>
      <c r="D274" s="0" t="s">
        <v>35</v>
      </c>
      <c r="E274" s="0" t="s">
        <v>35</v>
      </c>
      <c r="F274" s="0" t="s">
        <v>36</v>
      </c>
      <c r="G274" s="0" t="s">
        <v>412</v>
      </c>
      <c r="H274" s="0" t="s">
        <v>635</v>
      </c>
      <c r="J274" s="0" t="s">
        <v>635</v>
      </c>
      <c r="M274" s="0" t="s">
        <v>636</v>
      </c>
      <c r="N274" s="0" t="n">
        <v>1839</v>
      </c>
      <c r="P274" s="0" t="n">
        <v>1839</v>
      </c>
      <c r="Q274" s="0" t="s">
        <v>39</v>
      </c>
      <c r="R274" s="0" t="s">
        <v>637</v>
      </c>
      <c r="S274" s="0" t="s">
        <v>638</v>
      </c>
      <c r="T274" s="0" t="s">
        <v>511</v>
      </c>
      <c r="V274" s="0" t="n">
        <v>1</v>
      </c>
      <c r="W274" s="0" t="n">
        <v>1</v>
      </c>
      <c r="X274" s="0" t="str">
        <f aca="false">"31811003177055"</f>
        <v>31811003177055</v>
      </c>
      <c r="Y274" s="0" t="s">
        <v>39</v>
      </c>
      <c r="Z274" s="0" t="s">
        <v>42</v>
      </c>
      <c r="AA274" s="0" t="s">
        <v>43</v>
      </c>
      <c r="AE274" s="1" t="s">
        <v>52</v>
      </c>
    </row>
    <row r="275" customFormat="false" ht="12.8" hidden="false" customHeight="false" outlineLevel="0" collapsed="false">
      <c r="A275" s="0" t="n">
        <v>389111</v>
      </c>
      <c r="B275" s="0" t="n">
        <v>420739</v>
      </c>
      <c r="C275" s="0" t="n">
        <v>469572</v>
      </c>
      <c r="D275" s="0" t="s">
        <v>35</v>
      </c>
      <c r="E275" s="0" t="s">
        <v>35</v>
      </c>
      <c r="F275" s="0" t="s">
        <v>36</v>
      </c>
      <c r="G275" s="0" t="s">
        <v>412</v>
      </c>
      <c r="H275" s="0" t="s">
        <v>635</v>
      </c>
      <c r="J275" s="0" t="s">
        <v>635</v>
      </c>
      <c r="M275" s="0" t="s">
        <v>636</v>
      </c>
      <c r="N275" s="0" t="n">
        <v>1839</v>
      </c>
      <c r="P275" s="0" t="n">
        <v>1839</v>
      </c>
      <c r="Q275" s="0" t="s">
        <v>39</v>
      </c>
      <c r="R275" s="0" t="s">
        <v>637</v>
      </c>
      <c r="S275" s="0" t="s">
        <v>638</v>
      </c>
      <c r="T275" s="0" t="s">
        <v>56</v>
      </c>
      <c r="V275" s="0" t="n">
        <v>1</v>
      </c>
      <c r="W275" s="0" t="n">
        <v>1</v>
      </c>
      <c r="X275" s="0" t="str">
        <f aca="false">"31811010334863"</f>
        <v>31811010334863</v>
      </c>
      <c r="Y275" s="0" t="s">
        <v>39</v>
      </c>
      <c r="Z275" s="0" t="s">
        <v>42</v>
      </c>
      <c r="AA275" s="0" t="s">
        <v>43</v>
      </c>
      <c r="AE275" s="1" t="s">
        <v>52</v>
      </c>
    </row>
    <row r="276" customFormat="false" ht="12.8" hidden="false" customHeight="false" outlineLevel="0" collapsed="false">
      <c r="A276" s="0" t="n">
        <v>389111</v>
      </c>
      <c r="B276" s="0" t="n">
        <v>420739</v>
      </c>
      <c r="C276" s="0" t="n">
        <v>469573</v>
      </c>
      <c r="D276" s="0" t="s">
        <v>35</v>
      </c>
      <c r="E276" s="0" t="s">
        <v>35</v>
      </c>
      <c r="F276" s="0" t="s">
        <v>36</v>
      </c>
      <c r="G276" s="0" t="s">
        <v>412</v>
      </c>
      <c r="H276" s="0" t="s">
        <v>635</v>
      </c>
      <c r="J276" s="0" t="s">
        <v>635</v>
      </c>
      <c r="M276" s="0" t="s">
        <v>636</v>
      </c>
      <c r="N276" s="0" t="n">
        <v>1839</v>
      </c>
      <c r="P276" s="0" t="n">
        <v>1839</v>
      </c>
      <c r="Q276" s="0" t="s">
        <v>39</v>
      </c>
      <c r="R276" s="0" t="s">
        <v>637</v>
      </c>
      <c r="S276" s="0" t="s">
        <v>638</v>
      </c>
      <c r="T276" s="0" t="s">
        <v>57</v>
      </c>
      <c r="V276" s="0" t="n">
        <v>1</v>
      </c>
      <c r="W276" s="0" t="n">
        <v>1</v>
      </c>
      <c r="X276" s="0" t="str">
        <f aca="false">"31811010334871"</f>
        <v>31811010334871</v>
      </c>
      <c r="Y276" s="0" t="s">
        <v>39</v>
      </c>
      <c r="Z276" s="0" t="s">
        <v>42</v>
      </c>
      <c r="AA276" s="0" t="s">
        <v>43</v>
      </c>
      <c r="AE276" s="1" t="s">
        <v>52</v>
      </c>
    </row>
    <row r="277" customFormat="false" ht="12.8" hidden="false" customHeight="false" outlineLevel="0" collapsed="false">
      <c r="A277" s="0" t="n">
        <v>389111</v>
      </c>
      <c r="B277" s="0" t="n">
        <v>420739</v>
      </c>
      <c r="C277" s="0" t="n">
        <v>469574</v>
      </c>
      <c r="D277" s="0" t="s">
        <v>35</v>
      </c>
      <c r="E277" s="0" t="s">
        <v>35</v>
      </c>
      <c r="F277" s="0" t="s">
        <v>36</v>
      </c>
      <c r="G277" s="0" t="s">
        <v>412</v>
      </c>
      <c r="H277" s="0" t="s">
        <v>635</v>
      </c>
      <c r="J277" s="0" t="s">
        <v>635</v>
      </c>
      <c r="M277" s="0" t="s">
        <v>636</v>
      </c>
      <c r="N277" s="0" t="n">
        <v>1839</v>
      </c>
      <c r="P277" s="0" t="n">
        <v>1839</v>
      </c>
      <c r="Q277" s="0" t="s">
        <v>39</v>
      </c>
      <c r="R277" s="0" t="s">
        <v>637</v>
      </c>
      <c r="S277" s="0" t="s">
        <v>638</v>
      </c>
      <c r="T277" s="0" t="s">
        <v>58</v>
      </c>
      <c r="V277" s="0" t="n">
        <v>1</v>
      </c>
      <c r="W277" s="0" t="n">
        <v>1</v>
      </c>
      <c r="X277" s="0" t="str">
        <f aca="false">"31811003177063"</f>
        <v>31811003177063</v>
      </c>
      <c r="Y277" s="0" t="s">
        <v>39</v>
      </c>
      <c r="Z277" s="0" t="s">
        <v>42</v>
      </c>
      <c r="AA277" s="0" t="s">
        <v>43</v>
      </c>
      <c r="AE277" s="1" t="s">
        <v>52</v>
      </c>
    </row>
    <row r="278" customFormat="false" ht="12.8" hidden="false" customHeight="false" outlineLevel="0" collapsed="false">
      <c r="A278" s="0" t="n">
        <v>389111</v>
      </c>
      <c r="B278" s="0" t="n">
        <v>420739</v>
      </c>
      <c r="C278" s="0" t="n">
        <v>469575</v>
      </c>
      <c r="D278" s="0" t="s">
        <v>35</v>
      </c>
      <c r="E278" s="0" t="s">
        <v>35</v>
      </c>
      <c r="F278" s="0" t="s">
        <v>36</v>
      </c>
      <c r="G278" s="0" t="s">
        <v>412</v>
      </c>
      <c r="H278" s="0" t="s">
        <v>635</v>
      </c>
      <c r="J278" s="0" t="s">
        <v>635</v>
      </c>
      <c r="M278" s="0" t="s">
        <v>636</v>
      </c>
      <c r="N278" s="0" t="n">
        <v>1839</v>
      </c>
      <c r="P278" s="0" t="n">
        <v>1839</v>
      </c>
      <c r="Q278" s="0" t="s">
        <v>39</v>
      </c>
      <c r="R278" s="0" t="s">
        <v>637</v>
      </c>
      <c r="S278" s="0" t="s">
        <v>638</v>
      </c>
      <c r="T278" s="0" t="s">
        <v>60</v>
      </c>
      <c r="V278" s="0" t="n">
        <v>1</v>
      </c>
      <c r="W278" s="0" t="n">
        <v>1</v>
      </c>
      <c r="X278" s="0" t="str">
        <f aca="false">"31811010334830"</f>
        <v>31811010334830</v>
      </c>
      <c r="Y278" s="0" t="s">
        <v>39</v>
      </c>
      <c r="Z278" s="0" t="s">
        <v>42</v>
      </c>
      <c r="AA278" s="0" t="s">
        <v>43</v>
      </c>
      <c r="AE278" s="1" t="s">
        <v>52</v>
      </c>
    </row>
    <row r="279" customFormat="false" ht="12.8" hidden="false" customHeight="false" outlineLevel="0" collapsed="false">
      <c r="A279" s="0" t="n">
        <v>389111</v>
      </c>
      <c r="B279" s="0" t="n">
        <v>420739</v>
      </c>
      <c r="C279" s="0" t="n">
        <v>469576</v>
      </c>
      <c r="D279" s="0" t="s">
        <v>35</v>
      </c>
      <c r="E279" s="0" t="s">
        <v>35</v>
      </c>
      <c r="F279" s="0" t="s">
        <v>36</v>
      </c>
      <c r="G279" s="0" t="s">
        <v>412</v>
      </c>
      <c r="H279" s="0" t="s">
        <v>635</v>
      </c>
      <c r="J279" s="0" t="s">
        <v>635</v>
      </c>
      <c r="M279" s="0" t="s">
        <v>636</v>
      </c>
      <c r="N279" s="0" t="n">
        <v>1839</v>
      </c>
      <c r="P279" s="0" t="n">
        <v>1839</v>
      </c>
      <c r="Q279" s="0" t="s">
        <v>39</v>
      </c>
      <c r="R279" s="0" t="s">
        <v>637</v>
      </c>
      <c r="S279" s="0" t="s">
        <v>638</v>
      </c>
      <c r="T279" s="0" t="s">
        <v>61</v>
      </c>
      <c r="V279" s="0" t="n">
        <v>1</v>
      </c>
      <c r="W279" s="0" t="n">
        <v>1</v>
      </c>
      <c r="X279" s="0" t="str">
        <f aca="false">"31811010334798"</f>
        <v>31811010334798</v>
      </c>
      <c r="Y279" s="0" t="s">
        <v>39</v>
      </c>
      <c r="Z279" s="0" t="s">
        <v>42</v>
      </c>
      <c r="AA279" s="0" t="s">
        <v>43</v>
      </c>
      <c r="AE279" s="1" t="s">
        <v>52</v>
      </c>
    </row>
    <row r="280" customFormat="false" ht="12.8" hidden="false" customHeight="false" outlineLevel="0" collapsed="false">
      <c r="A280" s="0" t="n">
        <v>389111</v>
      </c>
      <c r="B280" s="0" t="n">
        <v>420739</v>
      </c>
      <c r="C280" s="0" t="n">
        <v>469577</v>
      </c>
      <c r="D280" s="0" t="s">
        <v>35</v>
      </c>
      <c r="E280" s="0" t="s">
        <v>35</v>
      </c>
      <c r="F280" s="0" t="s">
        <v>36</v>
      </c>
      <c r="G280" s="0" t="s">
        <v>412</v>
      </c>
      <c r="H280" s="0" t="s">
        <v>635</v>
      </c>
      <c r="J280" s="0" t="s">
        <v>635</v>
      </c>
      <c r="M280" s="0" t="s">
        <v>636</v>
      </c>
      <c r="N280" s="0" t="n">
        <v>1839</v>
      </c>
      <c r="P280" s="0" t="n">
        <v>1839</v>
      </c>
      <c r="Q280" s="0" t="s">
        <v>39</v>
      </c>
      <c r="R280" s="0" t="s">
        <v>637</v>
      </c>
      <c r="S280" s="0" t="s">
        <v>638</v>
      </c>
      <c r="T280" s="0" t="s">
        <v>62</v>
      </c>
      <c r="V280" s="0" t="n">
        <v>1</v>
      </c>
      <c r="W280" s="0" t="n">
        <v>1</v>
      </c>
      <c r="X280" s="0" t="str">
        <f aca="false">"31811010334756"</f>
        <v>31811010334756</v>
      </c>
      <c r="Y280" s="0" t="s">
        <v>39</v>
      </c>
      <c r="Z280" s="0" t="s">
        <v>42</v>
      </c>
      <c r="AA280" s="0" t="s">
        <v>43</v>
      </c>
      <c r="AE280" s="1" t="s">
        <v>52</v>
      </c>
    </row>
    <row r="281" customFormat="false" ht="12.8" hidden="false" customHeight="false" outlineLevel="0" collapsed="false">
      <c r="A281" s="0" t="n">
        <v>389111</v>
      </c>
      <c r="B281" s="0" t="n">
        <v>420739</v>
      </c>
      <c r="C281" s="0" t="n">
        <v>469578</v>
      </c>
      <c r="D281" s="0" t="s">
        <v>35</v>
      </c>
      <c r="E281" s="0" t="s">
        <v>35</v>
      </c>
      <c r="F281" s="0" t="s">
        <v>36</v>
      </c>
      <c r="G281" s="0" t="s">
        <v>412</v>
      </c>
      <c r="H281" s="0" t="s">
        <v>635</v>
      </c>
      <c r="J281" s="0" t="s">
        <v>635</v>
      </c>
      <c r="M281" s="0" t="s">
        <v>636</v>
      </c>
      <c r="N281" s="0" t="n">
        <v>1839</v>
      </c>
      <c r="P281" s="0" t="n">
        <v>1839</v>
      </c>
      <c r="Q281" s="0" t="s">
        <v>39</v>
      </c>
      <c r="R281" s="0" t="s">
        <v>637</v>
      </c>
      <c r="S281" s="0" t="s">
        <v>638</v>
      </c>
      <c r="T281" s="0" t="s">
        <v>539</v>
      </c>
      <c r="V281" s="0" t="n">
        <v>1</v>
      </c>
      <c r="W281" s="0" t="n">
        <v>1</v>
      </c>
      <c r="X281" s="0" t="str">
        <f aca="false">"31811010334889"</f>
        <v>31811010334889</v>
      </c>
      <c r="Y281" s="0" t="s">
        <v>39</v>
      </c>
      <c r="Z281" s="0" t="s">
        <v>42</v>
      </c>
      <c r="AA281" s="0" t="s">
        <v>43</v>
      </c>
      <c r="AE281" s="1" t="s">
        <v>52</v>
      </c>
    </row>
    <row r="282" customFormat="false" ht="12.8" hidden="false" customHeight="false" outlineLevel="0" collapsed="false">
      <c r="A282" s="0" t="n">
        <v>389111</v>
      </c>
      <c r="B282" s="0" t="n">
        <v>420739</v>
      </c>
      <c r="C282" s="0" t="n">
        <v>469579</v>
      </c>
      <c r="D282" s="0" t="s">
        <v>35</v>
      </c>
      <c r="E282" s="0" t="s">
        <v>35</v>
      </c>
      <c r="F282" s="0" t="s">
        <v>36</v>
      </c>
      <c r="G282" s="0" t="s">
        <v>412</v>
      </c>
      <c r="H282" s="0" t="s">
        <v>635</v>
      </c>
      <c r="J282" s="0" t="s">
        <v>635</v>
      </c>
      <c r="M282" s="0" t="s">
        <v>636</v>
      </c>
      <c r="N282" s="0" t="n">
        <v>1839</v>
      </c>
      <c r="P282" s="0" t="n">
        <v>1839</v>
      </c>
      <c r="Q282" s="0" t="s">
        <v>39</v>
      </c>
      <c r="R282" s="0" t="s">
        <v>637</v>
      </c>
      <c r="S282" s="0" t="s">
        <v>638</v>
      </c>
      <c r="T282" s="0" t="s">
        <v>63</v>
      </c>
      <c r="V282" s="0" t="n">
        <v>1</v>
      </c>
      <c r="W282" s="0" t="n">
        <v>1</v>
      </c>
      <c r="X282" s="0" t="str">
        <f aca="false">"31811010334848"</f>
        <v>31811010334848</v>
      </c>
      <c r="Y282" s="0" t="s">
        <v>39</v>
      </c>
      <c r="Z282" s="0" t="s">
        <v>42</v>
      </c>
      <c r="AA282" s="0" t="s">
        <v>43</v>
      </c>
      <c r="AE282" s="1" t="s">
        <v>52</v>
      </c>
    </row>
    <row r="283" customFormat="false" ht="12.8" hidden="false" customHeight="false" outlineLevel="0" collapsed="false">
      <c r="A283" s="0" t="n">
        <v>389111</v>
      </c>
      <c r="B283" s="0" t="n">
        <v>420739</v>
      </c>
      <c r="C283" s="0" t="n">
        <v>469580</v>
      </c>
      <c r="D283" s="0" t="s">
        <v>35</v>
      </c>
      <c r="E283" s="0" t="s">
        <v>35</v>
      </c>
      <c r="F283" s="0" t="s">
        <v>36</v>
      </c>
      <c r="G283" s="0" t="s">
        <v>412</v>
      </c>
      <c r="H283" s="0" t="s">
        <v>635</v>
      </c>
      <c r="J283" s="0" t="s">
        <v>635</v>
      </c>
      <c r="M283" s="0" t="s">
        <v>636</v>
      </c>
      <c r="N283" s="0" t="n">
        <v>1839</v>
      </c>
      <c r="P283" s="0" t="n">
        <v>1839</v>
      </c>
      <c r="Q283" s="0" t="s">
        <v>39</v>
      </c>
      <c r="R283" s="0" t="s">
        <v>637</v>
      </c>
      <c r="S283" s="0" t="s">
        <v>638</v>
      </c>
      <c r="T283" s="0" t="s">
        <v>64</v>
      </c>
      <c r="V283" s="0" t="n">
        <v>1</v>
      </c>
      <c r="W283" s="0" t="n">
        <v>1</v>
      </c>
      <c r="X283" s="0" t="str">
        <f aca="false">"31811003177071"</f>
        <v>31811003177071</v>
      </c>
      <c r="Y283" s="0" t="s">
        <v>39</v>
      </c>
      <c r="Z283" s="0" t="s">
        <v>42</v>
      </c>
      <c r="AA283" s="0" t="s">
        <v>43</v>
      </c>
      <c r="AE283" s="1" t="s">
        <v>52</v>
      </c>
    </row>
    <row r="284" customFormat="false" ht="12.8" hidden="false" customHeight="false" outlineLevel="0" collapsed="false">
      <c r="A284" s="0" t="n">
        <v>389111</v>
      </c>
      <c r="B284" s="0" t="n">
        <v>420739</v>
      </c>
      <c r="C284" s="0" t="n">
        <v>469581</v>
      </c>
      <c r="D284" s="0" t="s">
        <v>35</v>
      </c>
      <c r="E284" s="0" t="s">
        <v>35</v>
      </c>
      <c r="F284" s="0" t="s">
        <v>36</v>
      </c>
      <c r="G284" s="0" t="s">
        <v>412</v>
      </c>
      <c r="H284" s="0" t="s">
        <v>635</v>
      </c>
      <c r="J284" s="0" t="s">
        <v>635</v>
      </c>
      <c r="M284" s="0" t="s">
        <v>636</v>
      </c>
      <c r="N284" s="0" t="n">
        <v>1839</v>
      </c>
      <c r="P284" s="0" t="n">
        <v>1839</v>
      </c>
      <c r="Q284" s="0" t="s">
        <v>39</v>
      </c>
      <c r="R284" s="0" t="s">
        <v>637</v>
      </c>
      <c r="S284" s="0" t="s">
        <v>638</v>
      </c>
      <c r="T284" s="0" t="s">
        <v>65</v>
      </c>
      <c r="V284" s="0" t="n">
        <v>1</v>
      </c>
      <c r="W284" s="0" t="n">
        <v>1</v>
      </c>
      <c r="X284" s="0" t="str">
        <f aca="false">"31811010334806"</f>
        <v>31811010334806</v>
      </c>
      <c r="Y284" s="0" t="s">
        <v>39</v>
      </c>
      <c r="Z284" s="0" t="s">
        <v>42</v>
      </c>
      <c r="AA284" s="0" t="s">
        <v>43</v>
      </c>
      <c r="AE284" s="1" t="s">
        <v>52</v>
      </c>
    </row>
    <row r="285" customFormat="false" ht="12.8" hidden="false" customHeight="false" outlineLevel="0" collapsed="false">
      <c r="A285" s="0" t="n">
        <v>389111</v>
      </c>
      <c r="B285" s="0" t="n">
        <v>420739</v>
      </c>
      <c r="C285" s="0" t="n">
        <v>469582</v>
      </c>
      <c r="D285" s="0" t="s">
        <v>35</v>
      </c>
      <c r="E285" s="0" t="s">
        <v>35</v>
      </c>
      <c r="F285" s="0" t="s">
        <v>36</v>
      </c>
      <c r="G285" s="0" t="s">
        <v>412</v>
      </c>
      <c r="H285" s="0" t="s">
        <v>635</v>
      </c>
      <c r="J285" s="0" t="s">
        <v>635</v>
      </c>
      <c r="M285" s="0" t="s">
        <v>636</v>
      </c>
      <c r="N285" s="0" t="n">
        <v>1839</v>
      </c>
      <c r="P285" s="0" t="n">
        <v>1839</v>
      </c>
      <c r="Q285" s="0" t="s">
        <v>39</v>
      </c>
      <c r="R285" s="0" t="s">
        <v>637</v>
      </c>
      <c r="S285" s="0" t="s">
        <v>638</v>
      </c>
      <c r="T285" s="0" t="s">
        <v>66</v>
      </c>
      <c r="V285" s="0" t="n">
        <v>1</v>
      </c>
      <c r="W285" s="0" t="n">
        <v>1</v>
      </c>
      <c r="X285" s="0" t="str">
        <f aca="false">"31811003177089"</f>
        <v>31811003177089</v>
      </c>
      <c r="Y285" s="0" t="s">
        <v>39</v>
      </c>
      <c r="Z285" s="0" t="s">
        <v>42</v>
      </c>
      <c r="AA285" s="0" t="s">
        <v>43</v>
      </c>
      <c r="AE285" s="1" t="s">
        <v>52</v>
      </c>
    </row>
    <row r="286" customFormat="false" ht="12.8" hidden="false" customHeight="false" outlineLevel="0" collapsed="false">
      <c r="A286" s="0" t="n">
        <v>389111</v>
      </c>
      <c r="B286" s="0" t="n">
        <v>420739</v>
      </c>
      <c r="C286" s="0" t="n">
        <v>469583</v>
      </c>
      <c r="D286" s="0" t="s">
        <v>35</v>
      </c>
      <c r="E286" s="0" t="s">
        <v>35</v>
      </c>
      <c r="F286" s="0" t="s">
        <v>36</v>
      </c>
      <c r="G286" s="0" t="s">
        <v>412</v>
      </c>
      <c r="H286" s="0" t="s">
        <v>635</v>
      </c>
      <c r="J286" s="0" t="s">
        <v>635</v>
      </c>
      <c r="M286" s="0" t="s">
        <v>636</v>
      </c>
      <c r="N286" s="0" t="n">
        <v>1839</v>
      </c>
      <c r="P286" s="0" t="n">
        <v>1839</v>
      </c>
      <c r="Q286" s="0" t="s">
        <v>39</v>
      </c>
      <c r="R286" s="0" t="s">
        <v>637</v>
      </c>
      <c r="S286" s="0" t="s">
        <v>638</v>
      </c>
      <c r="T286" s="0" t="s">
        <v>67</v>
      </c>
      <c r="V286" s="0" t="n">
        <v>1</v>
      </c>
      <c r="W286" s="0" t="n">
        <v>1</v>
      </c>
      <c r="X286" s="0" t="str">
        <f aca="false">"31811010334764"</f>
        <v>31811010334764</v>
      </c>
      <c r="Y286" s="0" t="s">
        <v>39</v>
      </c>
      <c r="Z286" s="0" t="s">
        <v>42</v>
      </c>
      <c r="AA286" s="0" t="s">
        <v>43</v>
      </c>
      <c r="AE286" s="1" t="s">
        <v>52</v>
      </c>
    </row>
    <row r="287" customFormat="false" ht="12.8" hidden="false" customHeight="false" outlineLevel="0" collapsed="false">
      <c r="A287" s="0" t="n">
        <v>389111</v>
      </c>
      <c r="B287" s="0" t="n">
        <v>420739</v>
      </c>
      <c r="C287" s="0" t="n">
        <v>469584</v>
      </c>
      <c r="D287" s="0" t="s">
        <v>35</v>
      </c>
      <c r="E287" s="0" t="s">
        <v>35</v>
      </c>
      <c r="F287" s="0" t="s">
        <v>36</v>
      </c>
      <c r="G287" s="0" t="s">
        <v>412</v>
      </c>
      <c r="H287" s="0" t="s">
        <v>635</v>
      </c>
      <c r="J287" s="0" t="s">
        <v>635</v>
      </c>
      <c r="M287" s="0" t="s">
        <v>636</v>
      </c>
      <c r="N287" s="0" t="n">
        <v>1839</v>
      </c>
      <c r="P287" s="0" t="n">
        <v>1839</v>
      </c>
      <c r="Q287" s="0" t="s">
        <v>39</v>
      </c>
      <c r="R287" s="0" t="s">
        <v>637</v>
      </c>
      <c r="S287" s="0" t="s">
        <v>638</v>
      </c>
      <c r="T287" s="0" t="s">
        <v>68</v>
      </c>
      <c r="V287" s="0" t="n">
        <v>1</v>
      </c>
      <c r="W287" s="0" t="n">
        <v>1</v>
      </c>
      <c r="X287" s="0" t="str">
        <f aca="false">"31811003177097"</f>
        <v>31811003177097</v>
      </c>
      <c r="Y287" s="0" t="s">
        <v>39</v>
      </c>
      <c r="Z287" s="0" t="s">
        <v>42</v>
      </c>
      <c r="AA287" s="0" t="s">
        <v>43</v>
      </c>
      <c r="AE287" s="1" t="s">
        <v>52</v>
      </c>
    </row>
    <row r="288" customFormat="false" ht="12.8" hidden="false" customHeight="false" outlineLevel="0" collapsed="false">
      <c r="A288" s="0" t="n">
        <v>389111</v>
      </c>
      <c r="B288" s="0" t="n">
        <v>420739</v>
      </c>
      <c r="C288" s="0" t="n">
        <v>469585</v>
      </c>
      <c r="D288" s="0" t="s">
        <v>35</v>
      </c>
      <c r="E288" s="0" t="s">
        <v>35</v>
      </c>
      <c r="F288" s="0" t="s">
        <v>36</v>
      </c>
      <c r="G288" s="0" t="s">
        <v>412</v>
      </c>
      <c r="H288" s="0" t="s">
        <v>635</v>
      </c>
      <c r="J288" s="0" t="s">
        <v>635</v>
      </c>
      <c r="M288" s="0" t="s">
        <v>636</v>
      </c>
      <c r="N288" s="0" t="n">
        <v>1839</v>
      </c>
      <c r="P288" s="0" t="n">
        <v>1839</v>
      </c>
      <c r="Q288" s="0" t="s">
        <v>39</v>
      </c>
      <c r="R288" s="0" t="s">
        <v>637</v>
      </c>
      <c r="S288" s="0" t="s">
        <v>638</v>
      </c>
      <c r="T288" s="0" t="s">
        <v>69</v>
      </c>
      <c r="V288" s="0" t="n">
        <v>1</v>
      </c>
      <c r="W288" s="0" t="n">
        <v>1</v>
      </c>
      <c r="X288" s="0" t="str">
        <f aca="false">"31811010334418"</f>
        <v>31811010334418</v>
      </c>
      <c r="Y288" s="0" t="s">
        <v>39</v>
      </c>
      <c r="Z288" s="0" t="s">
        <v>42</v>
      </c>
      <c r="AA288" s="0" t="s">
        <v>43</v>
      </c>
      <c r="AE288" s="1" t="s">
        <v>52</v>
      </c>
    </row>
    <row r="289" customFormat="false" ht="12.8" hidden="false" customHeight="false" outlineLevel="0" collapsed="false">
      <c r="A289" s="0" t="n">
        <v>389111</v>
      </c>
      <c r="B289" s="0" t="n">
        <v>420739</v>
      </c>
      <c r="C289" s="0" t="n">
        <v>469586</v>
      </c>
      <c r="D289" s="0" t="s">
        <v>35</v>
      </c>
      <c r="E289" s="0" t="s">
        <v>35</v>
      </c>
      <c r="F289" s="0" t="s">
        <v>36</v>
      </c>
      <c r="G289" s="0" t="s">
        <v>412</v>
      </c>
      <c r="H289" s="0" t="s">
        <v>635</v>
      </c>
      <c r="J289" s="0" t="s">
        <v>635</v>
      </c>
      <c r="M289" s="0" t="s">
        <v>636</v>
      </c>
      <c r="N289" s="0" t="n">
        <v>1839</v>
      </c>
      <c r="P289" s="0" t="n">
        <v>1839</v>
      </c>
      <c r="Q289" s="0" t="s">
        <v>39</v>
      </c>
      <c r="R289" s="0" t="s">
        <v>637</v>
      </c>
      <c r="S289" s="0" t="s">
        <v>638</v>
      </c>
      <c r="T289" s="0" t="s">
        <v>616</v>
      </c>
      <c r="V289" s="0" t="n">
        <v>1</v>
      </c>
      <c r="W289" s="0" t="n">
        <v>1</v>
      </c>
      <c r="X289" s="0" t="str">
        <f aca="false">"31811010334459"</f>
        <v>31811010334459</v>
      </c>
      <c r="Y289" s="0" t="s">
        <v>39</v>
      </c>
      <c r="Z289" s="0" t="s">
        <v>42</v>
      </c>
      <c r="AA289" s="0" t="s">
        <v>43</v>
      </c>
      <c r="AE289" s="1" t="s">
        <v>52</v>
      </c>
    </row>
    <row r="290" customFormat="false" ht="12.8" hidden="false" customHeight="false" outlineLevel="0" collapsed="false">
      <c r="A290" s="0" t="n">
        <v>392305</v>
      </c>
      <c r="B290" s="0" t="n">
        <v>423957</v>
      </c>
      <c r="C290" s="0" t="n">
        <v>472946</v>
      </c>
      <c r="D290" s="0" t="s">
        <v>35</v>
      </c>
      <c r="E290" s="0" t="s">
        <v>35</v>
      </c>
      <c r="F290" s="0" t="s">
        <v>36</v>
      </c>
      <c r="G290" s="0" t="s">
        <v>412</v>
      </c>
      <c r="H290" s="0" t="s">
        <v>639</v>
      </c>
      <c r="I290" s="0" t="s">
        <v>640</v>
      </c>
      <c r="J290" s="0" t="s">
        <v>639</v>
      </c>
      <c r="M290" s="0" t="s">
        <v>641</v>
      </c>
      <c r="N290" s="0" t="n">
        <v>1882</v>
      </c>
      <c r="P290" s="0" t="n">
        <v>1882</v>
      </c>
      <c r="Q290" s="0" t="s">
        <v>39</v>
      </c>
      <c r="R290" s="0" t="s">
        <v>642</v>
      </c>
      <c r="S290" s="0" t="s">
        <v>643</v>
      </c>
      <c r="V290" s="0" t="n">
        <v>1</v>
      </c>
      <c r="W290" s="0" t="n">
        <v>1</v>
      </c>
      <c r="X290" s="0" t="str">
        <f aca="false">"31811010332909"</f>
        <v>31811010332909</v>
      </c>
      <c r="Y290" s="0" t="s">
        <v>39</v>
      </c>
      <c r="Z290" s="0" t="s">
        <v>42</v>
      </c>
      <c r="AA290" s="0" t="s">
        <v>43</v>
      </c>
      <c r="AE290" s="1" t="s">
        <v>52</v>
      </c>
    </row>
    <row r="291" customFormat="false" ht="12.8" hidden="false" customHeight="false" outlineLevel="0" collapsed="false">
      <c r="A291" s="0" t="n">
        <v>523025</v>
      </c>
      <c r="B291" s="0" t="n">
        <v>560462</v>
      </c>
      <c r="C291" s="0" t="n">
        <v>633310</v>
      </c>
      <c r="D291" s="0" t="s">
        <v>35</v>
      </c>
      <c r="E291" s="0" t="s">
        <v>35</v>
      </c>
      <c r="F291" s="0" t="s">
        <v>36</v>
      </c>
      <c r="G291" s="0" t="s">
        <v>37</v>
      </c>
      <c r="H291" s="0" t="s">
        <v>644</v>
      </c>
      <c r="J291" s="0" t="s">
        <v>644</v>
      </c>
      <c r="M291" s="0" t="s">
        <v>645</v>
      </c>
      <c r="N291" s="0" t="n">
        <v>1876</v>
      </c>
      <c r="O291" s="0" t="s">
        <v>646</v>
      </c>
      <c r="P291" s="0" t="n">
        <v>1876</v>
      </c>
      <c r="Q291" s="0" t="s">
        <v>39</v>
      </c>
      <c r="R291" s="0" t="s">
        <v>647</v>
      </c>
      <c r="S291" s="0" t="s">
        <v>648</v>
      </c>
      <c r="V291" s="0" t="n">
        <v>1</v>
      </c>
      <c r="W291" s="0" t="n">
        <v>1</v>
      </c>
      <c r="X291" s="0" t="str">
        <f aca="false">"31811010987207"</f>
        <v>31811010987207</v>
      </c>
      <c r="Y291" s="0" t="s">
        <v>39</v>
      </c>
      <c r="Z291" s="0" t="s">
        <v>42</v>
      </c>
      <c r="AA291" s="0" t="s">
        <v>43</v>
      </c>
      <c r="AE291" s="1" t="s">
        <v>52</v>
      </c>
    </row>
    <row r="292" customFormat="false" ht="12.8" hidden="false" customHeight="false" outlineLevel="0" collapsed="false">
      <c r="A292" s="0" t="n">
        <v>150438</v>
      </c>
      <c r="B292" s="0" t="n">
        <v>163191</v>
      </c>
      <c r="C292" s="0" t="n">
        <v>183146</v>
      </c>
      <c r="D292" s="0" t="s">
        <v>35</v>
      </c>
      <c r="E292" s="0" t="s">
        <v>35</v>
      </c>
      <c r="F292" s="0" t="s">
        <v>36</v>
      </c>
      <c r="G292" s="0" t="s">
        <v>37</v>
      </c>
      <c r="H292" s="0" t="s">
        <v>649</v>
      </c>
      <c r="I292" s="0" t="s">
        <v>650</v>
      </c>
      <c r="J292" s="0" t="s">
        <v>649</v>
      </c>
      <c r="M292" s="0" t="s">
        <v>651</v>
      </c>
      <c r="N292" s="0" t="s">
        <v>652</v>
      </c>
      <c r="O292" s="0" t="s">
        <v>653</v>
      </c>
      <c r="P292" s="0" t="n">
        <v>1958</v>
      </c>
      <c r="Q292" s="0" t="s">
        <v>39</v>
      </c>
      <c r="R292" s="0" t="s">
        <v>654</v>
      </c>
      <c r="S292" s="0" t="s">
        <v>655</v>
      </c>
      <c r="V292" s="0" t="n">
        <v>1</v>
      </c>
      <c r="W292" s="0" t="n">
        <v>1</v>
      </c>
      <c r="X292" s="0" t="str">
        <f aca="false">"31811010334558"</f>
        <v>31811010334558</v>
      </c>
      <c r="Y292" s="0" t="s">
        <v>39</v>
      </c>
      <c r="Z292" s="0" t="s">
        <v>42</v>
      </c>
      <c r="AA292" s="0" t="s">
        <v>43</v>
      </c>
      <c r="AE292" s="1" t="s">
        <v>52</v>
      </c>
    </row>
    <row r="293" customFormat="false" ht="12.8" hidden="false" customHeight="false" outlineLevel="0" collapsed="false">
      <c r="A293" s="0" t="n">
        <v>255451</v>
      </c>
      <c r="B293" s="0" t="n">
        <v>279850</v>
      </c>
      <c r="C293" s="0" t="n">
        <v>314388</v>
      </c>
      <c r="D293" s="0" t="s">
        <v>35</v>
      </c>
      <c r="E293" s="0" t="s">
        <v>35</v>
      </c>
      <c r="F293" s="0" t="s">
        <v>36</v>
      </c>
      <c r="G293" s="0" t="s">
        <v>37</v>
      </c>
      <c r="H293" s="0" t="s">
        <v>656</v>
      </c>
      <c r="I293" s="0" t="s">
        <v>657</v>
      </c>
      <c r="J293" s="0" t="s">
        <v>658</v>
      </c>
      <c r="M293" s="0" t="s">
        <v>659</v>
      </c>
      <c r="N293" s="0" t="n">
        <v>1917</v>
      </c>
      <c r="O293" s="0" t="s">
        <v>660</v>
      </c>
      <c r="P293" s="0" t="n">
        <v>1917</v>
      </c>
      <c r="Q293" s="0" t="s">
        <v>39</v>
      </c>
      <c r="R293" s="0" t="s">
        <v>661</v>
      </c>
      <c r="S293" s="0" t="s">
        <v>662</v>
      </c>
      <c r="V293" s="0" t="n">
        <v>1</v>
      </c>
      <c r="W293" s="0" t="n">
        <v>1</v>
      </c>
      <c r="X293" s="0" t="str">
        <f aca="false">"31811010334541"</f>
        <v>31811010334541</v>
      </c>
      <c r="Y293" s="0" t="s">
        <v>39</v>
      </c>
      <c r="Z293" s="0" t="s">
        <v>42</v>
      </c>
      <c r="AA293" s="0" t="s">
        <v>43</v>
      </c>
      <c r="AE293" s="1" t="s">
        <v>52</v>
      </c>
    </row>
    <row r="294" customFormat="false" ht="12.8" hidden="false" customHeight="false" outlineLevel="0" collapsed="false">
      <c r="A294" s="0" t="n">
        <v>361628</v>
      </c>
      <c r="B294" s="0" t="n">
        <v>391231</v>
      </c>
      <c r="C294" s="0" t="n">
        <v>434988</v>
      </c>
      <c r="D294" s="0" t="s">
        <v>35</v>
      </c>
      <c r="E294" s="0" t="s">
        <v>35</v>
      </c>
      <c r="F294" s="0" t="s">
        <v>36</v>
      </c>
      <c r="G294" s="0" t="s">
        <v>663</v>
      </c>
      <c r="H294" s="0" t="s">
        <v>664</v>
      </c>
      <c r="J294" s="0" t="s">
        <v>665</v>
      </c>
      <c r="M294" s="0" t="s">
        <v>666</v>
      </c>
      <c r="N294" s="0" t="s">
        <v>667</v>
      </c>
      <c r="O294" s="0" t="s">
        <v>668</v>
      </c>
      <c r="P294" s="0" t="n">
        <v>1954</v>
      </c>
      <c r="Q294" s="0" t="s">
        <v>39</v>
      </c>
      <c r="R294" s="0" t="s">
        <v>669</v>
      </c>
      <c r="S294" s="0" t="s">
        <v>670</v>
      </c>
      <c r="V294" s="0" t="n">
        <v>1</v>
      </c>
      <c r="W294" s="0" t="n">
        <v>1</v>
      </c>
      <c r="X294" s="0" t="str">
        <f aca="false">"31811003177378"</f>
        <v>31811003177378</v>
      </c>
      <c r="Y294" s="0" t="s">
        <v>39</v>
      </c>
      <c r="Z294" s="0" t="s">
        <v>42</v>
      </c>
      <c r="AA294" s="0" t="s">
        <v>43</v>
      </c>
      <c r="AE294" s="1" t="s">
        <v>52</v>
      </c>
    </row>
    <row r="295" customFormat="false" ht="12.8" hidden="false" customHeight="false" outlineLevel="0" collapsed="false">
      <c r="A295" s="0" t="n">
        <v>516406</v>
      </c>
      <c r="B295" s="0" t="n">
        <v>553703</v>
      </c>
      <c r="C295" s="0" t="n">
        <v>624924</v>
      </c>
      <c r="D295" s="0" t="s">
        <v>35</v>
      </c>
      <c r="E295" s="0" t="s">
        <v>35</v>
      </c>
      <c r="F295" s="0" t="s">
        <v>36</v>
      </c>
      <c r="G295" s="0" t="s">
        <v>500</v>
      </c>
      <c r="H295" s="0" t="s">
        <v>671</v>
      </c>
      <c r="J295" s="0" t="s">
        <v>672</v>
      </c>
      <c r="M295" s="0" t="s">
        <v>673</v>
      </c>
      <c r="N295" s="0" t="s">
        <v>674</v>
      </c>
      <c r="O295" s="0" t="s">
        <v>675</v>
      </c>
      <c r="P295" s="0" t="n">
        <v>1869</v>
      </c>
      <c r="Q295" s="0" t="s">
        <v>39</v>
      </c>
      <c r="R295" s="0" t="s">
        <v>676</v>
      </c>
      <c r="S295" s="0" t="s">
        <v>677</v>
      </c>
      <c r="T295" s="0" t="s">
        <v>57</v>
      </c>
      <c r="V295" s="0" t="n">
        <v>1</v>
      </c>
      <c r="W295" s="0" t="n">
        <v>1</v>
      </c>
      <c r="X295" s="0" t="str">
        <f aca="false">"31811010335019"</f>
        <v>31811010335019</v>
      </c>
      <c r="Y295" s="0" t="s">
        <v>39</v>
      </c>
      <c r="Z295" s="0" t="s">
        <v>42</v>
      </c>
      <c r="AA295" s="0" t="s">
        <v>43</v>
      </c>
      <c r="AE295" s="1" t="s">
        <v>52</v>
      </c>
    </row>
    <row r="296" customFormat="false" ht="12.8" hidden="false" customHeight="false" outlineLevel="0" collapsed="false">
      <c r="A296" s="0" t="n">
        <v>516406</v>
      </c>
      <c r="B296" s="0" t="n">
        <v>553703</v>
      </c>
      <c r="C296" s="0" t="n">
        <v>624925</v>
      </c>
      <c r="D296" s="0" t="s">
        <v>35</v>
      </c>
      <c r="E296" s="0" t="s">
        <v>35</v>
      </c>
      <c r="F296" s="0" t="s">
        <v>36</v>
      </c>
      <c r="G296" s="0" t="s">
        <v>500</v>
      </c>
      <c r="H296" s="0" t="s">
        <v>671</v>
      </c>
      <c r="J296" s="0" t="s">
        <v>672</v>
      </c>
      <c r="M296" s="0" t="s">
        <v>673</v>
      </c>
      <c r="N296" s="0" t="s">
        <v>674</v>
      </c>
      <c r="O296" s="0" t="s">
        <v>675</v>
      </c>
      <c r="P296" s="0" t="n">
        <v>1869</v>
      </c>
      <c r="Q296" s="0" t="s">
        <v>39</v>
      </c>
      <c r="R296" s="0" t="s">
        <v>676</v>
      </c>
      <c r="S296" s="0" t="s">
        <v>677</v>
      </c>
      <c r="T296" s="0" t="s">
        <v>60</v>
      </c>
      <c r="V296" s="0" t="n">
        <v>1</v>
      </c>
      <c r="W296" s="0" t="n">
        <v>1</v>
      </c>
      <c r="X296" s="0" t="str">
        <f aca="false">"31811010335209"</f>
        <v>31811010335209</v>
      </c>
      <c r="Y296" s="0" t="s">
        <v>39</v>
      </c>
      <c r="Z296" s="0" t="s">
        <v>42</v>
      </c>
      <c r="AA296" s="0" t="s">
        <v>43</v>
      </c>
      <c r="AE296" s="1" t="s">
        <v>52</v>
      </c>
      <c r="AH296" s="1" t="s">
        <v>678</v>
      </c>
    </row>
    <row r="297" customFormat="false" ht="12.8" hidden="false" customHeight="false" outlineLevel="0" collapsed="false">
      <c r="A297" s="0" t="n">
        <v>625520</v>
      </c>
      <c r="B297" s="0" t="n">
        <v>668790</v>
      </c>
      <c r="C297" s="0" t="n">
        <v>742980</v>
      </c>
      <c r="D297" s="0" t="s">
        <v>35</v>
      </c>
      <c r="E297" s="0" t="s">
        <v>35</v>
      </c>
      <c r="F297" s="0" t="s">
        <v>36</v>
      </c>
      <c r="G297" s="0" t="s">
        <v>37</v>
      </c>
      <c r="H297" s="0" t="s">
        <v>679</v>
      </c>
      <c r="I297" s="0" t="s">
        <v>680</v>
      </c>
      <c r="J297" s="0" t="s">
        <v>681</v>
      </c>
      <c r="L297" s="0" t="s">
        <v>682</v>
      </c>
      <c r="M297" s="0" t="s">
        <v>683</v>
      </c>
      <c r="N297" s="0" t="s">
        <v>684</v>
      </c>
      <c r="O297" s="0" t="s">
        <v>685</v>
      </c>
      <c r="P297" s="0" t="n">
        <v>2005</v>
      </c>
      <c r="Q297" s="0" t="s">
        <v>39</v>
      </c>
      <c r="R297" s="0" t="s">
        <v>686</v>
      </c>
      <c r="S297" s="0" t="s">
        <v>687</v>
      </c>
      <c r="V297" s="0" t="n">
        <v>1</v>
      </c>
      <c r="W297" s="0" t="n">
        <v>1</v>
      </c>
      <c r="X297" s="0" t="str">
        <f aca="false">"31811012629195"</f>
        <v>31811012629195</v>
      </c>
      <c r="Y297" s="0" t="s">
        <v>39</v>
      </c>
      <c r="Z297" s="0" t="s">
        <v>42</v>
      </c>
      <c r="AA297" s="0" t="s">
        <v>43</v>
      </c>
      <c r="AE297" s="1" t="s">
        <v>688</v>
      </c>
      <c r="AF297" s="1" t="s">
        <v>433</v>
      </c>
      <c r="AG297" s="0" t="n">
        <v>9833</v>
      </c>
    </row>
    <row r="298" customFormat="false" ht="12.8" hidden="false" customHeight="false" outlineLevel="0" collapsed="false">
      <c r="A298" s="0" t="n">
        <v>10552</v>
      </c>
      <c r="B298" s="0" t="n">
        <v>12204</v>
      </c>
      <c r="C298" s="0" t="n">
        <v>14195</v>
      </c>
      <c r="D298" s="0" t="s">
        <v>35</v>
      </c>
      <c r="E298" s="0" t="s">
        <v>35</v>
      </c>
      <c r="F298" s="0" t="s">
        <v>36</v>
      </c>
      <c r="G298" s="0" t="s">
        <v>37</v>
      </c>
      <c r="H298" s="0" t="s">
        <v>689</v>
      </c>
      <c r="I298" s="0" t="s">
        <v>690</v>
      </c>
      <c r="J298" s="0" t="s">
        <v>689</v>
      </c>
      <c r="M298" s="0" t="s">
        <v>691</v>
      </c>
      <c r="N298" s="0" t="s">
        <v>195</v>
      </c>
      <c r="O298" s="0" t="s">
        <v>692</v>
      </c>
      <c r="P298" s="0" t="n">
        <v>1960</v>
      </c>
      <c r="Q298" s="0" t="s">
        <v>39</v>
      </c>
      <c r="R298" s="0" t="s">
        <v>693</v>
      </c>
      <c r="S298" s="0" t="s">
        <v>694</v>
      </c>
      <c r="V298" s="0" t="n">
        <v>1</v>
      </c>
      <c r="W298" s="0" t="n">
        <v>1</v>
      </c>
      <c r="X298" s="0" t="str">
        <f aca="false">"31811010327016"</f>
        <v>31811010327016</v>
      </c>
      <c r="Y298" s="0" t="s">
        <v>39</v>
      </c>
      <c r="Z298" s="0" t="s">
        <v>42</v>
      </c>
      <c r="AA298" s="0" t="s">
        <v>43</v>
      </c>
      <c r="AE298" s="1" t="s">
        <v>52</v>
      </c>
    </row>
    <row r="299" customFormat="false" ht="12.8" hidden="false" customHeight="false" outlineLevel="0" collapsed="false">
      <c r="A299" s="0" t="n">
        <v>120257</v>
      </c>
      <c r="B299" s="0" t="n">
        <v>129369</v>
      </c>
      <c r="C299" s="0" t="n">
        <v>144099</v>
      </c>
      <c r="D299" s="0" t="s">
        <v>35</v>
      </c>
      <c r="E299" s="0" t="s">
        <v>35</v>
      </c>
      <c r="F299" s="0" t="s">
        <v>36</v>
      </c>
      <c r="G299" s="0" t="s">
        <v>37</v>
      </c>
      <c r="H299" s="0" t="s">
        <v>695</v>
      </c>
      <c r="I299" s="0" t="s">
        <v>696</v>
      </c>
      <c r="J299" s="0" t="s">
        <v>695</v>
      </c>
      <c r="K299" s="0" t="s">
        <v>108</v>
      </c>
      <c r="M299" s="0" t="s">
        <v>697</v>
      </c>
      <c r="N299" s="0" t="s">
        <v>652</v>
      </c>
      <c r="O299" s="0" t="s">
        <v>698</v>
      </c>
      <c r="P299" s="0" t="n">
        <v>1958</v>
      </c>
      <c r="Q299" s="0" t="s">
        <v>39</v>
      </c>
      <c r="R299" s="0" t="s">
        <v>699</v>
      </c>
      <c r="S299" s="0" t="s">
        <v>700</v>
      </c>
      <c r="V299" s="0" t="n">
        <v>1</v>
      </c>
      <c r="W299" s="0" t="n">
        <v>1</v>
      </c>
      <c r="X299" s="0" t="str">
        <f aca="false">"31811010327008"</f>
        <v>31811010327008</v>
      </c>
      <c r="Y299" s="0" t="s">
        <v>39</v>
      </c>
      <c r="Z299" s="0" t="s">
        <v>42</v>
      </c>
      <c r="AA299" s="0" t="s">
        <v>43</v>
      </c>
      <c r="AE299" s="1" t="s">
        <v>52</v>
      </c>
    </row>
    <row r="300" customFormat="false" ht="12.8" hidden="false" customHeight="false" outlineLevel="0" collapsed="false">
      <c r="A300" s="0" t="n">
        <v>333420</v>
      </c>
      <c r="B300" s="0" t="n">
        <v>362050</v>
      </c>
      <c r="C300" s="0" t="n">
        <v>403568</v>
      </c>
      <c r="D300" s="0" t="s">
        <v>35</v>
      </c>
      <c r="E300" s="0" t="s">
        <v>35</v>
      </c>
      <c r="F300" s="0" t="s">
        <v>36</v>
      </c>
      <c r="G300" s="0" t="s">
        <v>37</v>
      </c>
      <c r="H300" s="0" t="s">
        <v>701</v>
      </c>
      <c r="I300" s="0" t="s">
        <v>702</v>
      </c>
      <c r="J300" s="0" t="s">
        <v>703</v>
      </c>
      <c r="M300" s="0" t="s">
        <v>704</v>
      </c>
      <c r="N300" s="0" t="n">
        <v>1882</v>
      </c>
      <c r="O300" s="0" t="s">
        <v>705</v>
      </c>
      <c r="P300" s="0" t="n">
        <v>1882</v>
      </c>
      <c r="Q300" s="0" t="s">
        <v>39</v>
      </c>
      <c r="R300" s="0" t="s">
        <v>706</v>
      </c>
      <c r="S300" s="0" t="s">
        <v>707</v>
      </c>
      <c r="V300" s="0" t="n">
        <v>1</v>
      </c>
      <c r="W300" s="0" t="n">
        <v>1</v>
      </c>
      <c r="X300" s="0" t="str">
        <f aca="false">"31811010326992"</f>
        <v>31811010326992</v>
      </c>
      <c r="Y300" s="0" t="s">
        <v>39</v>
      </c>
      <c r="Z300" s="0" t="s">
        <v>42</v>
      </c>
      <c r="AA300" s="0" t="s">
        <v>43</v>
      </c>
      <c r="AE300" s="1" t="s">
        <v>52</v>
      </c>
      <c r="AH300" s="1" t="s">
        <v>708</v>
      </c>
    </row>
    <row r="301" customFormat="false" ht="12.8" hidden="false" customHeight="false" outlineLevel="0" collapsed="false">
      <c r="A301" s="0" t="n">
        <v>163850</v>
      </c>
      <c r="B301" s="0" t="n">
        <v>178418</v>
      </c>
      <c r="C301" s="0" t="n">
        <v>200106</v>
      </c>
      <c r="D301" s="0" t="s">
        <v>35</v>
      </c>
      <c r="E301" s="0" t="s">
        <v>35</v>
      </c>
      <c r="F301" s="0" t="s">
        <v>480</v>
      </c>
      <c r="G301" s="0" t="s">
        <v>37</v>
      </c>
      <c r="H301" s="0" t="s">
        <v>709</v>
      </c>
      <c r="J301" s="0" t="s">
        <v>710</v>
      </c>
      <c r="M301" s="0" t="s">
        <v>711</v>
      </c>
      <c r="O301" s="0" t="s">
        <v>712</v>
      </c>
      <c r="P301" s="0" t="n">
        <v>1924</v>
      </c>
      <c r="Q301" s="0" t="s">
        <v>39</v>
      </c>
      <c r="R301" s="0" t="s">
        <v>713</v>
      </c>
      <c r="S301" s="0" t="s">
        <v>714</v>
      </c>
      <c r="T301" s="0" t="s">
        <v>715</v>
      </c>
      <c r="V301" s="0" t="n">
        <v>1</v>
      </c>
      <c r="W301" s="0" t="n">
        <v>1</v>
      </c>
      <c r="X301" s="0" t="str">
        <f aca="false">"31811010326976"</f>
        <v>31811010326976</v>
      </c>
      <c r="Y301" s="0" t="s">
        <v>39</v>
      </c>
      <c r="Z301" s="0" t="s">
        <v>42</v>
      </c>
      <c r="AA301" s="0" t="s">
        <v>622</v>
      </c>
      <c r="AE301" s="1" t="s">
        <v>52</v>
      </c>
      <c r="AF301" s="1" t="s">
        <v>716</v>
      </c>
    </row>
    <row r="302" customFormat="false" ht="12.8" hidden="false" customHeight="false" outlineLevel="0" collapsed="false">
      <c r="A302" s="0" t="n">
        <v>163850</v>
      </c>
      <c r="B302" s="0" t="n">
        <v>178418</v>
      </c>
      <c r="C302" s="0" t="n">
        <v>200107</v>
      </c>
      <c r="D302" s="0" t="s">
        <v>35</v>
      </c>
      <c r="E302" s="0" t="s">
        <v>35</v>
      </c>
      <c r="F302" s="0" t="s">
        <v>480</v>
      </c>
      <c r="G302" s="0" t="s">
        <v>37</v>
      </c>
      <c r="H302" s="0" t="s">
        <v>709</v>
      </c>
      <c r="J302" s="0" t="s">
        <v>710</v>
      </c>
      <c r="M302" s="0" t="s">
        <v>711</v>
      </c>
      <c r="O302" s="0" t="s">
        <v>712</v>
      </c>
      <c r="P302" s="0" t="n">
        <v>1924</v>
      </c>
      <c r="Q302" s="0" t="s">
        <v>39</v>
      </c>
      <c r="R302" s="0" t="s">
        <v>713</v>
      </c>
      <c r="S302" s="0" t="s">
        <v>714</v>
      </c>
      <c r="T302" s="0" t="s">
        <v>717</v>
      </c>
      <c r="V302" s="0" t="n">
        <v>1</v>
      </c>
      <c r="W302" s="0" t="n">
        <v>1</v>
      </c>
      <c r="X302" s="0" t="str">
        <f aca="false">"31811010326984"</f>
        <v>31811010326984</v>
      </c>
      <c r="Y302" s="0" t="s">
        <v>39</v>
      </c>
      <c r="Z302" s="0" t="s">
        <v>42</v>
      </c>
      <c r="AA302" s="0" t="s">
        <v>622</v>
      </c>
      <c r="AE302" s="1" t="s">
        <v>52</v>
      </c>
      <c r="AF302" s="1" t="s">
        <v>716</v>
      </c>
    </row>
    <row r="303" customFormat="false" ht="12.8" hidden="false" customHeight="false" outlineLevel="0" collapsed="false">
      <c r="A303" s="0" t="n">
        <v>163850</v>
      </c>
      <c r="B303" s="0" t="n">
        <v>178418</v>
      </c>
      <c r="C303" s="0" t="n">
        <v>200108</v>
      </c>
      <c r="D303" s="0" t="s">
        <v>35</v>
      </c>
      <c r="E303" s="0" t="s">
        <v>35</v>
      </c>
      <c r="F303" s="0" t="s">
        <v>480</v>
      </c>
      <c r="G303" s="0" t="s">
        <v>37</v>
      </c>
      <c r="H303" s="0" t="s">
        <v>709</v>
      </c>
      <c r="J303" s="0" t="s">
        <v>710</v>
      </c>
      <c r="M303" s="0" t="s">
        <v>711</v>
      </c>
      <c r="O303" s="0" t="s">
        <v>712</v>
      </c>
      <c r="P303" s="0" t="n">
        <v>1924</v>
      </c>
      <c r="Q303" s="0" t="s">
        <v>39</v>
      </c>
      <c r="R303" s="0" t="s">
        <v>713</v>
      </c>
      <c r="S303" s="0" t="s">
        <v>714</v>
      </c>
      <c r="T303" s="0" t="s">
        <v>718</v>
      </c>
      <c r="V303" s="0" t="n">
        <v>1</v>
      </c>
      <c r="W303" s="0" t="n">
        <v>1</v>
      </c>
      <c r="X303" s="0" t="str">
        <f aca="false">"31811010636325"</f>
        <v>31811010636325</v>
      </c>
      <c r="Y303" s="0" t="s">
        <v>39</v>
      </c>
      <c r="Z303" s="0" t="s">
        <v>42</v>
      </c>
      <c r="AA303" s="0" t="s">
        <v>622</v>
      </c>
      <c r="AE303" s="1" t="s">
        <v>52</v>
      </c>
      <c r="AF303" s="1" t="s">
        <v>716</v>
      </c>
    </row>
    <row r="304" customFormat="false" ht="12.8" hidden="false" customHeight="false" outlineLevel="0" collapsed="false">
      <c r="A304" s="0" t="n">
        <v>163850</v>
      </c>
      <c r="B304" s="0" t="n">
        <v>178418</v>
      </c>
      <c r="C304" s="0" t="n">
        <v>200109</v>
      </c>
      <c r="D304" s="0" t="s">
        <v>35</v>
      </c>
      <c r="E304" s="0" t="s">
        <v>35</v>
      </c>
      <c r="F304" s="0" t="s">
        <v>480</v>
      </c>
      <c r="G304" s="0" t="s">
        <v>37</v>
      </c>
      <c r="H304" s="0" t="s">
        <v>709</v>
      </c>
      <c r="J304" s="0" t="s">
        <v>710</v>
      </c>
      <c r="M304" s="0" t="s">
        <v>711</v>
      </c>
      <c r="O304" s="0" t="s">
        <v>712</v>
      </c>
      <c r="P304" s="0" t="n">
        <v>1924</v>
      </c>
      <c r="Q304" s="0" t="s">
        <v>39</v>
      </c>
      <c r="R304" s="0" t="s">
        <v>713</v>
      </c>
      <c r="S304" s="0" t="s">
        <v>714</v>
      </c>
      <c r="T304" s="0" t="s">
        <v>719</v>
      </c>
      <c r="V304" s="0" t="n">
        <v>1</v>
      </c>
      <c r="W304" s="0" t="n">
        <v>1</v>
      </c>
      <c r="X304" s="0" t="str">
        <f aca="false">"31811010636283"</f>
        <v>31811010636283</v>
      </c>
      <c r="Y304" s="0" t="s">
        <v>39</v>
      </c>
      <c r="Z304" s="0" t="s">
        <v>42</v>
      </c>
      <c r="AA304" s="0" t="s">
        <v>622</v>
      </c>
      <c r="AE304" s="1" t="s">
        <v>52</v>
      </c>
      <c r="AF304" s="1" t="s">
        <v>716</v>
      </c>
    </row>
    <row r="305" customFormat="false" ht="12.8" hidden="false" customHeight="false" outlineLevel="0" collapsed="false">
      <c r="A305" s="0" t="n">
        <v>130477</v>
      </c>
      <c r="B305" s="0" t="n">
        <v>140431</v>
      </c>
      <c r="C305" s="0" t="n">
        <v>156022</v>
      </c>
      <c r="D305" s="0" t="s">
        <v>35</v>
      </c>
      <c r="E305" s="0" t="s">
        <v>35</v>
      </c>
      <c r="F305" s="0" t="s">
        <v>36</v>
      </c>
      <c r="G305" s="0" t="s">
        <v>37</v>
      </c>
      <c r="H305" s="0" t="s">
        <v>720</v>
      </c>
      <c r="J305" s="0" t="s">
        <v>720</v>
      </c>
      <c r="K305" s="0" t="s">
        <v>108</v>
      </c>
      <c r="M305" s="0" t="s">
        <v>721</v>
      </c>
      <c r="N305" s="0" t="s">
        <v>148</v>
      </c>
      <c r="O305" s="0" t="s">
        <v>722</v>
      </c>
      <c r="P305" s="0" t="n">
        <v>1969</v>
      </c>
      <c r="Q305" s="0" t="s">
        <v>39</v>
      </c>
      <c r="R305" s="0" t="s">
        <v>723</v>
      </c>
      <c r="S305" s="0" t="s">
        <v>724</v>
      </c>
      <c r="T305" s="0" t="s">
        <v>51</v>
      </c>
      <c r="V305" s="0" t="n">
        <v>1</v>
      </c>
      <c r="W305" s="0" t="n">
        <v>1</v>
      </c>
      <c r="X305" s="0" t="str">
        <f aca="false">"31811010326968"</f>
        <v>31811010326968</v>
      </c>
      <c r="Y305" s="0" t="s">
        <v>39</v>
      </c>
      <c r="Z305" s="0" t="s">
        <v>42</v>
      </c>
      <c r="AA305" s="0" t="s">
        <v>43</v>
      </c>
      <c r="AE305" s="1" t="s">
        <v>52</v>
      </c>
    </row>
    <row r="306" customFormat="false" ht="12.8" hidden="false" customHeight="false" outlineLevel="0" collapsed="false">
      <c r="A306" s="0" t="n">
        <v>130477</v>
      </c>
      <c r="B306" s="0" t="n">
        <v>140431</v>
      </c>
      <c r="C306" s="0" t="n">
        <v>156023</v>
      </c>
      <c r="D306" s="0" t="s">
        <v>35</v>
      </c>
      <c r="E306" s="0" t="s">
        <v>35</v>
      </c>
      <c r="F306" s="0" t="s">
        <v>36</v>
      </c>
      <c r="G306" s="0" t="s">
        <v>37</v>
      </c>
      <c r="H306" s="0" t="s">
        <v>720</v>
      </c>
      <c r="J306" s="0" t="s">
        <v>720</v>
      </c>
      <c r="K306" s="0" t="s">
        <v>108</v>
      </c>
      <c r="M306" s="0" t="s">
        <v>721</v>
      </c>
      <c r="N306" s="0" t="s">
        <v>148</v>
      </c>
      <c r="O306" s="0" t="s">
        <v>722</v>
      </c>
      <c r="P306" s="0" t="n">
        <v>1969</v>
      </c>
      <c r="Q306" s="0" t="s">
        <v>39</v>
      </c>
      <c r="R306" s="0" t="s">
        <v>723</v>
      </c>
      <c r="S306" s="0" t="s">
        <v>724</v>
      </c>
      <c r="T306" s="0" t="s">
        <v>53</v>
      </c>
      <c r="V306" s="0" t="n">
        <v>1</v>
      </c>
      <c r="W306" s="0" t="n">
        <v>1</v>
      </c>
      <c r="X306" s="0" t="str">
        <f aca="false">"31811010326950"</f>
        <v>31811010326950</v>
      </c>
      <c r="Y306" s="0" t="s">
        <v>39</v>
      </c>
      <c r="Z306" s="0" t="s">
        <v>42</v>
      </c>
      <c r="AA306" s="0" t="s">
        <v>43</v>
      </c>
      <c r="AE306" s="1" t="s">
        <v>52</v>
      </c>
    </row>
    <row r="307" customFormat="false" ht="12.8" hidden="false" customHeight="false" outlineLevel="0" collapsed="false">
      <c r="A307" s="0" t="n">
        <v>188546</v>
      </c>
      <c r="B307" s="0" t="n">
        <v>206463</v>
      </c>
      <c r="C307" s="0" t="n">
        <v>232115</v>
      </c>
      <c r="D307" s="0" t="s">
        <v>35</v>
      </c>
      <c r="E307" s="0" t="s">
        <v>35</v>
      </c>
      <c r="F307" s="0" t="s">
        <v>36</v>
      </c>
      <c r="G307" s="0" t="s">
        <v>37</v>
      </c>
      <c r="H307" s="0" t="s">
        <v>725</v>
      </c>
      <c r="I307" s="0" t="s">
        <v>726</v>
      </c>
      <c r="J307" s="0" t="s">
        <v>727</v>
      </c>
      <c r="M307" s="0" t="s">
        <v>728</v>
      </c>
      <c r="N307" s="0" t="s">
        <v>729</v>
      </c>
      <c r="O307" s="0" t="s">
        <v>730</v>
      </c>
      <c r="P307" s="0" t="n">
        <v>1937</v>
      </c>
      <c r="Q307" s="0" t="s">
        <v>39</v>
      </c>
      <c r="R307" s="0" t="s">
        <v>731</v>
      </c>
      <c r="S307" s="0" t="s">
        <v>732</v>
      </c>
      <c r="V307" s="0" t="n">
        <v>1</v>
      </c>
      <c r="W307" s="0" t="n">
        <v>1</v>
      </c>
      <c r="X307" s="0" t="str">
        <f aca="false">"31811010326406"</f>
        <v>31811010326406</v>
      </c>
      <c r="Y307" s="0" t="s">
        <v>39</v>
      </c>
      <c r="Z307" s="0" t="s">
        <v>42</v>
      </c>
      <c r="AA307" s="0" t="s">
        <v>43</v>
      </c>
      <c r="AE307" s="1" t="s">
        <v>52</v>
      </c>
    </row>
    <row r="308" customFormat="false" ht="12.8" hidden="false" customHeight="false" outlineLevel="0" collapsed="false">
      <c r="A308" s="0" t="n">
        <v>273512</v>
      </c>
      <c r="B308" s="0" t="n">
        <v>299298</v>
      </c>
      <c r="C308" s="0" t="n">
        <v>335619</v>
      </c>
      <c r="D308" s="0" t="s">
        <v>35</v>
      </c>
      <c r="E308" s="0" t="s">
        <v>35</v>
      </c>
      <c r="F308" s="0" t="s">
        <v>36</v>
      </c>
      <c r="G308" s="0" t="s">
        <v>37</v>
      </c>
      <c r="H308" s="0" t="s">
        <v>733</v>
      </c>
      <c r="I308" s="0" t="s">
        <v>734</v>
      </c>
      <c r="J308" s="0" t="s">
        <v>735</v>
      </c>
      <c r="M308" s="0" t="s">
        <v>736</v>
      </c>
      <c r="N308" s="0" t="n">
        <v>1969</v>
      </c>
      <c r="O308" s="0" t="s">
        <v>737</v>
      </c>
      <c r="P308" s="0" t="n">
        <v>1969</v>
      </c>
      <c r="Q308" s="0" t="s">
        <v>39</v>
      </c>
      <c r="R308" s="0" t="s">
        <v>738</v>
      </c>
      <c r="S308" s="0" t="s">
        <v>739</v>
      </c>
      <c r="V308" s="0" t="n">
        <v>1</v>
      </c>
      <c r="W308" s="0" t="n">
        <v>1</v>
      </c>
      <c r="X308" s="0" t="str">
        <f aca="false">"31811010326364"</f>
        <v>31811010326364</v>
      </c>
      <c r="Y308" s="0" t="s">
        <v>39</v>
      </c>
      <c r="Z308" s="0" t="s">
        <v>42</v>
      </c>
      <c r="AA308" s="0" t="s">
        <v>43</v>
      </c>
      <c r="AE308" s="1" t="s">
        <v>52</v>
      </c>
    </row>
    <row r="309" customFormat="false" ht="12.8" hidden="false" customHeight="false" outlineLevel="0" collapsed="false">
      <c r="A309" s="0" t="n">
        <v>370027</v>
      </c>
      <c r="B309" s="0" t="n">
        <v>399928</v>
      </c>
      <c r="C309" s="0" t="n">
        <v>445146</v>
      </c>
      <c r="D309" s="0" t="s">
        <v>35</v>
      </c>
      <c r="E309" s="0" t="s">
        <v>35</v>
      </c>
      <c r="F309" s="0" t="s">
        <v>36</v>
      </c>
      <c r="G309" s="0" t="s">
        <v>37</v>
      </c>
      <c r="H309" s="0" t="s">
        <v>740</v>
      </c>
      <c r="I309" s="0" t="s">
        <v>741</v>
      </c>
      <c r="J309" s="0" t="s">
        <v>742</v>
      </c>
      <c r="K309" s="0" t="s">
        <v>154</v>
      </c>
      <c r="L309" s="0" t="n">
        <v>60159200</v>
      </c>
      <c r="M309" s="0" t="s">
        <v>743</v>
      </c>
      <c r="N309" s="0" t="s">
        <v>744</v>
      </c>
      <c r="O309" s="0" t="s">
        <v>110</v>
      </c>
      <c r="P309" s="0" t="n">
        <v>1989</v>
      </c>
      <c r="Q309" s="0" t="s">
        <v>39</v>
      </c>
      <c r="R309" s="0" t="s">
        <v>745</v>
      </c>
      <c r="S309" s="0" t="s">
        <v>746</v>
      </c>
      <c r="V309" s="0" t="n">
        <v>1</v>
      </c>
      <c r="W309" s="0" t="n">
        <v>1</v>
      </c>
      <c r="X309" s="0" t="str">
        <f aca="false">"31811011316885"</f>
        <v>31811011316885</v>
      </c>
      <c r="Y309" s="0" t="s">
        <v>39</v>
      </c>
      <c r="Z309" s="0" t="s">
        <v>42</v>
      </c>
      <c r="AA309" s="0" t="s">
        <v>43</v>
      </c>
      <c r="AE309" s="1" t="s">
        <v>52</v>
      </c>
    </row>
    <row r="310" customFormat="false" ht="12.8" hidden="false" customHeight="false" outlineLevel="0" collapsed="false">
      <c r="A310" s="0" t="n">
        <v>464827</v>
      </c>
      <c r="B310" s="0" t="n">
        <v>496669</v>
      </c>
      <c r="C310" s="0" t="n">
        <v>557723</v>
      </c>
      <c r="D310" s="0" t="s">
        <v>35</v>
      </c>
      <c r="E310" s="0" t="s">
        <v>35</v>
      </c>
      <c r="F310" s="0" t="s">
        <v>36</v>
      </c>
      <c r="G310" s="0" t="s">
        <v>37</v>
      </c>
      <c r="H310" s="0" t="s">
        <v>747</v>
      </c>
      <c r="I310" s="0" t="s">
        <v>748</v>
      </c>
      <c r="J310" s="0" t="s">
        <v>747</v>
      </c>
      <c r="K310" s="0" t="s">
        <v>749</v>
      </c>
      <c r="M310" s="0" t="s">
        <v>750</v>
      </c>
      <c r="N310" s="0" t="n">
        <v>1967</v>
      </c>
      <c r="O310" s="0" t="s">
        <v>751</v>
      </c>
      <c r="P310" s="0" t="n">
        <v>1967</v>
      </c>
      <c r="Q310" s="0" t="s">
        <v>39</v>
      </c>
      <c r="R310" s="0" t="s">
        <v>752</v>
      </c>
      <c r="S310" s="0" t="s">
        <v>753</v>
      </c>
      <c r="V310" s="0" t="n">
        <v>1</v>
      </c>
      <c r="W310" s="0" t="n">
        <v>1</v>
      </c>
      <c r="X310" s="0" t="str">
        <f aca="false">"31811010326356"</f>
        <v>31811010326356</v>
      </c>
      <c r="Y310" s="0" t="s">
        <v>39</v>
      </c>
      <c r="Z310" s="0" t="s">
        <v>42</v>
      </c>
      <c r="AA310" s="0" t="s">
        <v>43</v>
      </c>
      <c r="AE310" s="1" t="s">
        <v>52</v>
      </c>
    </row>
    <row r="311" customFormat="false" ht="12.8" hidden="false" customHeight="false" outlineLevel="0" collapsed="false">
      <c r="A311" s="0" t="n">
        <v>633144</v>
      </c>
      <c r="B311" s="0" t="n">
        <v>681427</v>
      </c>
      <c r="C311" s="0" t="n">
        <v>755095</v>
      </c>
      <c r="D311" s="0" t="s">
        <v>35</v>
      </c>
      <c r="E311" s="0" t="s">
        <v>35</v>
      </c>
      <c r="F311" s="0" t="s">
        <v>36</v>
      </c>
      <c r="G311" s="0" t="s">
        <v>37</v>
      </c>
      <c r="H311" s="0" t="s">
        <v>754</v>
      </c>
      <c r="J311" s="0" t="s">
        <v>755</v>
      </c>
      <c r="L311" s="0" t="s">
        <v>756</v>
      </c>
      <c r="M311" s="0" t="s">
        <v>757</v>
      </c>
      <c r="N311" s="0" t="n">
        <v>1991</v>
      </c>
      <c r="O311" s="0" t="s">
        <v>758</v>
      </c>
      <c r="P311" s="0" t="n">
        <v>1991</v>
      </c>
      <c r="Q311" s="0" t="s">
        <v>39</v>
      </c>
      <c r="R311" s="0" t="s">
        <v>759</v>
      </c>
      <c r="S311" s="0" t="s">
        <v>760</v>
      </c>
      <c r="V311" s="0" t="n">
        <v>1</v>
      </c>
      <c r="W311" s="0" t="n">
        <v>1</v>
      </c>
      <c r="X311" s="0" t="str">
        <f aca="false">"31811012717412"</f>
        <v>31811012717412</v>
      </c>
      <c r="Y311" s="0" t="s">
        <v>39</v>
      </c>
      <c r="Z311" s="0" t="s">
        <v>42</v>
      </c>
      <c r="AA311" s="0" t="s">
        <v>43</v>
      </c>
      <c r="AE311" s="1" t="s">
        <v>761</v>
      </c>
    </row>
    <row r="312" customFormat="false" ht="12.8" hidden="false" customHeight="false" outlineLevel="0" collapsed="false">
      <c r="A312" s="0" t="n">
        <v>221068</v>
      </c>
      <c r="B312" s="0" t="n">
        <v>242518</v>
      </c>
      <c r="C312" s="0" t="n">
        <v>273245</v>
      </c>
      <c r="D312" s="0" t="s">
        <v>35</v>
      </c>
      <c r="E312" s="0" t="s">
        <v>35</v>
      </c>
      <c r="F312" s="0" t="s">
        <v>36</v>
      </c>
      <c r="G312" s="0" t="s">
        <v>37</v>
      </c>
      <c r="H312" s="0" t="s">
        <v>762</v>
      </c>
      <c r="I312" s="0" t="s">
        <v>763</v>
      </c>
      <c r="J312" s="0" t="s">
        <v>764</v>
      </c>
      <c r="K312" s="0" t="s">
        <v>765</v>
      </c>
      <c r="M312" s="0" t="s">
        <v>766</v>
      </c>
      <c r="N312" s="0" t="n">
        <v>1981</v>
      </c>
      <c r="O312" s="0" t="s">
        <v>767</v>
      </c>
      <c r="P312" s="0" t="n">
        <v>1981</v>
      </c>
      <c r="Q312" s="0" t="s">
        <v>39</v>
      </c>
      <c r="R312" s="0" t="s">
        <v>768</v>
      </c>
      <c r="S312" s="0" t="s">
        <v>769</v>
      </c>
      <c r="V312" s="0" t="n">
        <v>1</v>
      </c>
      <c r="W312" s="0" t="n">
        <v>1</v>
      </c>
      <c r="X312" s="0" t="str">
        <f aca="false">"31811010326349"</f>
        <v>31811010326349</v>
      </c>
      <c r="Y312" s="0" t="s">
        <v>39</v>
      </c>
      <c r="Z312" s="0" t="s">
        <v>42</v>
      </c>
      <c r="AA312" s="0" t="s">
        <v>43</v>
      </c>
      <c r="AE312" s="1" t="s">
        <v>52</v>
      </c>
    </row>
    <row r="313" customFormat="false" ht="12.8" hidden="false" customHeight="false" outlineLevel="0" collapsed="false">
      <c r="A313" s="0" t="n">
        <v>303932</v>
      </c>
      <c r="B313" s="0" t="n">
        <v>331448</v>
      </c>
      <c r="C313" s="0" t="n">
        <v>370099</v>
      </c>
      <c r="D313" s="0" t="s">
        <v>35</v>
      </c>
      <c r="E313" s="0" t="s">
        <v>35</v>
      </c>
      <c r="F313" s="0" t="s">
        <v>36</v>
      </c>
      <c r="G313" s="0" t="s">
        <v>37</v>
      </c>
      <c r="H313" s="0" t="s">
        <v>770</v>
      </c>
      <c r="I313" s="0" t="s">
        <v>771</v>
      </c>
      <c r="J313" s="0" t="s">
        <v>772</v>
      </c>
      <c r="M313" s="0" t="s">
        <v>773</v>
      </c>
      <c r="N313" s="0" t="n">
        <v>1931</v>
      </c>
      <c r="O313" s="0" t="s">
        <v>774</v>
      </c>
      <c r="P313" s="0" t="n">
        <v>1931</v>
      </c>
      <c r="Q313" s="0" t="s">
        <v>39</v>
      </c>
      <c r="R313" s="0" t="s">
        <v>775</v>
      </c>
      <c r="S313" s="0" t="s">
        <v>776</v>
      </c>
      <c r="V313" s="0" t="n">
        <v>1</v>
      </c>
      <c r="W313" s="0" t="n">
        <v>1</v>
      </c>
      <c r="X313" s="0" t="str">
        <f aca="false">"31811010326331"</f>
        <v>31811010326331</v>
      </c>
      <c r="Y313" s="0" t="s">
        <v>39</v>
      </c>
      <c r="Z313" s="0" t="s">
        <v>42</v>
      </c>
      <c r="AA313" s="0" t="s">
        <v>43</v>
      </c>
      <c r="AE313" s="1" t="s">
        <v>52</v>
      </c>
    </row>
    <row r="314" customFormat="false" ht="12.8" hidden="false" customHeight="false" outlineLevel="0" collapsed="false">
      <c r="A314" s="0" t="n">
        <v>406020</v>
      </c>
      <c r="B314" s="0" t="n">
        <v>438180</v>
      </c>
      <c r="C314" s="0" t="n">
        <v>488572</v>
      </c>
      <c r="D314" s="0" t="s">
        <v>35</v>
      </c>
      <c r="E314" s="0" t="s">
        <v>35</v>
      </c>
      <c r="F314" s="0" t="s">
        <v>36</v>
      </c>
      <c r="G314" s="0" t="s">
        <v>412</v>
      </c>
      <c r="H314" s="0" t="s">
        <v>777</v>
      </c>
      <c r="I314" s="0" t="s">
        <v>778</v>
      </c>
      <c r="J314" s="0" t="s">
        <v>777</v>
      </c>
      <c r="M314" s="0" t="s">
        <v>779</v>
      </c>
      <c r="N314" s="0" t="n">
        <v>1857</v>
      </c>
      <c r="P314" s="0" t="n">
        <v>1857</v>
      </c>
      <c r="Q314" s="0" t="s">
        <v>39</v>
      </c>
      <c r="R314" s="0" t="s">
        <v>780</v>
      </c>
      <c r="S314" s="0" t="s">
        <v>781</v>
      </c>
      <c r="V314" s="0" t="n">
        <v>1</v>
      </c>
      <c r="W314" s="0" t="n">
        <v>1</v>
      </c>
      <c r="X314" s="0" t="str">
        <f aca="false">"31811010326323"</f>
        <v>31811010326323</v>
      </c>
      <c r="Y314" s="0" t="s">
        <v>39</v>
      </c>
      <c r="Z314" s="0" t="s">
        <v>42</v>
      </c>
      <c r="AA314" s="0" t="s">
        <v>43</v>
      </c>
      <c r="AE314" s="1" t="s">
        <v>52</v>
      </c>
    </row>
    <row r="315" customFormat="false" ht="12.8" hidden="false" customHeight="false" outlineLevel="0" collapsed="false">
      <c r="A315" s="0" t="n">
        <v>351574</v>
      </c>
      <c r="B315" s="0" t="n">
        <v>380855</v>
      </c>
      <c r="C315" s="0" t="n">
        <v>423876</v>
      </c>
      <c r="D315" s="0" t="s">
        <v>35</v>
      </c>
      <c r="E315" s="0" t="s">
        <v>35</v>
      </c>
      <c r="F315" s="0" t="s">
        <v>36</v>
      </c>
      <c r="G315" s="0" t="s">
        <v>37</v>
      </c>
      <c r="H315" s="0" t="s">
        <v>782</v>
      </c>
      <c r="I315" s="0" t="s">
        <v>783</v>
      </c>
      <c r="J315" s="0" t="s">
        <v>784</v>
      </c>
      <c r="K315" s="0" t="s">
        <v>785</v>
      </c>
      <c r="M315" s="0" t="s">
        <v>786</v>
      </c>
      <c r="N315" s="0" t="n">
        <v>1893</v>
      </c>
      <c r="O315" s="0" t="s">
        <v>787</v>
      </c>
      <c r="P315" s="0" t="n">
        <v>1893</v>
      </c>
      <c r="Q315" s="0" t="s">
        <v>39</v>
      </c>
      <c r="R315" s="0" t="s">
        <v>788</v>
      </c>
      <c r="S315" s="0" t="s">
        <v>789</v>
      </c>
      <c r="V315" s="0" t="n">
        <v>1</v>
      </c>
      <c r="W315" s="0" t="n">
        <v>1</v>
      </c>
      <c r="X315" s="0" t="str">
        <f aca="false">"31811010326315"</f>
        <v>31811010326315</v>
      </c>
      <c r="Y315" s="0" t="s">
        <v>39</v>
      </c>
      <c r="Z315" s="0" t="s">
        <v>42</v>
      </c>
      <c r="AA315" s="0" t="s">
        <v>43</v>
      </c>
      <c r="AE315" s="1" t="s">
        <v>52</v>
      </c>
      <c r="AH315" s="1" t="s">
        <v>790</v>
      </c>
    </row>
    <row r="316" customFormat="false" ht="12.8" hidden="false" customHeight="false" outlineLevel="0" collapsed="false">
      <c r="A316" s="0" t="n">
        <v>347331</v>
      </c>
      <c r="B316" s="0" t="n">
        <v>376445</v>
      </c>
      <c r="C316" s="0" t="n">
        <v>418944</v>
      </c>
      <c r="D316" s="0" t="s">
        <v>35</v>
      </c>
      <c r="E316" s="0" t="s">
        <v>35</v>
      </c>
      <c r="F316" s="0" t="s">
        <v>36</v>
      </c>
      <c r="G316" s="0" t="s">
        <v>37</v>
      </c>
      <c r="H316" s="0" t="s">
        <v>791</v>
      </c>
      <c r="I316" s="0" t="s">
        <v>792</v>
      </c>
      <c r="J316" s="0" t="s">
        <v>791</v>
      </c>
      <c r="M316" s="0" t="s">
        <v>793</v>
      </c>
      <c r="N316" s="0" t="n">
        <v>1893</v>
      </c>
      <c r="P316" s="0" t="n">
        <v>1893</v>
      </c>
      <c r="Q316" s="0" t="s">
        <v>39</v>
      </c>
      <c r="R316" s="0" t="s">
        <v>794</v>
      </c>
      <c r="S316" s="0" t="s">
        <v>795</v>
      </c>
      <c r="V316" s="0" t="n">
        <v>1</v>
      </c>
      <c r="W316" s="0" t="n">
        <v>1</v>
      </c>
      <c r="X316" s="0" t="str">
        <f aca="false">"31811010326307"</f>
        <v>31811010326307</v>
      </c>
      <c r="Y316" s="0" t="s">
        <v>39</v>
      </c>
      <c r="Z316" s="0" t="s">
        <v>42</v>
      </c>
      <c r="AA316" s="0" t="s">
        <v>43</v>
      </c>
      <c r="AE316" s="1" t="s">
        <v>52</v>
      </c>
      <c r="AH316" s="1" t="s">
        <v>790</v>
      </c>
    </row>
    <row r="317" customFormat="false" ht="12.8" hidden="false" customHeight="false" outlineLevel="0" collapsed="false">
      <c r="A317" s="0" t="n">
        <v>45492</v>
      </c>
      <c r="B317" s="0" t="n">
        <v>49325</v>
      </c>
      <c r="C317" s="0" t="n">
        <v>54666</v>
      </c>
      <c r="D317" s="0" t="s">
        <v>35</v>
      </c>
      <c r="E317" s="0" t="s">
        <v>35</v>
      </c>
      <c r="F317" s="0" t="s">
        <v>36</v>
      </c>
      <c r="G317" s="0" t="s">
        <v>37</v>
      </c>
      <c r="H317" s="0" t="s">
        <v>796</v>
      </c>
      <c r="J317" s="0" t="s">
        <v>797</v>
      </c>
      <c r="L317" s="1" t="s">
        <v>798</v>
      </c>
      <c r="M317" s="0" t="s">
        <v>799</v>
      </c>
      <c r="N317" s="0" t="n">
        <v>1978</v>
      </c>
      <c r="O317" s="0" t="s">
        <v>800</v>
      </c>
      <c r="P317" s="0" t="n">
        <v>1978</v>
      </c>
      <c r="Q317" s="0" t="s">
        <v>39</v>
      </c>
      <c r="R317" s="0" t="s">
        <v>801</v>
      </c>
      <c r="S317" s="0" t="s">
        <v>802</v>
      </c>
      <c r="V317" s="0" t="n">
        <v>1</v>
      </c>
      <c r="W317" s="0" t="n">
        <v>1</v>
      </c>
      <c r="X317" s="0" t="str">
        <f aca="false">"31811003144386"</f>
        <v>31811003144386</v>
      </c>
      <c r="Y317" s="0" t="s">
        <v>39</v>
      </c>
      <c r="Z317" s="0" t="s">
        <v>42</v>
      </c>
      <c r="AA317" s="0" t="s">
        <v>43</v>
      </c>
      <c r="AE317" s="1" t="s">
        <v>52</v>
      </c>
    </row>
    <row r="318" customFormat="false" ht="12.8" hidden="false" customHeight="false" outlineLevel="0" collapsed="false">
      <c r="A318" s="0" t="n">
        <v>389205</v>
      </c>
      <c r="B318" s="0" t="n">
        <v>420839</v>
      </c>
      <c r="C318" s="0" t="n">
        <v>469694</v>
      </c>
      <c r="D318" s="0" t="s">
        <v>35</v>
      </c>
      <c r="E318" s="0" t="s">
        <v>35</v>
      </c>
      <c r="F318" s="0" t="s">
        <v>36</v>
      </c>
      <c r="G318" s="0" t="s">
        <v>37</v>
      </c>
      <c r="H318" s="0" t="s">
        <v>803</v>
      </c>
      <c r="J318" s="0" t="s">
        <v>803</v>
      </c>
      <c r="K318" s="0" t="s">
        <v>804</v>
      </c>
      <c r="M318" s="0" t="s">
        <v>805</v>
      </c>
      <c r="N318" s="0" t="n">
        <v>1941</v>
      </c>
      <c r="P318" s="0" t="n">
        <v>1941</v>
      </c>
      <c r="Q318" s="0" t="s">
        <v>39</v>
      </c>
      <c r="R318" s="0" t="s">
        <v>806</v>
      </c>
      <c r="S318" s="0" t="s">
        <v>807</v>
      </c>
      <c r="V318" s="0" t="n">
        <v>1</v>
      </c>
      <c r="W318" s="0" t="n">
        <v>1</v>
      </c>
      <c r="X318" s="0" t="str">
        <f aca="false">"31811003178418"</f>
        <v>31811003178418</v>
      </c>
      <c r="Y318" s="0" t="s">
        <v>39</v>
      </c>
      <c r="Z318" s="0" t="s">
        <v>42</v>
      </c>
      <c r="AA318" s="0" t="s">
        <v>43</v>
      </c>
      <c r="AE318" s="1" t="s">
        <v>52</v>
      </c>
    </row>
    <row r="319" customFormat="false" ht="12.8" hidden="false" customHeight="false" outlineLevel="0" collapsed="false">
      <c r="A319" s="0" t="n">
        <v>73097</v>
      </c>
      <c r="B319" s="0" t="n">
        <v>79221</v>
      </c>
      <c r="C319" s="0" t="n">
        <v>88142</v>
      </c>
      <c r="D319" s="0" t="s">
        <v>35</v>
      </c>
      <c r="E319" s="0" t="s">
        <v>35</v>
      </c>
      <c r="F319" s="0" t="s">
        <v>36</v>
      </c>
      <c r="G319" s="0" t="s">
        <v>37</v>
      </c>
      <c r="H319" s="0" t="s">
        <v>808</v>
      </c>
      <c r="I319" s="0" t="s">
        <v>97</v>
      </c>
      <c r="J319" s="0" t="s">
        <v>809</v>
      </c>
      <c r="K319" s="0" t="s">
        <v>810</v>
      </c>
      <c r="M319" s="0" t="s">
        <v>811</v>
      </c>
      <c r="N319" s="0" t="s">
        <v>282</v>
      </c>
      <c r="O319" s="0" t="s">
        <v>812</v>
      </c>
      <c r="P319" s="0" t="n">
        <v>1963</v>
      </c>
      <c r="Q319" s="0" t="s">
        <v>39</v>
      </c>
      <c r="R319" s="0" t="s">
        <v>813</v>
      </c>
      <c r="S319" s="0" t="s">
        <v>814</v>
      </c>
      <c r="V319" s="0" t="n">
        <v>1</v>
      </c>
      <c r="W319" s="0" t="n">
        <v>1</v>
      </c>
      <c r="X319" s="0" t="str">
        <f aca="false">"31811010326265"</f>
        <v>31811010326265</v>
      </c>
      <c r="Y319" s="0" t="s">
        <v>39</v>
      </c>
      <c r="Z319" s="0" t="s">
        <v>42</v>
      </c>
      <c r="AA319" s="0" t="s">
        <v>43</v>
      </c>
      <c r="AE319" s="1" t="s">
        <v>52</v>
      </c>
    </row>
    <row r="320" customFormat="false" ht="12.8" hidden="false" customHeight="false" outlineLevel="0" collapsed="false">
      <c r="A320" s="0" t="n">
        <v>423917</v>
      </c>
      <c r="B320" s="0" t="n">
        <v>457026</v>
      </c>
      <c r="C320" s="0" t="n">
        <v>510309</v>
      </c>
      <c r="D320" s="0" t="s">
        <v>35</v>
      </c>
      <c r="E320" s="0" t="s">
        <v>35</v>
      </c>
      <c r="F320" s="0" t="s">
        <v>36</v>
      </c>
      <c r="G320" s="0" t="s">
        <v>37</v>
      </c>
      <c r="H320" s="0" t="s">
        <v>815</v>
      </c>
      <c r="I320" s="0" t="s">
        <v>816</v>
      </c>
      <c r="J320" s="0" t="s">
        <v>817</v>
      </c>
      <c r="M320" s="0" t="s">
        <v>818</v>
      </c>
      <c r="N320" s="0" t="s">
        <v>819</v>
      </c>
      <c r="O320" s="0" t="s">
        <v>820</v>
      </c>
      <c r="P320" s="0" t="n">
        <v>1956</v>
      </c>
      <c r="Q320" s="0" t="s">
        <v>39</v>
      </c>
      <c r="R320" s="0" t="s">
        <v>821</v>
      </c>
      <c r="S320" s="0" t="s">
        <v>822</v>
      </c>
      <c r="V320" s="0" t="n">
        <v>1</v>
      </c>
      <c r="W320" s="0" t="n">
        <v>1</v>
      </c>
      <c r="X320" s="0" t="str">
        <f aca="false">"31811010326299"</f>
        <v>31811010326299</v>
      </c>
      <c r="Y320" s="0" t="s">
        <v>39</v>
      </c>
      <c r="Z320" s="0" t="s">
        <v>42</v>
      </c>
      <c r="AA320" s="0" t="s">
        <v>43</v>
      </c>
      <c r="AE320" s="1" t="s">
        <v>52</v>
      </c>
      <c r="AH320" s="1" t="s">
        <v>823</v>
      </c>
    </row>
    <row r="321" customFormat="false" ht="12.8" hidden="false" customHeight="false" outlineLevel="0" collapsed="false">
      <c r="A321" s="0" t="n">
        <v>199311</v>
      </c>
      <c r="B321" s="0" t="n">
        <v>218652</v>
      </c>
      <c r="C321" s="0" t="n">
        <v>245772</v>
      </c>
      <c r="D321" s="0" t="s">
        <v>35</v>
      </c>
      <c r="E321" s="0" t="s">
        <v>35</v>
      </c>
      <c r="F321" s="0" t="s">
        <v>36</v>
      </c>
      <c r="G321" s="0" t="s">
        <v>37</v>
      </c>
      <c r="H321" s="0" t="s">
        <v>824</v>
      </c>
      <c r="I321" s="0" t="s">
        <v>825</v>
      </c>
      <c r="J321" s="0" t="s">
        <v>826</v>
      </c>
      <c r="M321" s="0" t="s">
        <v>827</v>
      </c>
      <c r="N321" s="0" t="s">
        <v>828</v>
      </c>
      <c r="O321" s="0" t="s">
        <v>829</v>
      </c>
      <c r="P321" s="0" t="n">
        <v>1966</v>
      </c>
      <c r="Q321" s="0" t="s">
        <v>39</v>
      </c>
      <c r="R321" s="0" t="s">
        <v>830</v>
      </c>
      <c r="S321" s="0" t="s">
        <v>831</v>
      </c>
      <c r="V321" s="0" t="n">
        <v>1</v>
      </c>
      <c r="W321" s="0" t="n">
        <v>1</v>
      </c>
      <c r="X321" s="0" t="str">
        <f aca="false">"31811010326257"</f>
        <v>31811010326257</v>
      </c>
      <c r="Y321" s="0" t="s">
        <v>39</v>
      </c>
      <c r="Z321" s="0" t="s">
        <v>42</v>
      </c>
      <c r="AA321" s="0" t="s">
        <v>43</v>
      </c>
      <c r="AE321" s="1" t="s">
        <v>52</v>
      </c>
      <c r="AH321" s="1" t="s">
        <v>823</v>
      </c>
    </row>
    <row r="322" customFormat="false" ht="12.8" hidden="false" customHeight="false" outlineLevel="0" collapsed="false">
      <c r="A322" s="0" t="n">
        <v>205868</v>
      </c>
      <c r="B322" s="0" t="n">
        <v>225874</v>
      </c>
      <c r="C322" s="0" t="n">
        <v>254249</v>
      </c>
      <c r="D322" s="0" t="s">
        <v>35</v>
      </c>
      <c r="E322" s="0" t="s">
        <v>35</v>
      </c>
      <c r="F322" s="0" t="s">
        <v>36</v>
      </c>
      <c r="G322" s="0" t="s">
        <v>37</v>
      </c>
      <c r="H322" s="0" t="s">
        <v>832</v>
      </c>
      <c r="I322" s="0" t="s">
        <v>833</v>
      </c>
      <c r="J322" s="0" t="s">
        <v>834</v>
      </c>
      <c r="M322" s="0" t="s">
        <v>835</v>
      </c>
      <c r="N322" s="0" t="s">
        <v>836</v>
      </c>
      <c r="O322" s="0" t="s">
        <v>837</v>
      </c>
      <c r="P322" s="0" t="n">
        <v>1969</v>
      </c>
      <c r="Q322" s="0" t="s">
        <v>39</v>
      </c>
      <c r="R322" s="0" t="s">
        <v>838</v>
      </c>
      <c r="S322" s="0" t="s">
        <v>839</v>
      </c>
      <c r="V322" s="0" t="n">
        <v>1</v>
      </c>
      <c r="W322" s="0" t="n">
        <v>1</v>
      </c>
      <c r="X322" s="0" t="str">
        <f aca="false">"31811010326281"</f>
        <v>31811010326281</v>
      </c>
      <c r="Y322" s="0" t="s">
        <v>39</v>
      </c>
      <c r="Z322" s="0" t="s">
        <v>42</v>
      </c>
      <c r="AA322" s="0" t="s">
        <v>43</v>
      </c>
      <c r="AE322" s="1" t="s">
        <v>52</v>
      </c>
      <c r="AH322" s="1" t="s">
        <v>823</v>
      </c>
    </row>
    <row r="323" customFormat="false" ht="12.8" hidden="false" customHeight="false" outlineLevel="0" collapsed="false">
      <c r="A323" s="0" t="n">
        <v>137440</v>
      </c>
      <c r="B323" s="0" t="n">
        <v>148230</v>
      </c>
      <c r="C323" s="0" t="n">
        <v>165312</v>
      </c>
      <c r="D323" s="0" t="s">
        <v>35</v>
      </c>
      <c r="E323" s="0" t="s">
        <v>35</v>
      </c>
      <c r="F323" s="0" t="s">
        <v>36</v>
      </c>
      <c r="G323" s="0" t="s">
        <v>37</v>
      </c>
      <c r="H323" s="0" t="s">
        <v>840</v>
      </c>
      <c r="I323" s="0" t="s">
        <v>841</v>
      </c>
      <c r="J323" s="0" t="s">
        <v>842</v>
      </c>
      <c r="K323" s="0" t="s">
        <v>154</v>
      </c>
      <c r="L323" s="0" t="s">
        <v>843</v>
      </c>
      <c r="M323" s="0" t="s">
        <v>844</v>
      </c>
      <c r="N323" s="0" t="s">
        <v>264</v>
      </c>
      <c r="O323" s="0" t="s">
        <v>110</v>
      </c>
      <c r="P323" s="0" t="n">
        <v>1987</v>
      </c>
      <c r="Q323" s="0" t="s">
        <v>39</v>
      </c>
      <c r="R323" s="0" t="s">
        <v>845</v>
      </c>
      <c r="S323" s="0" t="s">
        <v>846</v>
      </c>
      <c r="V323" s="0" t="n">
        <v>1</v>
      </c>
      <c r="W323" s="0" t="n">
        <v>1</v>
      </c>
      <c r="X323" s="0" t="str">
        <f aca="false">"31811010326273"</f>
        <v>31811010326273</v>
      </c>
      <c r="Y323" s="0" t="s">
        <v>39</v>
      </c>
      <c r="Z323" s="0" t="s">
        <v>42</v>
      </c>
      <c r="AA323" s="0" t="s">
        <v>43</v>
      </c>
      <c r="AE323" s="1" t="s">
        <v>52</v>
      </c>
    </row>
    <row r="324" customFormat="false" ht="12.8" hidden="false" customHeight="false" outlineLevel="0" collapsed="false">
      <c r="A324" s="0" t="n">
        <v>384160</v>
      </c>
      <c r="B324" s="0" t="n">
        <v>415586</v>
      </c>
      <c r="C324" s="0" t="n">
        <v>463467</v>
      </c>
      <c r="D324" s="0" t="s">
        <v>35</v>
      </c>
      <c r="E324" s="0" t="s">
        <v>35</v>
      </c>
      <c r="F324" s="0" t="s">
        <v>36</v>
      </c>
      <c r="G324" s="0" t="s">
        <v>37</v>
      </c>
      <c r="H324" s="0" t="s">
        <v>847</v>
      </c>
      <c r="I324" s="0" t="s">
        <v>848</v>
      </c>
      <c r="J324" s="0" t="s">
        <v>849</v>
      </c>
      <c r="K324" s="0" t="s">
        <v>154</v>
      </c>
      <c r="L324" s="1" t="s">
        <v>850</v>
      </c>
      <c r="M324" s="0" t="s">
        <v>851</v>
      </c>
      <c r="N324" s="0" t="n">
        <v>1990</v>
      </c>
      <c r="O324" s="0" t="s">
        <v>852</v>
      </c>
      <c r="P324" s="0" t="n">
        <v>1990</v>
      </c>
      <c r="Q324" s="0" t="s">
        <v>39</v>
      </c>
      <c r="R324" s="0" t="s">
        <v>853</v>
      </c>
      <c r="S324" s="0" t="s">
        <v>854</v>
      </c>
      <c r="V324" s="0" t="n">
        <v>1</v>
      </c>
      <c r="W324" s="0" t="n">
        <v>1</v>
      </c>
      <c r="X324" s="0" t="str">
        <f aca="false">"31811011283531"</f>
        <v>31811011283531</v>
      </c>
      <c r="Y324" s="0" t="s">
        <v>39</v>
      </c>
      <c r="Z324" s="0" t="s">
        <v>42</v>
      </c>
      <c r="AA324" s="0" t="s">
        <v>43</v>
      </c>
      <c r="AE324" s="1" t="s">
        <v>52</v>
      </c>
    </row>
    <row r="325" customFormat="false" ht="12.8" hidden="false" customHeight="false" outlineLevel="0" collapsed="false">
      <c r="A325" s="0" t="n">
        <v>204847</v>
      </c>
      <c r="B325" s="0" t="n">
        <v>224746</v>
      </c>
      <c r="C325" s="0" t="n">
        <v>252895</v>
      </c>
      <c r="D325" s="0" t="s">
        <v>35</v>
      </c>
      <c r="E325" s="0" t="s">
        <v>35</v>
      </c>
      <c r="F325" s="0" t="s">
        <v>36</v>
      </c>
      <c r="G325" s="0" t="s">
        <v>37</v>
      </c>
      <c r="H325" s="0" t="s">
        <v>855</v>
      </c>
      <c r="I325" s="0" t="s">
        <v>856</v>
      </c>
      <c r="J325" s="0" t="s">
        <v>857</v>
      </c>
      <c r="K325" s="0" t="s">
        <v>858</v>
      </c>
      <c r="M325" s="0" t="s">
        <v>859</v>
      </c>
      <c r="N325" s="0" t="s">
        <v>860</v>
      </c>
      <c r="O325" s="0" t="s">
        <v>861</v>
      </c>
      <c r="P325" s="0" t="n">
        <v>1967</v>
      </c>
      <c r="Q325" s="0" t="s">
        <v>39</v>
      </c>
      <c r="R325" s="0" t="s">
        <v>862</v>
      </c>
      <c r="S325" s="0" t="s">
        <v>863</v>
      </c>
      <c r="V325" s="0" t="n">
        <v>2</v>
      </c>
      <c r="W325" s="0" t="n">
        <v>1</v>
      </c>
      <c r="X325" s="0" t="str">
        <f aca="false">"31811010172719"</f>
        <v>31811010172719</v>
      </c>
      <c r="Y325" s="0" t="s">
        <v>39</v>
      </c>
      <c r="Z325" s="0" t="s">
        <v>42</v>
      </c>
      <c r="AA325" s="0" t="s">
        <v>43</v>
      </c>
      <c r="AE325" s="1" t="s">
        <v>52</v>
      </c>
      <c r="AF325" s="1" t="s">
        <v>864</v>
      </c>
      <c r="AH325" s="1" t="s">
        <v>865</v>
      </c>
    </row>
    <row r="326" customFormat="false" ht="12.8" hidden="false" customHeight="false" outlineLevel="0" collapsed="false">
      <c r="A326" s="0" t="n">
        <v>551774</v>
      </c>
      <c r="B326" s="0" t="n">
        <v>590289</v>
      </c>
      <c r="C326" s="0" t="n">
        <v>666768</v>
      </c>
      <c r="D326" s="0" t="s">
        <v>35</v>
      </c>
      <c r="E326" s="0" t="s">
        <v>35</v>
      </c>
      <c r="F326" s="0" t="s">
        <v>36</v>
      </c>
      <c r="G326" s="0" t="s">
        <v>37</v>
      </c>
      <c r="H326" s="0" t="s">
        <v>866</v>
      </c>
      <c r="I326" s="0" t="s">
        <v>867</v>
      </c>
      <c r="J326" s="0" t="s">
        <v>868</v>
      </c>
      <c r="K326" s="0" t="s">
        <v>154</v>
      </c>
      <c r="L326" s="0" t="n">
        <v>60198265</v>
      </c>
      <c r="M326" s="0" t="s">
        <v>869</v>
      </c>
      <c r="N326" s="0" t="s">
        <v>870</v>
      </c>
      <c r="O326" s="0" t="s">
        <v>871</v>
      </c>
      <c r="P326" s="0" t="n">
        <v>2001</v>
      </c>
      <c r="Q326" s="0" t="s">
        <v>39</v>
      </c>
      <c r="R326" s="0" t="s">
        <v>872</v>
      </c>
      <c r="S326" s="0" t="s">
        <v>873</v>
      </c>
      <c r="V326" s="0" t="n">
        <v>1</v>
      </c>
      <c r="W326" s="0" t="n">
        <v>1</v>
      </c>
      <c r="X326" s="0" t="str">
        <f aca="false">"31811012112226"</f>
        <v>31811012112226</v>
      </c>
      <c r="Y326" s="0" t="s">
        <v>39</v>
      </c>
      <c r="Z326" s="0" t="s">
        <v>42</v>
      </c>
      <c r="AA326" s="0" t="s">
        <v>43</v>
      </c>
      <c r="AE326" s="1" t="s">
        <v>52</v>
      </c>
      <c r="AH326" s="1" t="s">
        <v>874</v>
      </c>
    </row>
    <row r="327" customFormat="false" ht="12.8" hidden="false" customHeight="false" outlineLevel="0" collapsed="false">
      <c r="A327" s="0" t="n">
        <v>96935</v>
      </c>
      <c r="B327" s="0" t="n">
        <v>104621</v>
      </c>
      <c r="C327" s="0" t="n">
        <v>117190</v>
      </c>
      <c r="D327" s="0" t="s">
        <v>35</v>
      </c>
      <c r="E327" s="0" t="s">
        <v>35</v>
      </c>
      <c r="F327" s="0" t="s">
        <v>36</v>
      </c>
      <c r="G327" s="0" t="s">
        <v>37</v>
      </c>
      <c r="H327" s="0" t="s">
        <v>875</v>
      </c>
      <c r="I327" s="0" t="s">
        <v>876</v>
      </c>
      <c r="J327" s="0" t="s">
        <v>877</v>
      </c>
      <c r="K327" s="0" t="s">
        <v>154</v>
      </c>
      <c r="L327" s="0" t="s">
        <v>878</v>
      </c>
      <c r="M327" s="0" t="s">
        <v>879</v>
      </c>
      <c r="N327" s="0" t="s">
        <v>880</v>
      </c>
      <c r="O327" s="0" t="s">
        <v>110</v>
      </c>
      <c r="P327" s="0" t="n">
        <v>1984</v>
      </c>
      <c r="Q327" s="0" t="s">
        <v>39</v>
      </c>
      <c r="R327" s="0" t="s">
        <v>881</v>
      </c>
      <c r="S327" s="0" t="s">
        <v>882</v>
      </c>
      <c r="V327" s="0" t="n">
        <v>1</v>
      </c>
      <c r="W327" s="0" t="n">
        <v>1</v>
      </c>
      <c r="X327" s="0" t="str">
        <f aca="false">"31811010637539"</f>
        <v>31811010637539</v>
      </c>
      <c r="Y327" s="0" t="s">
        <v>39</v>
      </c>
      <c r="Z327" s="0" t="s">
        <v>42</v>
      </c>
      <c r="AA327" s="0" t="s">
        <v>43</v>
      </c>
      <c r="AE327" s="1" t="s">
        <v>52</v>
      </c>
      <c r="AF327" s="1" t="s">
        <v>433</v>
      </c>
    </row>
    <row r="328" customFormat="false" ht="12.8" hidden="false" customHeight="false" outlineLevel="0" collapsed="false">
      <c r="A328" s="0" t="n">
        <v>501065</v>
      </c>
      <c r="B328" s="0" t="n">
        <v>482350</v>
      </c>
      <c r="C328" s="0" t="n">
        <v>540537</v>
      </c>
      <c r="D328" s="0" t="s">
        <v>35</v>
      </c>
      <c r="E328" s="0" t="s">
        <v>35</v>
      </c>
      <c r="F328" s="0" t="s">
        <v>36</v>
      </c>
      <c r="G328" s="0" t="s">
        <v>37</v>
      </c>
      <c r="H328" s="0" t="s">
        <v>883</v>
      </c>
      <c r="I328" s="0" t="s">
        <v>884</v>
      </c>
      <c r="J328" s="0" t="s">
        <v>885</v>
      </c>
      <c r="M328" s="0" t="s">
        <v>886</v>
      </c>
      <c r="N328" s="0" t="s">
        <v>887</v>
      </c>
      <c r="O328" s="0" t="s">
        <v>888</v>
      </c>
      <c r="P328" s="0" t="n">
        <v>1892</v>
      </c>
      <c r="Q328" s="0" t="s">
        <v>39</v>
      </c>
      <c r="R328" s="0" t="s">
        <v>889</v>
      </c>
      <c r="S328" s="0" t="s">
        <v>890</v>
      </c>
      <c r="V328" s="0" t="n">
        <v>1</v>
      </c>
      <c r="W328" s="0" t="n">
        <v>1</v>
      </c>
      <c r="X328" s="0" t="str">
        <f aca="false">"31811003178426"</f>
        <v>31811003178426</v>
      </c>
      <c r="Y328" s="0" t="s">
        <v>39</v>
      </c>
      <c r="Z328" s="0" t="s">
        <v>42</v>
      </c>
      <c r="AA328" s="0" t="s">
        <v>43</v>
      </c>
      <c r="AE328" s="1" t="s">
        <v>52</v>
      </c>
    </row>
    <row r="329" customFormat="false" ht="12.8" hidden="false" customHeight="false" outlineLevel="0" collapsed="false">
      <c r="A329" s="0" t="n">
        <v>212961</v>
      </c>
      <c r="B329" s="0" t="n">
        <v>233666</v>
      </c>
      <c r="C329" s="0" t="n">
        <v>263062</v>
      </c>
      <c r="D329" s="0" t="s">
        <v>35</v>
      </c>
      <c r="E329" s="0" t="s">
        <v>35</v>
      </c>
      <c r="F329" s="0" t="s">
        <v>36</v>
      </c>
      <c r="G329" s="0" t="s">
        <v>37</v>
      </c>
      <c r="H329" s="0" t="s">
        <v>891</v>
      </c>
      <c r="I329" s="0" t="s">
        <v>892</v>
      </c>
      <c r="J329" s="0" t="s">
        <v>893</v>
      </c>
      <c r="L329" s="0" t="s">
        <v>894</v>
      </c>
      <c r="M329" s="0" t="s">
        <v>895</v>
      </c>
      <c r="N329" s="0" t="s">
        <v>880</v>
      </c>
      <c r="O329" s="0" t="s">
        <v>896</v>
      </c>
      <c r="P329" s="0" t="n">
        <v>1984</v>
      </c>
      <c r="Q329" s="0" t="s">
        <v>39</v>
      </c>
      <c r="R329" s="0" t="s">
        <v>897</v>
      </c>
      <c r="S329" s="0" t="s">
        <v>898</v>
      </c>
      <c r="V329" s="0" t="n">
        <v>1</v>
      </c>
      <c r="W329" s="0" t="n">
        <v>1</v>
      </c>
      <c r="X329" s="0" t="str">
        <f aca="false">"31811013352904"</f>
        <v>31811013352904</v>
      </c>
      <c r="Y329" s="0" t="s">
        <v>39</v>
      </c>
      <c r="Z329" s="0" t="s">
        <v>42</v>
      </c>
      <c r="AA329" s="0" t="s">
        <v>43</v>
      </c>
      <c r="AE329" s="1" t="s">
        <v>52</v>
      </c>
      <c r="AF329" s="1" t="s">
        <v>433</v>
      </c>
    </row>
    <row r="330" customFormat="false" ht="12.8" hidden="false" customHeight="false" outlineLevel="0" collapsed="false">
      <c r="A330" s="0" t="n">
        <v>439337</v>
      </c>
      <c r="B330" s="0" t="n">
        <v>524780</v>
      </c>
      <c r="C330" s="0" t="n">
        <v>589184</v>
      </c>
      <c r="D330" s="0" t="s">
        <v>35</v>
      </c>
      <c r="E330" s="0" t="s">
        <v>35</v>
      </c>
      <c r="F330" s="0" t="s">
        <v>36</v>
      </c>
      <c r="G330" s="0" t="s">
        <v>37</v>
      </c>
      <c r="H330" s="0" t="s">
        <v>899</v>
      </c>
      <c r="I330" s="0" t="s">
        <v>900</v>
      </c>
      <c r="J330" s="0" t="s">
        <v>901</v>
      </c>
      <c r="L330" s="1" t="s">
        <v>902</v>
      </c>
      <c r="M330" s="0" t="s">
        <v>903</v>
      </c>
      <c r="N330" s="0" t="s">
        <v>904</v>
      </c>
      <c r="O330" s="0" t="s">
        <v>905</v>
      </c>
      <c r="P330" s="0" t="n">
        <v>1988</v>
      </c>
      <c r="Q330" s="0" t="s">
        <v>39</v>
      </c>
      <c r="R330" s="0" t="s">
        <v>906</v>
      </c>
      <c r="S330" s="0" t="s">
        <v>907</v>
      </c>
      <c r="V330" s="0" t="n">
        <v>1</v>
      </c>
      <c r="W330" s="0" t="n">
        <v>1</v>
      </c>
      <c r="X330" s="0" t="str">
        <f aca="false">"31811010637307"</f>
        <v>31811010637307</v>
      </c>
      <c r="Y330" s="0" t="s">
        <v>39</v>
      </c>
      <c r="Z330" s="0" t="s">
        <v>42</v>
      </c>
      <c r="AA330" s="0" t="s">
        <v>43</v>
      </c>
      <c r="AE330" s="1" t="s">
        <v>52</v>
      </c>
      <c r="AF330" s="1" t="s">
        <v>433</v>
      </c>
    </row>
    <row r="331" customFormat="false" ht="12.8" hidden="false" customHeight="false" outlineLevel="0" collapsed="false">
      <c r="A331" s="0" t="n">
        <v>534004</v>
      </c>
      <c r="B331" s="0" t="n">
        <v>572135</v>
      </c>
      <c r="C331" s="0" t="n">
        <v>646506</v>
      </c>
      <c r="D331" s="0" t="s">
        <v>35</v>
      </c>
      <c r="E331" s="0" t="s">
        <v>35</v>
      </c>
      <c r="F331" s="0" t="s">
        <v>480</v>
      </c>
      <c r="G331" s="0" t="s">
        <v>37</v>
      </c>
      <c r="H331" s="0" t="s">
        <v>908</v>
      </c>
      <c r="J331" s="0" t="s">
        <v>908</v>
      </c>
      <c r="K331" s="0" t="s">
        <v>909</v>
      </c>
      <c r="M331" s="0" t="s">
        <v>910</v>
      </c>
      <c r="N331" s="0" t="s">
        <v>911</v>
      </c>
      <c r="O331" s="0" t="s">
        <v>912</v>
      </c>
      <c r="P331" s="0" t="s">
        <v>913</v>
      </c>
      <c r="Q331" s="0" t="s">
        <v>39</v>
      </c>
      <c r="R331" s="0" t="s">
        <v>914</v>
      </c>
      <c r="S331" s="0" t="s">
        <v>915</v>
      </c>
      <c r="T331" s="0" t="n">
        <v>1999</v>
      </c>
      <c r="V331" s="0" t="n">
        <v>1</v>
      </c>
      <c r="W331" s="0" t="n">
        <v>1</v>
      </c>
      <c r="X331" s="0" t="str">
        <f aca="false">"31811010592858"</f>
        <v>31811010592858</v>
      </c>
      <c r="Y331" s="0" t="s">
        <v>39</v>
      </c>
      <c r="Z331" s="0" t="s">
        <v>42</v>
      </c>
      <c r="AA331" s="0" t="s">
        <v>622</v>
      </c>
      <c r="AE331" s="1" t="s">
        <v>52</v>
      </c>
      <c r="AF331" s="1" t="s">
        <v>716</v>
      </c>
    </row>
    <row r="332" customFormat="false" ht="12.8" hidden="false" customHeight="false" outlineLevel="0" collapsed="false">
      <c r="A332" s="0" t="n">
        <v>311586</v>
      </c>
      <c r="B332" s="0" t="n">
        <v>339511</v>
      </c>
      <c r="C332" s="0" t="n">
        <v>379117</v>
      </c>
      <c r="D332" s="0" t="s">
        <v>35</v>
      </c>
      <c r="E332" s="0" t="s">
        <v>35</v>
      </c>
      <c r="F332" s="0" t="s">
        <v>36</v>
      </c>
      <c r="G332" s="0" t="s">
        <v>481</v>
      </c>
      <c r="H332" s="0" t="s">
        <v>916</v>
      </c>
      <c r="I332" s="0" t="s">
        <v>917</v>
      </c>
      <c r="J332" s="0" t="s">
        <v>918</v>
      </c>
      <c r="M332" s="0" t="s">
        <v>919</v>
      </c>
      <c r="N332" s="0" t="n">
        <v>1977</v>
      </c>
      <c r="O332" s="0" t="s">
        <v>920</v>
      </c>
      <c r="P332" s="0" t="n">
        <v>1977</v>
      </c>
      <c r="Q332" s="0" t="s">
        <v>39</v>
      </c>
      <c r="R332" s="0" t="s">
        <v>921</v>
      </c>
      <c r="S332" s="0" t="s">
        <v>922</v>
      </c>
      <c r="V332" s="0" t="n">
        <v>1</v>
      </c>
      <c r="W332" s="0" t="n">
        <v>1</v>
      </c>
      <c r="X332" s="0" t="str">
        <f aca="false">"31811010326240"</f>
        <v>31811010326240</v>
      </c>
      <c r="Y332" s="0" t="s">
        <v>39</v>
      </c>
      <c r="Z332" s="0" t="s">
        <v>42</v>
      </c>
      <c r="AA332" s="0" t="s">
        <v>43</v>
      </c>
      <c r="AE332" s="1" t="s">
        <v>52</v>
      </c>
    </row>
    <row r="333" customFormat="false" ht="12.8" hidden="false" customHeight="false" outlineLevel="0" collapsed="false">
      <c r="A333" s="0" t="n">
        <v>143173</v>
      </c>
      <c r="B333" s="0" t="n">
        <v>154824</v>
      </c>
      <c r="C333" s="0" t="n">
        <v>173073</v>
      </c>
      <c r="D333" s="0" t="s">
        <v>35</v>
      </c>
      <c r="E333" s="0" t="s">
        <v>35</v>
      </c>
      <c r="F333" s="0" t="s">
        <v>36</v>
      </c>
      <c r="G333" s="0" t="s">
        <v>37</v>
      </c>
      <c r="H333" s="0" t="s">
        <v>923</v>
      </c>
      <c r="I333" s="0" t="s">
        <v>924</v>
      </c>
      <c r="J333" s="0" t="s">
        <v>925</v>
      </c>
      <c r="L333" s="0" t="s">
        <v>926</v>
      </c>
      <c r="M333" s="0" t="s">
        <v>927</v>
      </c>
      <c r="N333" s="0" t="s">
        <v>928</v>
      </c>
      <c r="O333" s="0" t="s">
        <v>929</v>
      </c>
      <c r="P333" s="0" t="n">
        <v>1987</v>
      </c>
      <c r="Q333" s="0" t="s">
        <v>39</v>
      </c>
      <c r="R333" s="0" t="s">
        <v>930</v>
      </c>
      <c r="S333" s="0" t="s">
        <v>931</v>
      </c>
      <c r="V333" s="0" t="n">
        <v>1</v>
      </c>
      <c r="W333" s="0" t="n">
        <v>1</v>
      </c>
      <c r="X333" s="0" t="str">
        <f aca="false">"31811010637349"</f>
        <v>31811010637349</v>
      </c>
      <c r="Y333" s="0" t="s">
        <v>39</v>
      </c>
      <c r="Z333" s="0" t="s">
        <v>42</v>
      </c>
      <c r="AA333" s="0" t="s">
        <v>43</v>
      </c>
      <c r="AE333" s="1" t="s">
        <v>52</v>
      </c>
      <c r="AF333" s="1" t="s">
        <v>433</v>
      </c>
      <c r="AH333" s="1" t="s">
        <v>454</v>
      </c>
    </row>
    <row r="334" customFormat="false" ht="12.8" hidden="false" customHeight="false" outlineLevel="0" collapsed="false">
      <c r="A334" s="0" t="n">
        <v>539594</v>
      </c>
      <c r="B334" s="0" t="n">
        <v>577862</v>
      </c>
      <c r="C334" s="0" t="n">
        <v>653887</v>
      </c>
      <c r="D334" s="0" t="s">
        <v>35</v>
      </c>
      <c r="E334" s="0" t="s">
        <v>35</v>
      </c>
      <c r="F334" s="0" t="s">
        <v>36</v>
      </c>
      <c r="G334" s="0" t="s">
        <v>37</v>
      </c>
      <c r="H334" s="0" t="s">
        <v>932</v>
      </c>
      <c r="I334" s="0" t="s">
        <v>933</v>
      </c>
      <c r="J334" s="0" t="s">
        <v>934</v>
      </c>
      <c r="K334" s="0" t="s">
        <v>154</v>
      </c>
      <c r="L334" s="0" t="n">
        <v>312154828</v>
      </c>
      <c r="M334" s="0" t="s">
        <v>935</v>
      </c>
      <c r="N334" s="0" t="n">
        <v>1997</v>
      </c>
      <c r="O334" s="0" t="s">
        <v>936</v>
      </c>
      <c r="P334" s="0" t="n">
        <v>1997</v>
      </c>
      <c r="Q334" s="0" t="s">
        <v>39</v>
      </c>
      <c r="R334" s="0" t="s">
        <v>937</v>
      </c>
      <c r="S334" s="0" t="s">
        <v>938</v>
      </c>
      <c r="V334" s="0" t="n">
        <v>1</v>
      </c>
      <c r="W334" s="0" t="n">
        <v>1</v>
      </c>
      <c r="X334" s="0" t="str">
        <f aca="false">"31811010589532"</f>
        <v>31811010589532</v>
      </c>
      <c r="Y334" s="0" t="s">
        <v>39</v>
      </c>
      <c r="Z334" s="0" t="s">
        <v>42</v>
      </c>
      <c r="AA334" s="0" t="s">
        <v>43</v>
      </c>
      <c r="AE334" s="1" t="s">
        <v>52</v>
      </c>
      <c r="AF334" s="1" t="s">
        <v>433</v>
      </c>
    </row>
    <row r="335" customFormat="false" ht="12.8" hidden="false" customHeight="false" outlineLevel="0" collapsed="false">
      <c r="A335" s="0" t="n">
        <v>561531</v>
      </c>
      <c r="B335" s="0" t="n">
        <v>600785</v>
      </c>
      <c r="C335" s="0" t="n">
        <v>678705</v>
      </c>
      <c r="D335" s="0" t="s">
        <v>35</v>
      </c>
      <c r="E335" s="0" t="s">
        <v>35</v>
      </c>
      <c r="F335" s="0" t="s">
        <v>36</v>
      </c>
      <c r="G335" s="0" t="s">
        <v>37</v>
      </c>
      <c r="H335" s="0" t="s">
        <v>939</v>
      </c>
      <c r="I335" s="0" t="s">
        <v>841</v>
      </c>
      <c r="J335" s="0" t="s">
        <v>940</v>
      </c>
      <c r="K335" s="0" t="s">
        <v>154</v>
      </c>
      <c r="L335" s="1" t="s">
        <v>941</v>
      </c>
      <c r="M335" s="0" t="s">
        <v>942</v>
      </c>
      <c r="N335" s="0" t="s">
        <v>943</v>
      </c>
      <c r="O335" s="0" t="s">
        <v>944</v>
      </c>
      <c r="P335" s="0" t="n">
        <v>1993</v>
      </c>
      <c r="Q335" s="0" t="s">
        <v>39</v>
      </c>
      <c r="R335" s="0" t="s">
        <v>945</v>
      </c>
      <c r="S335" s="0" t="s">
        <v>946</v>
      </c>
      <c r="V335" s="0" t="n">
        <v>1</v>
      </c>
      <c r="W335" s="0" t="n">
        <v>1</v>
      </c>
      <c r="X335" s="0" t="str">
        <f aca="false">"31811012228097"</f>
        <v>31811012228097</v>
      </c>
      <c r="Y335" s="0" t="s">
        <v>39</v>
      </c>
      <c r="Z335" s="0" t="s">
        <v>42</v>
      </c>
      <c r="AA335" s="0" t="s">
        <v>43</v>
      </c>
      <c r="AE335" s="1" t="s">
        <v>947</v>
      </c>
      <c r="AH335" s="1" t="s">
        <v>948</v>
      </c>
    </row>
    <row r="336" customFormat="false" ht="12.8" hidden="false" customHeight="false" outlineLevel="0" collapsed="false">
      <c r="A336" s="0" t="n">
        <v>185587</v>
      </c>
      <c r="B336" s="0" t="n">
        <v>203190</v>
      </c>
      <c r="C336" s="0" t="n">
        <v>228150</v>
      </c>
      <c r="D336" s="0" t="s">
        <v>35</v>
      </c>
      <c r="E336" s="0" t="s">
        <v>35</v>
      </c>
      <c r="F336" s="0" t="s">
        <v>36</v>
      </c>
      <c r="G336" s="0" t="s">
        <v>37</v>
      </c>
      <c r="H336" s="0" t="s">
        <v>949</v>
      </c>
      <c r="I336" s="0" t="s">
        <v>950</v>
      </c>
      <c r="J336" s="0" t="s">
        <v>949</v>
      </c>
      <c r="K336" s="0" t="s">
        <v>428</v>
      </c>
      <c r="M336" s="0" t="s">
        <v>951</v>
      </c>
      <c r="N336" s="0" t="s">
        <v>952</v>
      </c>
      <c r="O336" s="0" t="s">
        <v>953</v>
      </c>
      <c r="P336" s="0" t="n">
        <v>1965</v>
      </c>
      <c r="Q336" s="0" t="s">
        <v>39</v>
      </c>
      <c r="R336" s="0" t="s">
        <v>954</v>
      </c>
      <c r="S336" s="0" t="s">
        <v>955</v>
      </c>
      <c r="V336" s="0" t="n">
        <v>1</v>
      </c>
      <c r="W336" s="0" t="n">
        <v>1</v>
      </c>
      <c r="X336" s="0" t="str">
        <f aca="false">"31811010326232"</f>
        <v>31811010326232</v>
      </c>
      <c r="Y336" s="0" t="s">
        <v>39</v>
      </c>
      <c r="Z336" s="0" t="s">
        <v>42</v>
      </c>
      <c r="AA336" s="0" t="s">
        <v>43</v>
      </c>
      <c r="AE336" s="1" t="s">
        <v>52</v>
      </c>
    </row>
    <row r="337" customFormat="false" ht="12.8" hidden="false" customHeight="false" outlineLevel="0" collapsed="false">
      <c r="A337" s="0" t="n">
        <v>224344</v>
      </c>
      <c r="B337" s="0" t="n">
        <v>246091</v>
      </c>
      <c r="C337" s="0" t="n">
        <v>277319</v>
      </c>
      <c r="D337" s="0" t="s">
        <v>35</v>
      </c>
      <c r="E337" s="0" t="s">
        <v>35</v>
      </c>
      <c r="F337" s="0" t="s">
        <v>480</v>
      </c>
      <c r="G337" s="0" t="s">
        <v>37</v>
      </c>
      <c r="H337" s="0" t="s">
        <v>956</v>
      </c>
      <c r="J337" s="0" t="s">
        <v>956</v>
      </c>
      <c r="M337" s="0" t="s">
        <v>957</v>
      </c>
      <c r="N337" s="0" t="s">
        <v>958</v>
      </c>
      <c r="O337" s="0" t="s">
        <v>959</v>
      </c>
      <c r="P337" s="0" t="n">
        <v>1955</v>
      </c>
      <c r="Q337" s="0" t="s">
        <v>39</v>
      </c>
      <c r="R337" s="0" t="s">
        <v>960</v>
      </c>
      <c r="S337" s="0" t="s">
        <v>961</v>
      </c>
      <c r="T337" s="0" t="n">
        <v>1999</v>
      </c>
      <c r="V337" s="0" t="n">
        <v>1</v>
      </c>
      <c r="W337" s="0" t="n">
        <v>1</v>
      </c>
      <c r="X337" s="0" t="str">
        <f aca="false">"31811011364117"</f>
        <v>31811011364117</v>
      </c>
      <c r="Y337" s="0" t="s">
        <v>39</v>
      </c>
      <c r="Z337" s="0" t="s">
        <v>42</v>
      </c>
      <c r="AA337" s="0" t="s">
        <v>622</v>
      </c>
      <c r="AE337" s="1" t="s">
        <v>52</v>
      </c>
      <c r="AF337" s="1" t="s">
        <v>962</v>
      </c>
      <c r="AG337" s="0" t="n">
        <v>3901</v>
      </c>
    </row>
    <row r="338" customFormat="false" ht="12.8" hidden="false" customHeight="false" outlineLevel="0" collapsed="false">
      <c r="A338" s="0" t="n">
        <v>224344</v>
      </c>
      <c r="B338" s="0" t="n">
        <v>246091</v>
      </c>
      <c r="C338" s="0" t="n">
        <v>277320</v>
      </c>
      <c r="D338" s="0" t="s">
        <v>35</v>
      </c>
      <c r="E338" s="0" t="s">
        <v>35</v>
      </c>
      <c r="F338" s="0" t="s">
        <v>480</v>
      </c>
      <c r="G338" s="0" t="s">
        <v>37</v>
      </c>
      <c r="H338" s="0" t="s">
        <v>956</v>
      </c>
      <c r="J338" s="0" t="s">
        <v>956</v>
      </c>
      <c r="M338" s="0" t="s">
        <v>957</v>
      </c>
      <c r="N338" s="0" t="s">
        <v>958</v>
      </c>
      <c r="O338" s="0" t="s">
        <v>959</v>
      </c>
      <c r="P338" s="0" t="n">
        <v>1955</v>
      </c>
      <c r="Q338" s="0" t="s">
        <v>39</v>
      </c>
      <c r="R338" s="0" t="s">
        <v>960</v>
      </c>
      <c r="S338" s="0" t="s">
        <v>961</v>
      </c>
      <c r="T338" s="0" t="n">
        <v>1998</v>
      </c>
      <c r="V338" s="0" t="n">
        <v>1</v>
      </c>
      <c r="W338" s="0" t="n">
        <v>1</v>
      </c>
      <c r="X338" s="0" t="str">
        <f aca="false">"31811010969924"</f>
        <v>31811010969924</v>
      </c>
      <c r="Y338" s="0" t="s">
        <v>39</v>
      </c>
      <c r="Z338" s="0" t="s">
        <v>42</v>
      </c>
      <c r="AA338" s="0" t="s">
        <v>622</v>
      </c>
      <c r="AE338" s="1" t="s">
        <v>52</v>
      </c>
      <c r="AF338" s="1" t="s">
        <v>962</v>
      </c>
      <c r="AG338" s="0" t="n">
        <v>3901</v>
      </c>
    </row>
    <row r="339" customFormat="false" ht="12.8" hidden="false" customHeight="false" outlineLevel="0" collapsed="false">
      <c r="A339" s="0" t="n">
        <v>224344</v>
      </c>
      <c r="B339" s="0" t="n">
        <v>246091</v>
      </c>
      <c r="C339" s="0" t="n">
        <v>277321</v>
      </c>
      <c r="D339" s="0" t="s">
        <v>35</v>
      </c>
      <c r="E339" s="0" t="s">
        <v>35</v>
      </c>
      <c r="F339" s="0" t="s">
        <v>480</v>
      </c>
      <c r="G339" s="0" t="s">
        <v>37</v>
      </c>
      <c r="H339" s="0" t="s">
        <v>956</v>
      </c>
      <c r="J339" s="0" t="s">
        <v>956</v>
      </c>
      <c r="M339" s="0" t="s">
        <v>957</v>
      </c>
      <c r="N339" s="0" t="s">
        <v>958</v>
      </c>
      <c r="O339" s="0" t="s">
        <v>959</v>
      </c>
      <c r="P339" s="0" t="n">
        <v>1955</v>
      </c>
      <c r="Q339" s="0" t="s">
        <v>39</v>
      </c>
      <c r="R339" s="0" t="s">
        <v>960</v>
      </c>
      <c r="S339" s="0" t="s">
        <v>961</v>
      </c>
      <c r="T339" s="0" t="n">
        <v>1997</v>
      </c>
      <c r="V339" s="0" t="n">
        <v>1</v>
      </c>
      <c r="W339" s="0" t="n">
        <v>1</v>
      </c>
      <c r="X339" s="0" t="str">
        <f aca="false">"31811010997180"</f>
        <v>31811010997180</v>
      </c>
      <c r="Y339" s="0" t="s">
        <v>39</v>
      </c>
      <c r="Z339" s="0" t="s">
        <v>42</v>
      </c>
      <c r="AA339" s="0" t="s">
        <v>622</v>
      </c>
      <c r="AE339" s="1" t="s">
        <v>52</v>
      </c>
      <c r="AF339" s="1" t="s">
        <v>962</v>
      </c>
      <c r="AG339" s="0" t="n">
        <v>3901</v>
      </c>
    </row>
    <row r="340" customFormat="false" ht="12.8" hidden="false" customHeight="false" outlineLevel="0" collapsed="false">
      <c r="A340" s="0" t="n">
        <v>224344</v>
      </c>
      <c r="B340" s="0" t="n">
        <v>246091</v>
      </c>
      <c r="C340" s="0" t="n">
        <v>277322</v>
      </c>
      <c r="D340" s="0" t="s">
        <v>35</v>
      </c>
      <c r="E340" s="0" t="s">
        <v>35</v>
      </c>
      <c r="F340" s="0" t="s">
        <v>480</v>
      </c>
      <c r="G340" s="0" t="s">
        <v>37</v>
      </c>
      <c r="H340" s="0" t="s">
        <v>956</v>
      </c>
      <c r="J340" s="0" t="s">
        <v>956</v>
      </c>
      <c r="M340" s="0" t="s">
        <v>957</v>
      </c>
      <c r="N340" s="0" t="s">
        <v>958</v>
      </c>
      <c r="O340" s="0" t="s">
        <v>959</v>
      </c>
      <c r="P340" s="0" t="n">
        <v>1955</v>
      </c>
      <c r="Q340" s="0" t="s">
        <v>39</v>
      </c>
      <c r="R340" s="0" t="s">
        <v>960</v>
      </c>
      <c r="S340" s="0" t="s">
        <v>961</v>
      </c>
      <c r="T340" s="0" t="n">
        <v>1996</v>
      </c>
      <c r="V340" s="0" t="n">
        <v>1</v>
      </c>
      <c r="W340" s="0" t="n">
        <v>1</v>
      </c>
      <c r="X340" s="0" t="str">
        <f aca="false">"38888070072123"</f>
        <v>38888070072123</v>
      </c>
      <c r="Y340" s="0" t="s">
        <v>39</v>
      </c>
      <c r="Z340" s="0" t="s">
        <v>42</v>
      </c>
      <c r="AA340" s="0" t="s">
        <v>622</v>
      </c>
      <c r="AE340" s="1" t="s">
        <v>52</v>
      </c>
      <c r="AF340" s="1" t="s">
        <v>962</v>
      </c>
      <c r="AG340" s="0" t="n">
        <v>3901</v>
      </c>
    </row>
    <row r="341" customFormat="false" ht="12.8" hidden="false" customHeight="false" outlineLevel="0" collapsed="false">
      <c r="A341" s="0" t="n">
        <v>224344</v>
      </c>
      <c r="B341" s="0" t="n">
        <v>246091</v>
      </c>
      <c r="C341" s="0" t="n">
        <v>277323</v>
      </c>
      <c r="D341" s="0" t="s">
        <v>35</v>
      </c>
      <c r="E341" s="0" t="s">
        <v>35</v>
      </c>
      <c r="F341" s="0" t="s">
        <v>480</v>
      </c>
      <c r="G341" s="0" t="s">
        <v>37</v>
      </c>
      <c r="H341" s="0" t="s">
        <v>956</v>
      </c>
      <c r="J341" s="0" t="s">
        <v>956</v>
      </c>
      <c r="M341" s="0" t="s">
        <v>957</v>
      </c>
      <c r="N341" s="0" t="s">
        <v>958</v>
      </c>
      <c r="O341" s="0" t="s">
        <v>959</v>
      </c>
      <c r="P341" s="0" t="n">
        <v>1955</v>
      </c>
      <c r="Q341" s="0" t="s">
        <v>39</v>
      </c>
      <c r="R341" s="0" t="s">
        <v>960</v>
      </c>
      <c r="S341" s="0" t="s">
        <v>961</v>
      </c>
      <c r="T341" s="0" t="s">
        <v>963</v>
      </c>
      <c r="V341" s="0" t="n">
        <v>1</v>
      </c>
      <c r="W341" s="0" t="n">
        <v>1</v>
      </c>
      <c r="X341" s="0" t="str">
        <f aca="false">"31811010093600"</f>
        <v>31811010093600</v>
      </c>
      <c r="Y341" s="0" t="s">
        <v>39</v>
      </c>
      <c r="Z341" s="0" t="s">
        <v>42</v>
      </c>
      <c r="AA341" s="0" t="s">
        <v>622</v>
      </c>
      <c r="AE341" s="1" t="s">
        <v>52</v>
      </c>
      <c r="AF341" s="1" t="s">
        <v>962</v>
      </c>
      <c r="AG341" s="0" t="n">
        <v>3901</v>
      </c>
    </row>
    <row r="342" customFormat="false" ht="12.8" hidden="false" customHeight="false" outlineLevel="0" collapsed="false">
      <c r="A342" s="0" t="n">
        <v>224344</v>
      </c>
      <c r="B342" s="0" t="n">
        <v>246091</v>
      </c>
      <c r="C342" s="0" t="n">
        <v>277324</v>
      </c>
      <c r="D342" s="0" t="s">
        <v>35</v>
      </c>
      <c r="E342" s="0" t="s">
        <v>35</v>
      </c>
      <c r="F342" s="0" t="s">
        <v>480</v>
      </c>
      <c r="G342" s="0" t="s">
        <v>37</v>
      </c>
      <c r="H342" s="0" t="s">
        <v>956</v>
      </c>
      <c r="J342" s="0" t="s">
        <v>956</v>
      </c>
      <c r="M342" s="0" t="s">
        <v>957</v>
      </c>
      <c r="N342" s="0" t="s">
        <v>958</v>
      </c>
      <c r="O342" s="0" t="s">
        <v>959</v>
      </c>
      <c r="P342" s="0" t="n">
        <v>1955</v>
      </c>
      <c r="Q342" s="0" t="s">
        <v>39</v>
      </c>
      <c r="R342" s="0" t="s">
        <v>960</v>
      </c>
      <c r="S342" s="0" t="s">
        <v>961</v>
      </c>
      <c r="T342" s="0" t="s">
        <v>964</v>
      </c>
      <c r="V342" s="0" t="n">
        <v>1</v>
      </c>
      <c r="W342" s="0" t="n">
        <v>1</v>
      </c>
      <c r="X342" s="0" t="str">
        <f aca="false">"31811010093576"</f>
        <v>31811010093576</v>
      </c>
      <c r="Y342" s="0" t="s">
        <v>39</v>
      </c>
      <c r="Z342" s="0" t="s">
        <v>42</v>
      </c>
      <c r="AA342" s="0" t="s">
        <v>622</v>
      </c>
      <c r="AE342" s="1" t="s">
        <v>52</v>
      </c>
      <c r="AF342" s="1" t="s">
        <v>962</v>
      </c>
      <c r="AG342" s="0" t="n">
        <v>3901</v>
      </c>
    </row>
    <row r="343" customFormat="false" ht="12.8" hidden="false" customHeight="false" outlineLevel="0" collapsed="false">
      <c r="A343" s="0" t="n">
        <v>224344</v>
      </c>
      <c r="B343" s="0" t="n">
        <v>246091</v>
      </c>
      <c r="C343" s="0" t="n">
        <v>277325</v>
      </c>
      <c r="D343" s="0" t="s">
        <v>35</v>
      </c>
      <c r="E343" s="0" t="s">
        <v>35</v>
      </c>
      <c r="F343" s="0" t="s">
        <v>480</v>
      </c>
      <c r="G343" s="0" t="s">
        <v>37</v>
      </c>
      <c r="H343" s="0" t="s">
        <v>956</v>
      </c>
      <c r="J343" s="0" t="s">
        <v>956</v>
      </c>
      <c r="M343" s="0" t="s">
        <v>957</v>
      </c>
      <c r="N343" s="0" t="s">
        <v>958</v>
      </c>
      <c r="O343" s="0" t="s">
        <v>959</v>
      </c>
      <c r="P343" s="0" t="n">
        <v>1955</v>
      </c>
      <c r="Q343" s="0" t="s">
        <v>39</v>
      </c>
      <c r="R343" s="0" t="s">
        <v>960</v>
      </c>
      <c r="S343" s="0" t="s">
        <v>961</v>
      </c>
      <c r="T343" s="0" t="s">
        <v>965</v>
      </c>
      <c r="V343" s="0" t="n">
        <v>1</v>
      </c>
      <c r="W343" s="0" t="n">
        <v>1</v>
      </c>
      <c r="X343" s="0" t="str">
        <f aca="false">"31811010351859"</f>
        <v>31811010351859</v>
      </c>
      <c r="Y343" s="0" t="s">
        <v>39</v>
      </c>
      <c r="Z343" s="0" t="s">
        <v>42</v>
      </c>
      <c r="AA343" s="0" t="s">
        <v>622</v>
      </c>
      <c r="AE343" s="1" t="s">
        <v>52</v>
      </c>
      <c r="AF343" s="1" t="s">
        <v>962</v>
      </c>
      <c r="AG343" s="0" t="n">
        <v>3901</v>
      </c>
    </row>
    <row r="344" customFormat="false" ht="12.8" hidden="false" customHeight="false" outlineLevel="0" collapsed="false">
      <c r="A344" s="0" t="n">
        <v>224344</v>
      </c>
      <c r="B344" s="0" t="n">
        <v>246091</v>
      </c>
      <c r="C344" s="0" t="n">
        <v>277326</v>
      </c>
      <c r="D344" s="0" t="s">
        <v>35</v>
      </c>
      <c r="E344" s="0" t="s">
        <v>35</v>
      </c>
      <c r="F344" s="0" t="s">
        <v>480</v>
      </c>
      <c r="G344" s="0" t="s">
        <v>37</v>
      </c>
      <c r="H344" s="0" t="s">
        <v>956</v>
      </c>
      <c r="J344" s="0" t="s">
        <v>956</v>
      </c>
      <c r="M344" s="0" t="s">
        <v>957</v>
      </c>
      <c r="N344" s="0" t="s">
        <v>958</v>
      </c>
      <c r="O344" s="0" t="s">
        <v>959</v>
      </c>
      <c r="P344" s="0" t="n">
        <v>1955</v>
      </c>
      <c r="Q344" s="0" t="s">
        <v>39</v>
      </c>
      <c r="R344" s="0" t="s">
        <v>960</v>
      </c>
      <c r="S344" s="0" t="s">
        <v>961</v>
      </c>
      <c r="T344" s="0" t="s">
        <v>966</v>
      </c>
      <c r="V344" s="0" t="n">
        <v>1</v>
      </c>
      <c r="W344" s="0" t="n">
        <v>1</v>
      </c>
      <c r="X344" s="0" t="str">
        <f aca="false">"31811010351867"</f>
        <v>31811010351867</v>
      </c>
      <c r="Y344" s="0" t="s">
        <v>39</v>
      </c>
      <c r="Z344" s="0" t="s">
        <v>42</v>
      </c>
      <c r="AA344" s="0" t="s">
        <v>622</v>
      </c>
      <c r="AE344" s="1" t="s">
        <v>52</v>
      </c>
      <c r="AF344" s="1" t="s">
        <v>962</v>
      </c>
      <c r="AG344" s="0" t="n">
        <v>3901</v>
      </c>
    </row>
    <row r="345" customFormat="false" ht="12.8" hidden="false" customHeight="false" outlineLevel="0" collapsed="false">
      <c r="A345" s="0" t="n">
        <v>224344</v>
      </c>
      <c r="B345" s="0" t="n">
        <v>246091</v>
      </c>
      <c r="C345" s="0" t="n">
        <v>277327</v>
      </c>
      <c r="D345" s="0" t="s">
        <v>35</v>
      </c>
      <c r="E345" s="0" t="s">
        <v>35</v>
      </c>
      <c r="F345" s="0" t="s">
        <v>480</v>
      </c>
      <c r="G345" s="0" t="s">
        <v>37</v>
      </c>
      <c r="H345" s="0" t="s">
        <v>956</v>
      </c>
      <c r="J345" s="0" t="s">
        <v>956</v>
      </c>
      <c r="M345" s="0" t="s">
        <v>957</v>
      </c>
      <c r="N345" s="0" t="s">
        <v>958</v>
      </c>
      <c r="O345" s="0" t="s">
        <v>959</v>
      </c>
      <c r="P345" s="0" t="n">
        <v>1955</v>
      </c>
      <c r="Q345" s="0" t="s">
        <v>39</v>
      </c>
      <c r="R345" s="0" t="s">
        <v>960</v>
      </c>
      <c r="S345" s="0" t="s">
        <v>961</v>
      </c>
      <c r="T345" s="0" t="s">
        <v>967</v>
      </c>
      <c r="V345" s="0" t="n">
        <v>1</v>
      </c>
      <c r="W345" s="0" t="n">
        <v>1</v>
      </c>
      <c r="X345" s="0" t="str">
        <f aca="false">"31811010351875"</f>
        <v>31811010351875</v>
      </c>
      <c r="Y345" s="0" t="s">
        <v>39</v>
      </c>
      <c r="Z345" s="0" t="s">
        <v>42</v>
      </c>
      <c r="AA345" s="0" t="s">
        <v>622</v>
      </c>
      <c r="AE345" s="1" t="s">
        <v>52</v>
      </c>
      <c r="AF345" s="1" t="s">
        <v>962</v>
      </c>
      <c r="AG345" s="0" t="n">
        <v>3901</v>
      </c>
    </row>
    <row r="346" customFormat="false" ht="12.8" hidden="false" customHeight="false" outlineLevel="0" collapsed="false">
      <c r="A346" s="0" t="n">
        <v>224344</v>
      </c>
      <c r="B346" s="0" t="n">
        <v>246091</v>
      </c>
      <c r="C346" s="0" t="n">
        <v>277328</v>
      </c>
      <c r="D346" s="0" t="s">
        <v>35</v>
      </c>
      <c r="E346" s="0" t="s">
        <v>35</v>
      </c>
      <c r="F346" s="0" t="s">
        <v>480</v>
      </c>
      <c r="G346" s="0" t="s">
        <v>37</v>
      </c>
      <c r="H346" s="0" t="s">
        <v>956</v>
      </c>
      <c r="J346" s="0" t="s">
        <v>956</v>
      </c>
      <c r="M346" s="0" t="s">
        <v>957</v>
      </c>
      <c r="N346" s="0" t="s">
        <v>958</v>
      </c>
      <c r="O346" s="0" t="s">
        <v>959</v>
      </c>
      <c r="P346" s="0" t="n">
        <v>1955</v>
      </c>
      <c r="Q346" s="0" t="s">
        <v>39</v>
      </c>
      <c r="R346" s="0" t="s">
        <v>960</v>
      </c>
      <c r="S346" s="0" t="s">
        <v>961</v>
      </c>
      <c r="T346" s="0" t="s">
        <v>968</v>
      </c>
      <c r="V346" s="0" t="n">
        <v>1</v>
      </c>
      <c r="W346" s="0" t="n">
        <v>1</v>
      </c>
      <c r="X346" s="0" t="str">
        <f aca="false">"31811010351883"</f>
        <v>31811010351883</v>
      </c>
      <c r="Y346" s="0" t="s">
        <v>39</v>
      </c>
      <c r="Z346" s="0" t="s">
        <v>42</v>
      </c>
      <c r="AA346" s="0" t="s">
        <v>622</v>
      </c>
      <c r="AE346" s="1" t="s">
        <v>52</v>
      </c>
      <c r="AF346" s="1" t="s">
        <v>962</v>
      </c>
      <c r="AG346" s="0" t="n">
        <v>3901</v>
      </c>
    </row>
    <row r="347" customFormat="false" ht="12.8" hidden="false" customHeight="false" outlineLevel="0" collapsed="false">
      <c r="A347" s="0" t="n">
        <v>224344</v>
      </c>
      <c r="B347" s="0" t="n">
        <v>246091</v>
      </c>
      <c r="C347" s="0" t="n">
        <v>277329</v>
      </c>
      <c r="D347" s="0" t="s">
        <v>35</v>
      </c>
      <c r="E347" s="0" t="s">
        <v>35</v>
      </c>
      <c r="F347" s="0" t="s">
        <v>480</v>
      </c>
      <c r="G347" s="0" t="s">
        <v>37</v>
      </c>
      <c r="H347" s="0" t="s">
        <v>956</v>
      </c>
      <c r="J347" s="0" t="s">
        <v>956</v>
      </c>
      <c r="M347" s="0" t="s">
        <v>957</v>
      </c>
      <c r="N347" s="0" t="s">
        <v>958</v>
      </c>
      <c r="O347" s="0" t="s">
        <v>959</v>
      </c>
      <c r="P347" s="0" t="n">
        <v>1955</v>
      </c>
      <c r="Q347" s="0" t="s">
        <v>39</v>
      </c>
      <c r="R347" s="0" t="s">
        <v>960</v>
      </c>
      <c r="S347" s="0" t="s">
        <v>961</v>
      </c>
      <c r="T347" s="0" t="s">
        <v>969</v>
      </c>
      <c r="V347" s="0" t="n">
        <v>1</v>
      </c>
      <c r="W347" s="0" t="n">
        <v>1</v>
      </c>
      <c r="X347" s="0" t="str">
        <f aca="false">"31811010351370"</f>
        <v>31811010351370</v>
      </c>
      <c r="Y347" s="0" t="s">
        <v>39</v>
      </c>
      <c r="Z347" s="0" t="s">
        <v>42</v>
      </c>
      <c r="AA347" s="0" t="s">
        <v>622</v>
      </c>
      <c r="AE347" s="1" t="s">
        <v>52</v>
      </c>
      <c r="AF347" s="1" t="s">
        <v>962</v>
      </c>
      <c r="AG347" s="0" t="n">
        <v>3901</v>
      </c>
    </row>
    <row r="348" customFormat="false" ht="12.8" hidden="false" customHeight="false" outlineLevel="0" collapsed="false">
      <c r="A348" s="0" t="n">
        <v>224344</v>
      </c>
      <c r="B348" s="0" t="n">
        <v>246091</v>
      </c>
      <c r="C348" s="0" t="n">
        <v>277330</v>
      </c>
      <c r="D348" s="0" t="s">
        <v>35</v>
      </c>
      <c r="E348" s="0" t="s">
        <v>35</v>
      </c>
      <c r="F348" s="0" t="s">
        <v>480</v>
      </c>
      <c r="G348" s="0" t="s">
        <v>37</v>
      </c>
      <c r="H348" s="0" t="s">
        <v>956</v>
      </c>
      <c r="J348" s="0" t="s">
        <v>956</v>
      </c>
      <c r="M348" s="0" t="s">
        <v>957</v>
      </c>
      <c r="N348" s="0" t="s">
        <v>958</v>
      </c>
      <c r="O348" s="0" t="s">
        <v>959</v>
      </c>
      <c r="P348" s="0" t="n">
        <v>1955</v>
      </c>
      <c r="Q348" s="0" t="s">
        <v>39</v>
      </c>
      <c r="R348" s="0" t="s">
        <v>960</v>
      </c>
      <c r="S348" s="0" t="s">
        <v>961</v>
      </c>
      <c r="T348" s="0" t="s">
        <v>970</v>
      </c>
      <c r="V348" s="0" t="n">
        <v>1</v>
      </c>
      <c r="W348" s="0" t="n">
        <v>1</v>
      </c>
      <c r="X348" s="0" t="str">
        <f aca="false">"31811010351917"</f>
        <v>31811010351917</v>
      </c>
      <c r="Y348" s="0" t="s">
        <v>39</v>
      </c>
      <c r="Z348" s="0" t="s">
        <v>42</v>
      </c>
      <c r="AA348" s="0" t="s">
        <v>622</v>
      </c>
      <c r="AE348" s="1" t="s">
        <v>52</v>
      </c>
      <c r="AF348" s="1" t="s">
        <v>962</v>
      </c>
      <c r="AG348" s="0" t="n">
        <v>3901</v>
      </c>
    </row>
    <row r="349" customFormat="false" ht="12.8" hidden="false" customHeight="false" outlineLevel="0" collapsed="false">
      <c r="A349" s="0" t="n">
        <v>224344</v>
      </c>
      <c r="B349" s="0" t="n">
        <v>246091</v>
      </c>
      <c r="C349" s="0" t="n">
        <v>277331</v>
      </c>
      <c r="D349" s="0" t="s">
        <v>35</v>
      </c>
      <c r="E349" s="0" t="s">
        <v>35</v>
      </c>
      <c r="F349" s="0" t="s">
        <v>480</v>
      </c>
      <c r="G349" s="0" t="s">
        <v>37</v>
      </c>
      <c r="H349" s="0" t="s">
        <v>956</v>
      </c>
      <c r="J349" s="0" t="s">
        <v>956</v>
      </c>
      <c r="M349" s="0" t="s">
        <v>957</v>
      </c>
      <c r="N349" s="0" t="s">
        <v>958</v>
      </c>
      <c r="O349" s="0" t="s">
        <v>959</v>
      </c>
      <c r="P349" s="0" t="n">
        <v>1955</v>
      </c>
      <c r="Q349" s="0" t="s">
        <v>39</v>
      </c>
      <c r="R349" s="0" t="s">
        <v>960</v>
      </c>
      <c r="S349" s="0" t="s">
        <v>961</v>
      </c>
      <c r="T349" s="0" t="s">
        <v>971</v>
      </c>
      <c r="V349" s="0" t="n">
        <v>1</v>
      </c>
      <c r="W349" s="0" t="n">
        <v>1</v>
      </c>
      <c r="X349" s="0" t="str">
        <f aca="false">"31811010351925"</f>
        <v>31811010351925</v>
      </c>
      <c r="Y349" s="0" t="s">
        <v>39</v>
      </c>
      <c r="Z349" s="0" t="s">
        <v>42</v>
      </c>
      <c r="AA349" s="0" t="s">
        <v>622</v>
      </c>
      <c r="AE349" s="1" t="s">
        <v>52</v>
      </c>
      <c r="AF349" s="1" t="s">
        <v>962</v>
      </c>
      <c r="AG349" s="0" t="n">
        <v>3901</v>
      </c>
    </row>
    <row r="350" customFormat="false" ht="12.8" hidden="false" customHeight="false" outlineLevel="0" collapsed="false">
      <c r="A350" s="0" t="n">
        <v>224344</v>
      </c>
      <c r="B350" s="0" t="n">
        <v>246091</v>
      </c>
      <c r="C350" s="0" t="n">
        <v>277332</v>
      </c>
      <c r="D350" s="0" t="s">
        <v>35</v>
      </c>
      <c r="E350" s="0" t="s">
        <v>35</v>
      </c>
      <c r="F350" s="0" t="s">
        <v>480</v>
      </c>
      <c r="G350" s="0" t="s">
        <v>37</v>
      </c>
      <c r="H350" s="0" t="s">
        <v>956</v>
      </c>
      <c r="J350" s="0" t="s">
        <v>956</v>
      </c>
      <c r="M350" s="0" t="s">
        <v>957</v>
      </c>
      <c r="N350" s="0" t="s">
        <v>958</v>
      </c>
      <c r="O350" s="0" t="s">
        <v>959</v>
      </c>
      <c r="P350" s="0" t="n">
        <v>1955</v>
      </c>
      <c r="Q350" s="0" t="s">
        <v>39</v>
      </c>
      <c r="R350" s="0" t="s">
        <v>960</v>
      </c>
      <c r="S350" s="0" t="s">
        <v>961</v>
      </c>
      <c r="T350" s="0" t="s">
        <v>972</v>
      </c>
      <c r="V350" s="0" t="n">
        <v>1</v>
      </c>
      <c r="W350" s="0" t="n">
        <v>1</v>
      </c>
      <c r="X350" s="0" t="str">
        <f aca="false">"31811010351388"</f>
        <v>31811010351388</v>
      </c>
      <c r="Y350" s="0" t="s">
        <v>39</v>
      </c>
      <c r="Z350" s="0" t="s">
        <v>42</v>
      </c>
      <c r="AA350" s="0" t="s">
        <v>622</v>
      </c>
      <c r="AE350" s="1" t="s">
        <v>52</v>
      </c>
      <c r="AF350" s="1" t="s">
        <v>962</v>
      </c>
      <c r="AG350" s="0" t="n">
        <v>3901</v>
      </c>
    </row>
    <row r="351" customFormat="false" ht="12.8" hidden="false" customHeight="false" outlineLevel="0" collapsed="false">
      <c r="A351" s="0" t="n">
        <v>224344</v>
      </c>
      <c r="B351" s="0" t="n">
        <v>246091</v>
      </c>
      <c r="C351" s="0" t="n">
        <v>277333</v>
      </c>
      <c r="D351" s="0" t="s">
        <v>35</v>
      </c>
      <c r="E351" s="0" t="s">
        <v>35</v>
      </c>
      <c r="F351" s="0" t="s">
        <v>480</v>
      </c>
      <c r="G351" s="0" t="s">
        <v>37</v>
      </c>
      <c r="H351" s="0" t="s">
        <v>956</v>
      </c>
      <c r="J351" s="0" t="s">
        <v>956</v>
      </c>
      <c r="M351" s="0" t="s">
        <v>957</v>
      </c>
      <c r="N351" s="0" t="s">
        <v>958</v>
      </c>
      <c r="O351" s="0" t="s">
        <v>959</v>
      </c>
      <c r="P351" s="0" t="n">
        <v>1955</v>
      </c>
      <c r="Q351" s="0" t="s">
        <v>39</v>
      </c>
      <c r="R351" s="0" t="s">
        <v>960</v>
      </c>
      <c r="S351" s="0" t="s">
        <v>961</v>
      </c>
      <c r="T351" s="0" t="s">
        <v>973</v>
      </c>
      <c r="V351" s="0" t="n">
        <v>1</v>
      </c>
      <c r="W351" s="0" t="n">
        <v>1</v>
      </c>
      <c r="X351" s="0" t="str">
        <f aca="false">"31811010326133"</f>
        <v>31811010326133</v>
      </c>
      <c r="Y351" s="0" t="s">
        <v>39</v>
      </c>
      <c r="Z351" s="0" t="s">
        <v>42</v>
      </c>
      <c r="AA351" s="0" t="s">
        <v>622</v>
      </c>
      <c r="AE351" s="1" t="s">
        <v>52</v>
      </c>
      <c r="AF351" s="1" t="s">
        <v>962</v>
      </c>
      <c r="AG351" s="0" t="n">
        <v>3901</v>
      </c>
    </row>
    <row r="352" customFormat="false" ht="12.8" hidden="false" customHeight="false" outlineLevel="0" collapsed="false">
      <c r="A352" s="0" t="n">
        <v>224344</v>
      </c>
      <c r="B352" s="0" t="n">
        <v>246091</v>
      </c>
      <c r="C352" s="0" t="n">
        <v>277334</v>
      </c>
      <c r="D352" s="0" t="s">
        <v>35</v>
      </c>
      <c r="E352" s="0" t="s">
        <v>35</v>
      </c>
      <c r="F352" s="0" t="s">
        <v>480</v>
      </c>
      <c r="G352" s="0" t="s">
        <v>37</v>
      </c>
      <c r="H352" s="0" t="s">
        <v>956</v>
      </c>
      <c r="J352" s="0" t="s">
        <v>956</v>
      </c>
      <c r="M352" s="0" t="s">
        <v>957</v>
      </c>
      <c r="N352" s="0" t="s">
        <v>958</v>
      </c>
      <c r="O352" s="0" t="s">
        <v>959</v>
      </c>
      <c r="P352" s="0" t="n">
        <v>1955</v>
      </c>
      <c r="Q352" s="0" t="s">
        <v>39</v>
      </c>
      <c r="R352" s="0" t="s">
        <v>960</v>
      </c>
      <c r="S352" s="0" t="s">
        <v>961</v>
      </c>
      <c r="T352" s="0" t="s">
        <v>974</v>
      </c>
      <c r="V352" s="0" t="n">
        <v>1</v>
      </c>
      <c r="W352" s="0" t="n">
        <v>1</v>
      </c>
      <c r="X352" s="0" t="str">
        <f aca="false">"31811010326141"</f>
        <v>31811010326141</v>
      </c>
      <c r="Y352" s="0" t="s">
        <v>39</v>
      </c>
      <c r="Z352" s="0" t="s">
        <v>42</v>
      </c>
      <c r="AA352" s="0" t="s">
        <v>622</v>
      </c>
      <c r="AE352" s="1" t="s">
        <v>52</v>
      </c>
      <c r="AF352" s="1" t="s">
        <v>962</v>
      </c>
      <c r="AG352" s="0" t="n">
        <v>3901</v>
      </c>
    </row>
    <row r="353" customFormat="false" ht="12.8" hidden="false" customHeight="false" outlineLevel="0" collapsed="false">
      <c r="A353" s="0" t="n">
        <v>224344</v>
      </c>
      <c r="B353" s="0" t="n">
        <v>246091</v>
      </c>
      <c r="C353" s="0" t="n">
        <v>277335</v>
      </c>
      <c r="D353" s="0" t="s">
        <v>35</v>
      </c>
      <c r="E353" s="0" t="s">
        <v>35</v>
      </c>
      <c r="F353" s="0" t="s">
        <v>480</v>
      </c>
      <c r="G353" s="0" t="s">
        <v>37</v>
      </c>
      <c r="H353" s="0" t="s">
        <v>956</v>
      </c>
      <c r="J353" s="0" t="s">
        <v>956</v>
      </c>
      <c r="M353" s="0" t="s">
        <v>957</v>
      </c>
      <c r="N353" s="0" t="s">
        <v>958</v>
      </c>
      <c r="O353" s="0" t="s">
        <v>959</v>
      </c>
      <c r="P353" s="0" t="n">
        <v>1955</v>
      </c>
      <c r="Q353" s="0" t="s">
        <v>39</v>
      </c>
      <c r="R353" s="0" t="s">
        <v>960</v>
      </c>
      <c r="S353" s="0" t="s">
        <v>961</v>
      </c>
      <c r="T353" s="0" t="s">
        <v>975</v>
      </c>
      <c r="V353" s="0" t="n">
        <v>1</v>
      </c>
      <c r="W353" s="0" t="n">
        <v>1</v>
      </c>
      <c r="X353" s="0" t="str">
        <f aca="false">"31811010326158"</f>
        <v>31811010326158</v>
      </c>
      <c r="Y353" s="0" t="s">
        <v>39</v>
      </c>
      <c r="Z353" s="0" t="s">
        <v>42</v>
      </c>
      <c r="AA353" s="0" t="s">
        <v>622</v>
      </c>
      <c r="AE353" s="1" t="s">
        <v>52</v>
      </c>
      <c r="AF353" s="1" t="s">
        <v>962</v>
      </c>
      <c r="AG353" s="0" t="n">
        <v>3901</v>
      </c>
    </row>
    <row r="354" customFormat="false" ht="12.8" hidden="false" customHeight="false" outlineLevel="0" collapsed="false">
      <c r="A354" s="0" t="n">
        <v>224344</v>
      </c>
      <c r="B354" s="0" t="n">
        <v>246091</v>
      </c>
      <c r="C354" s="0" t="n">
        <v>277336</v>
      </c>
      <c r="D354" s="0" t="s">
        <v>35</v>
      </c>
      <c r="E354" s="0" t="s">
        <v>35</v>
      </c>
      <c r="F354" s="0" t="s">
        <v>480</v>
      </c>
      <c r="G354" s="0" t="s">
        <v>37</v>
      </c>
      <c r="H354" s="0" t="s">
        <v>956</v>
      </c>
      <c r="J354" s="0" t="s">
        <v>956</v>
      </c>
      <c r="M354" s="0" t="s">
        <v>957</v>
      </c>
      <c r="N354" s="0" t="s">
        <v>958</v>
      </c>
      <c r="O354" s="0" t="s">
        <v>959</v>
      </c>
      <c r="P354" s="0" t="n">
        <v>1955</v>
      </c>
      <c r="Q354" s="0" t="s">
        <v>39</v>
      </c>
      <c r="R354" s="0" t="s">
        <v>960</v>
      </c>
      <c r="S354" s="0" t="s">
        <v>961</v>
      </c>
      <c r="T354" s="0" t="s">
        <v>976</v>
      </c>
      <c r="V354" s="0" t="n">
        <v>1</v>
      </c>
      <c r="W354" s="0" t="n">
        <v>1</v>
      </c>
      <c r="X354" s="0" t="str">
        <f aca="false">"31811010326166"</f>
        <v>31811010326166</v>
      </c>
      <c r="Y354" s="0" t="s">
        <v>39</v>
      </c>
      <c r="Z354" s="0" t="s">
        <v>42</v>
      </c>
      <c r="AA354" s="0" t="s">
        <v>622</v>
      </c>
      <c r="AE354" s="1" t="s">
        <v>52</v>
      </c>
      <c r="AF354" s="1" t="s">
        <v>962</v>
      </c>
      <c r="AG354" s="0" t="n">
        <v>3901</v>
      </c>
    </row>
    <row r="355" customFormat="false" ht="12.8" hidden="false" customHeight="false" outlineLevel="0" collapsed="false">
      <c r="A355" s="0" t="n">
        <v>224344</v>
      </c>
      <c r="B355" s="0" t="n">
        <v>246091</v>
      </c>
      <c r="C355" s="0" t="n">
        <v>277337</v>
      </c>
      <c r="D355" s="0" t="s">
        <v>35</v>
      </c>
      <c r="E355" s="0" t="s">
        <v>35</v>
      </c>
      <c r="F355" s="0" t="s">
        <v>480</v>
      </c>
      <c r="G355" s="0" t="s">
        <v>37</v>
      </c>
      <c r="H355" s="0" t="s">
        <v>956</v>
      </c>
      <c r="J355" s="0" t="s">
        <v>956</v>
      </c>
      <c r="M355" s="0" t="s">
        <v>957</v>
      </c>
      <c r="N355" s="0" t="s">
        <v>958</v>
      </c>
      <c r="O355" s="0" t="s">
        <v>959</v>
      </c>
      <c r="P355" s="0" t="n">
        <v>1955</v>
      </c>
      <c r="Q355" s="0" t="s">
        <v>39</v>
      </c>
      <c r="R355" s="0" t="s">
        <v>960</v>
      </c>
      <c r="S355" s="0" t="s">
        <v>961</v>
      </c>
      <c r="T355" s="0" t="s">
        <v>977</v>
      </c>
      <c r="V355" s="0" t="n">
        <v>1</v>
      </c>
      <c r="W355" s="0" t="n">
        <v>1</v>
      </c>
      <c r="X355" s="0" t="str">
        <f aca="false">"31811010326174"</f>
        <v>31811010326174</v>
      </c>
      <c r="Y355" s="0" t="s">
        <v>39</v>
      </c>
      <c r="Z355" s="0" t="s">
        <v>42</v>
      </c>
      <c r="AA355" s="0" t="s">
        <v>622</v>
      </c>
      <c r="AE355" s="1" t="s">
        <v>52</v>
      </c>
      <c r="AF355" s="1" t="s">
        <v>962</v>
      </c>
      <c r="AG355" s="0" t="n">
        <v>3901</v>
      </c>
      <c r="AH355" s="1" t="s">
        <v>978</v>
      </c>
    </row>
    <row r="356" customFormat="false" ht="12.8" hidden="false" customHeight="false" outlineLevel="0" collapsed="false">
      <c r="A356" s="0" t="n">
        <v>224344</v>
      </c>
      <c r="B356" s="0" t="n">
        <v>246091</v>
      </c>
      <c r="C356" s="0" t="n">
        <v>277338</v>
      </c>
      <c r="D356" s="0" t="s">
        <v>35</v>
      </c>
      <c r="E356" s="0" t="s">
        <v>35</v>
      </c>
      <c r="F356" s="0" t="s">
        <v>480</v>
      </c>
      <c r="G356" s="0" t="s">
        <v>37</v>
      </c>
      <c r="H356" s="0" t="s">
        <v>956</v>
      </c>
      <c r="J356" s="0" t="s">
        <v>956</v>
      </c>
      <c r="M356" s="0" t="s">
        <v>957</v>
      </c>
      <c r="N356" s="0" t="s">
        <v>958</v>
      </c>
      <c r="O356" s="0" t="s">
        <v>959</v>
      </c>
      <c r="P356" s="0" t="n">
        <v>1955</v>
      </c>
      <c r="Q356" s="0" t="s">
        <v>39</v>
      </c>
      <c r="R356" s="0" t="s">
        <v>960</v>
      </c>
      <c r="S356" s="0" t="s">
        <v>961</v>
      </c>
      <c r="T356" s="0" t="s">
        <v>979</v>
      </c>
      <c r="V356" s="0" t="n">
        <v>1</v>
      </c>
      <c r="W356" s="0" t="n">
        <v>1</v>
      </c>
      <c r="X356" s="0" t="str">
        <f aca="false">"31811010326182"</f>
        <v>31811010326182</v>
      </c>
      <c r="Y356" s="0" t="s">
        <v>39</v>
      </c>
      <c r="Z356" s="0" t="s">
        <v>42</v>
      </c>
      <c r="AA356" s="0" t="s">
        <v>622</v>
      </c>
      <c r="AE356" s="1" t="s">
        <v>52</v>
      </c>
      <c r="AF356" s="1" t="s">
        <v>962</v>
      </c>
      <c r="AG356" s="0" t="n">
        <v>3901</v>
      </c>
    </row>
    <row r="357" customFormat="false" ht="12.8" hidden="false" customHeight="false" outlineLevel="0" collapsed="false">
      <c r="A357" s="0" t="n">
        <v>224344</v>
      </c>
      <c r="B357" s="0" t="n">
        <v>246091</v>
      </c>
      <c r="C357" s="0" t="n">
        <v>277339</v>
      </c>
      <c r="D357" s="0" t="s">
        <v>35</v>
      </c>
      <c r="E357" s="0" t="s">
        <v>35</v>
      </c>
      <c r="F357" s="0" t="s">
        <v>480</v>
      </c>
      <c r="G357" s="0" t="s">
        <v>37</v>
      </c>
      <c r="H357" s="0" t="s">
        <v>956</v>
      </c>
      <c r="J357" s="0" t="s">
        <v>956</v>
      </c>
      <c r="M357" s="0" t="s">
        <v>957</v>
      </c>
      <c r="N357" s="0" t="s">
        <v>958</v>
      </c>
      <c r="O357" s="0" t="s">
        <v>959</v>
      </c>
      <c r="P357" s="0" t="n">
        <v>1955</v>
      </c>
      <c r="Q357" s="0" t="s">
        <v>39</v>
      </c>
      <c r="R357" s="0" t="s">
        <v>960</v>
      </c>
      <c r="S357" s="0" t="s">
        <v>961</v>
      </c>
      <c r="T357" s="0" t="s">
        <v>980</v>
      </c>
      <c r="V357" s="0" t="n">
        <v>1</v>
      </c>
      <c r="W357" s="0" t="n">
        <v>1</v>
      </c>
      <c r="X357" s="0" t="str">
        <f aca="false">"31811010326190"</f>
        <v>31811010326190</v>
      </c>
      <c r="Y357" s="0" t="s">
        <v>39</v>
      </c>
      <c r="Z357" s="0" t="s">
        <v>42</v>
      </c>
      <c r="AA357" s="0" t="s">
        <v>622</v>
      </c>
      <c r="AE357" s="1" t="s">
        <v>52</v>
      </c>
      <c r="AF357" s="1" t="s">
        <v>962</v>
      </c>
      <c r="AG357" s="0" t="n">
        <v>3901</v>
      </c>
    </row>
    <row r="358" customFormat="false" ht="12.8" hidden="false" customHeight="false" outlineLevel="0" collapsed="false">
      <c r="A358" s="0" t="n">
        <v>224344</v>
      </c>
      <c r="B358" s="0" t="n">
        <v>246091</v>
      </c>
      <c r="C358" s="0" t="n">
        <v>277340</v>
      </c>
      <c r="D358" s="0" t="s">
        <v>35</v>
      </c>
      <c r="E358" s="0" t="s">
        <v>35</v>
      </c>
      <c r="F358" s="0" t="s">
        <v>480</v>
      </c>
      <c r="G358" s="0" t="s">
        <v>37</v>
      </c>
      <c r="H358" s="0" t="s">
        <v>956</v>
      </c>
      <c r="J358" s="0" t="s">
        <v>956</v>
      </c>
      <c r="M358" s="0" t="s">
        <v>957</v>
      </c>
      <c r="N358" s="0" t="s">
        <v>958</v>
      </c>
      <c r="O358" s="0" t="s">
        <v>959</v>
      </c>
      <c r="P358" s="0" t="n">
        <v>1955</v>
      </c>
      <c r="Q358" s="0" t="s">
        <v>39</v>
      </c>
      <c r="R358" s="0" t="s">
        <v>960</v>
      </c>
      <c r="S358" s="0" t="s">
        <v>961</v>
      </c>
      <c r="T358" s="0" t="s">
        <v>981</v>
      </c>
      <c r="V358" s="0" t="n">
        <v>1</v>
      </c>
      <c r="W358" s="0" t="n">
        <v>1</v>
      </c>
      <c r="X358" s="0" t="str">
        <f aca="false">"31811010326208"</f>
        <v>31811010326208</v>
      </c>
      <c r="Y358" s="0" t="s">
        <v>39</v>
      </c>
      <c r="Z358" s="0" t="s">
        <v>42</v>
      </c>
      <c r="AA358" s="0" t="s">
        <v>622</v>
      </c>
      <c r="AE358" s="1" t="s">
        <v>52</v>
      </c>
      <c r="AF358" s="1" t="s">
        <v>962</v>
      </c>
      <c r="AG358" s="0" t="n">
        <v>3901</v>
      </c>
    </row>
    <row r="359" customFormat="false" ht="12.8" hidden="false" customHeight="false" outlineLevel="0" collapsed="false">
      <c r="A359" s="0" t="n">
        <v>224344</v>
      </c>
      <c r="B359" s="0" t="n">
        <v>246091</v>
      </c>
      <c r="C359" s="0" t="n">
        <v>277341</v>
      </c>
      <c r="D359" s="0" t="s">
        <v>35</v>
      </c>
      <c r="E359" s="0" t="s">
        <v>35</v>
      </c>
      <c r="F359" s="0" t="s">
        <v>480</v>
      </c>
      <c r="G359" s="0" t="s">
        <v>37</v>
      </c>
      <c r="H359" s="0" t="s">
        <v>956</v>
      </c>
      <c r="J359" s="0" t="s">
        <v>956</v>
      </c>
      <c r="M359" s="0" t="s">
        <v>957</v>
      </c>
      <c r="N359" s="0" t="s">
        <v>958</v>
      </c>
      <c r="O359" s="0" t="s">
        <v>959</v>
      </c>
      <c r="P359" s="0" t="n">
        <v>1955</v>
      </c>
      <c r="Q359" s="0" t="s">
        <v>39</v>
      </c>
      <c r="R359" s="0" t="s">
        <v>960</v>
      </c>
      <c r="S359" s="0" t="s">
        <v>961</v>
      </c>
      <c r="T359" s="0" t="s">
        <v>982</v>
      </c>
      <c r="V359" s="0" t="n">
        <v>1</v>
      </c>
      <c r="W359" s="0" t="n">
        <v>1</v>
      </c>
      <c r="X359" s="0" t="str">
        <f aca="false">"31811010326216"</f>
        <v>31811010326216</v>
      </c>
      <c r="Y359" s="0" t="s">
        <v>39</v>
      </c>
      <c r="Z359" s="0" t="s">
        <v>42</v>
      </c>
      <c r="AA359" s="0" t="s">
        <v>622</v>
      </c>
      <c r="AE359" s="1" t="s">
        <v>52</v>
      </c>
      <c r="AF359" s="1" t="s">
        <v>962</v>
      </c>
      <c r="AG359" s="0" t="n">
        <v>3901</v>
      </c>
    </row>
    <row r="360" customFormat="false" ht="12.8" hidden="false" customHeight="false" outlineLevel="0" collapsed="false">
      <c r="A360" s="0" t="n">
        <v>540511</v>
      </c>
      <c r="B360" s="0" t="n">
        <v>246092</v>
      </c>
      <c r="C360" s="0" t="n">
        <v>277317</v>
      </c>
      <c r="D360" s="0" t="s">
        <v>35</v>
      </c>
      <c r="E360" s="0" t="s">
        <v>35</v>
      </c>
      <c r="F360" s="0" t="s">
        <v>480</v>
      </c>
      <c r="G360" s="0" t="s">
        <v>37</v>
      </c>
      <c r="H360" s="0" t="s">
        <v>983</v>
      </c>
      <c r="J360" s="0" t="s">
        <v>983</v>
      </c>
      <c r="M360" s="0" t="s">
        <v>984</v>
      </c>
      <c r="N360" s="0" t="s">
        <v>985</v>
      </c>
      <c r="O360" s="0" t="s">
        <v>986</v>
      </c>
      <c r="P360" s="0" t="n">
        <v>2000</v>
      </c>
      <c r="Q360" s="0" t="s">
        <v>39</v>
      </c>
      <c r="R360" s="0" t="s">
        <v>960</v>
      </c>
      <c r="S360" s="0" t="s">
        <v>961</v>
      </c>
      <c r="T360" s="0" t="n">
        <v>2001</v>
      </c>
      <c r="V360" s="0" t="n">
        <v>1</v>
      </c>
      <c r="W360" s="0" t="n">
        <v>1</v>
      </c>
      <c r="X360" s="0" t="str">
        <f aca="false">"31811012047307"</f>
        <v>31811012047307</v>
      </c>
      <c r="Y360" s="0" t="s">
        <v>39</v>
      </c>
      <c r="Z360" s="0" t="s">
        <v>42</v>
      </c>
      <c r="AA360" s="0" t="s">
        <v>622</v>
      </c>
      <c r="AE360" s="1" t="s">
        <v>52</v>
      </c>
      <c r="AF360" s="1" t="s">
        <v>962</v>
      </c>
      <c r="AH360" s="1" t="s">
        <v>987</v>
      </c>
    </row>
    <row r="361" customFormat="false" ht="12.8" hidden="false" customHeight="false" outlineLevel="0" collapsed="false">
      <c r="A361" s="0" t="n">
        <v>540511</v>
      </c>
      <c r="B361" s="0" t="n">
        <v>246092</v>
      </c>
      <c r="C361" s="0" t="n">
        <v>277318</v>
      </c>
      <c r="D361" s="0" t="s">
        <v>35</v>
      </c>
      <c r="E361" s="0" t="s">
        <v>35</v>
      </c>
      <c r="F361" s="0" t="s">
        <v>480</v>
      </c>
      <c r="G361" s="0" t="s">
        <v>37</v>
      </c>
      <c r="H361" s="0" t="s">
        <v>983</v>
      </c>
      <c r="J361" s="0" t="s">
        <v>983</v>
      </c>
      <c r="M361" s="0" t="s">
        <v>984</v>
      </c>
      <c r="N361" s="0" t="s">
        <v>985</v>
      </c>
      <c r="O361" s="0" t="s">
        <v>986</v>
      </c>
      <c r="P361" s="0" t="n">
        <v>2000</v>
      </c>
      <c r="Q361" s="0" t="s">
        <v>39</v>
      </c>
      <c r="R361" s="0" t="s">
        <v>960</v>
      </c>
      <c r="S361" s="0" t="s">
        <v>961</v>
      </c>
      <c r="T361" s="0" t="n">
        <v>2000</v>
      </c>
      <c r="V361" s="0" t="n">
        <v>1</v>
      </c>
      <c r="W361" s="0" t="n">
        <v>1</v>
      </c>
      <c r="X361" s="0" t="str">
        <f aca="false">"31811011807719"</f>
        <v>31811011807719</v>
      </c>
      <c r="Y361" s="0" t="s">
        <v>39</v>
      </c>
      <c r="Z361" s="0" t="s">
        <v>42</v>
      </c>
      <c r="AA361" s="0" t="s">
        <v>622</v>
      </c>
      <c r="AE361" s="1" t="s">
        <v>52</v>
      </c>
      <c r="AF361" s="1" t="s">
        <v>962</v>
      </c>
      <c r="AH361" s="1" t="s">
        <v>988</v>
      </c>
    </row>
    <row r="362" customFormat="false" ht="12.8" hidden="false" customHeight="false" outlineLevel="0" collapsed="false">
      <c r="A362" s="0" t="n">
        <v>540511</v>
      </c>
      <c r="B362" s="0" t="n">
        <v>246092</v>
      </c>
      <c r="C362" s="0" t="n">
        <v>277342</v>
      </c>
      <c r="D362" s="0" t="s">
        <v>35</v>
      </c>
      <c r="E362" s="0" t="s">
        <v>35</v>
      </c>
      <c r="F362" s="0" t="s">
        <v>480</v>
      </c>
      <c r="G362" s="0" t="s">
        <v>37</v>
      </c>
      <c r="H362" s="0" t="s">
        <v>983</v>
      </c>
      <c r="J362" s="0" t="s">
        <v>983</v>
      </c>
      <c r="M362" s="0" t="s">
        <v>984</v>
      </c>
      <c r="N362" s="0" t="s">
        <v>985</v>
      </c>
      <c r="O362" s="0" t="s">
        <v>986</v>
      </c>
      <c r="P362" s="0" t="n">
        <v>2000</v>
      </c>
      <c r="Q362" s="0" t="s">
        <v>39</v>
      </c>
      <c r="R362" s="0" t="s">
        <v>960</v>
      </c>
      <c r="S362" s="0" t="s">
        <v>961</v>
      </c>
      <c r="T362" s="0" t="n">
        <v>2003</v>
      </c>
      <c r="V362" s="0" t="n">
        <v>1</v>
      </c>
      <c r="W362" s="0" t="n">
        <v>1</v>
      </c>
      <c r="X362" s="0" t="str">
        <f aca="false">"31811012755107"</f>
        <v>31811012755107</v>
      </c>
      <c r="Y362" s="0" t="s">
        <v>39</v>
      </c>
      <c r="Z362" s="0" t="s">
        <v>42</v>
      </c>
      <c r="AA362" s="0" t="s">
        <v>622</v>
      </c>
      <c r="AE362" s="1" t="s">
        <v>52</v>
      </c>
      <c r="AF362" s="1" t="s">
        <v>962</v>
      </c>
    </row>
    <row r="363" customFormat="false" ht="12.8" hidden="false" customHeight="false" outlineLevel="0" collapsed="false">
      <c r="A363" s="0" t="n">
        <v>540511</v>
      </c>
      <c r="B363" s="0" t="n">
        <v>246092</v>
      </c>
      <c r="C363" s="0" t="n">
        <v>685432</v>
      </c>
      <c r="D363" s="0" t="s">
        <v>35</v>
      </c>
      <c r="E363" s="0" t="s">
        <v>35</v>
      </c>
      <c r="F363" s="0" t="s">
        <v>480</v>
      </c>
      <c r="G363" s="0" t="s">
        <v>37</v>
      </c>
      <c r="H363" s="0" t="s">
        <v>983</v>
      </c>
      <c r="J363" s="0" t="s">
        <v>983</v>
      </c>
      <c r="M363" s="0" t="s">
        <v>984</v>
      </c>
      <c r="N363" s="0" t="s">
        <v>985</v>
      </c>
      <c r="O363" s="0" t="s">
        <v>986</v>
      </c>
      <c r="P363" s="0" t="n">
        <v>2000</v>
      </c>
      <c r="Q363" s="0" t="s">
        <v>39</v>
      </c>
      <c r="R363" s="0" t="s">
        <v>960</v>
      </c>
      <c r="S363" s="0" t="s">
        <v>961</v>
      </c>
      <c r="T363" s="0" t="n">
        <v>2002</v>
      </c>
      <c r="V363" s="0" t="n">
        <v>1</v>
      </c>
      <c r="W363" s="0" t="n">
        <v>1</v>
      </c>
      <c r="X363" s="0" t="str">
        <f aca="false">"31811012129204"</f>
        <v>31811012129204</v>
      </c>
      <c r="Y363" s="0" t="s">
        <v>39</v>
      </c>
      <c r="Z363" s="0" t="s">
        <v>42</v>
      </c>
      <c r="AA363" s="0" t="s">
        <v>622</v>
      </c>
      <c r="AE363" s="1" t="s">
        <v>52</v>
      </c>
      <c r="AF363" s="1" t="s">
        <v>962</v>
      </c>
    </row>
    <row r="364" customFormat="false" ht="12.8" hidden="false" customHeight="false" outlineLevel="0" collapsed="false">
      <c r="A364" s="0" t="n">
        <v>540511</v>
      </c>
      <c r="B364" s="0" t="n">
        <v>246092</v>
      </c>
      <c r="C364" s="0" t="n">
        <v>700894</v>
      </c>
      <c r="D364" s="0" t="s">
        <v>35</v>
      </c>
      <c r="E364" s="0" t="s">
        <v>35</v>
      </c>
      <c r="F364" s="0" t="s">
        <v>480</v>
      </c>
      <c r="G364" s="0" t="s">
        <v>37</v>
      </c>
      <c r="H364" s="0" t="s">
        <v>983</v>
      </c>
      <c r="J364" s="0" t="s">
        <v>983</v>
      </c>
      <c r="M364" s="0" t="s">
        <v>984</v>
      </c>
      <c r="N364" s="0" t="s">
        <v>985</v>
      </c>
      <c r="O364" s="0" t="s">
        <v>986</v>
      </c>
      <c r="P364" s="0" t="n">
        <v>2000</v>
      </c>
      <c r="Q364" s="0" t="s">
        <v>39</v>
      </c>
      <c r="R364" s="0" t="s">
        <v>960</v>
      </c>
      <c r="S364" s="0" t="s">
        <v>961</v>
      </c>
      <c r="T364" s="0" t="n">
        <v>2004</v>
      </c>
      <c r="V364" s="0" t="n">
        <v>1</v>
      </c>
      <c r="W364" s="0" t="n">
        <v>1</v>
      </c>
      <c r="X364" s="0" t="str">
        <f aca="false">"31811012831007"</f>
        <v>31811012831007</v>
      </c>
      <c r="Y364" s="0" t="s">
        <v>39</v>
      </c>
      <c r="Z364" s="0" t="s">
        <v>42</v>
      </c>
      <c r="AA364" s="0" t="s">
        <v>622</v>
      </c>
      <c r="AE364" s="1" t="s">
        <v>52</v>
      </c>
      <c r="AF364" s="1" t="s">
        <v>962</v>
      </c>
    </row>
    <row r="365" customFormat="false" ht="12.8" hidden="false" customHeight="false" outlineLevel="0" collapsed="false">
      <c r="A365" s="0" t="n">
        <v>540511</v>
      </c>
      <c r="B365" s="0" t="n">
        <v>246092</v>
      </c>
      <c r="C365" s="0" t="n">
        <v>719654</v>
      </c>
      <c r="D365" s="0" t="s">
        <v>35</v>
      </c>
      <c r="E365" s="0" t="s">
        <v>35</v>
      </c>
      <c r="F365" s="0" t="s">
        <v>480</v>
      </c>
      <c r="G365" s="0" t="s">
        <v>37</v>
      </c>
      <c r="H365" s="0" t="s">
        <v>983</v>
      </c>
      <c r="J365" s="0" t="s">
        <v>983</v>
      </c>
      <c r="M365" s="0" t="s">
        <v>984</v>
      </c>
      <c r="N365" s="0" t="s">
        <v>985</v>
      </c>
      <c r="O365" s="0" t="s">
        <v>986</v>
      </c>
      <c r="P365" s="0" t="n">
        <v>2000</v>
      </c>
      <c r="Q365" s="0" t="s">
        <v>39</v>
      </c>
      <c r="R365" s="0" t="s">
        <v>960</v>
      </c>
      <c r="S365" s="0" t="s">
        <v>961</v>
      </c>
      <c r="T365" s="0" t="n">
        <v>2005</v>
      </c>
      <c r="V365" s="0" t="n">
        <v>1</v>
      </c>
      <c r="W365" s="0" t="n">
        <v>1</v>
      </c>
      <c r="X365" s="0" t="str">
        <f aca="false">"31811012951730"</f>
        <v>31811012951730</v>
      </c>
      <c r="Y365" s="0" t="s">
        <v>39</v>
      </c>
      <c r="Z365" s="0" t="s">
        <v>42</v>
      </c>
      <c r="AA365" s="0" t="s">
        <v>622</v>
      </c>
      <c r="AE365" s="1" t="s">
        <v>52</v>
      </c>
      <c r="AF365" s="1" t="s">
        <v>962</v>
      </c>
    </row>
    <row r="366" customFormat="false" ht="12.8" hidden="false" customHeight="false" outlineLevel="0" collapsed="false">
      <c r="A366" s="0" t="n">
        <v>540511</v>
      </c>
      <c r="B366" s="0" t="n">
        <v>246092</v>
      </c>
      <c r="C366" s="0" t="n">
        <v>737646</v>
      </c>
      <c r="D366" s="0" t="s">
        <v>35</v>
      </c>
      <c r="E366" s="0" t="s">
        <v>35</v>
      </c>
      <c r="F366" s="0" t="s">
        <v>480</v>
      </c>
      <c r="G366" s="0" t="s">
        <v>37</v>
      </c>
      <c r="H366" s="0" t="s">
        <v>983</v>
      </c>
      <c r="J366" s="0" t="s">
        <v>983</v>
      </c>
      <c r="M366" s="0" t="s">
        <v>984</v>
      </c>
      <c r="N366" s="0" t="s">
        <v>985</v>
      </c>
      <c r="O366" s="0" t="s">
        <v>986</v>
      </c>
      <c r="P366" s="0" t="n">
        <v>2000</v>
      </c>
      <c r="Q366" s="0" t="s">
        <v>39</v>
      </c>
      <c r="R366" s="0" t="s">
        <v>960</v>
      </c>
      <c r="S366" s="0" t="s">
        <v>961</v>
      </c>
      <c r="T366" s="0" t="n">
        <v>2006</v>
      </c>
      <c r="V366" s="0" t="n">
        <v>1</v>
      </c>
      <c r="W366" s="0" t="n">
        <v>1</v>
      </c>
      <c r="X366" s="0" t="str">
        <f aca="false">"31811012593482"</f>
        <v>31811012593482</v>
      </c>
      <c r="Y366" s="0" t="s">
        <v>39</v>
      </c>
      <c r="Z366" s="0" t="s">
        <v>42</v>
      </c>
      <c r="AA366" s="0" t="s">
        <v>622</v>
      </c>
      <c r="AE366" s="1" t="s">
        <v>52</v>
      </c>
      <c r="AF366" s="1" t="s">
        <v>962</v>
      </c>
      <c r="AH366" s="1" t="s">
        <v>989</v>
      </c>
    </row>
    <row r="367" customFormat="false" ht="12.8" hidden="false" customHeight="false" outlineLevel="0" collapsed="false">
      <c r="A367" s="0" t="n">
        <v>540511</v>
      </c>
      <c r="B367" s="0" t="n">
        <v>246092</v>
      </c>
      <c r="C367" s="0" t="n">
        <v>750377</v>
      </c>
      <c r="D367" s="0" t="s">
        <v>35</v>
      </c>
      <c r="E367" s="0" t="s">
        <v>35</v>
      </c>
      <c r="F367" s="0" t="s">
        <v>480</v>
      </c>
      <c r="G367" s="0" t="s">
        <v>37</v>
      </c>
      <c r="H367" s="0" t="s">
        <v>983</v>
      </c>
      <c r="J367" s="0" t="s">
        <v>983</v>
      </c>
      <c r="M367" s="0" t="s">
        <v>984</v>
      </c>
      <c r="N367" s="0" t="s">
        <v>985</v>
      </c>
      <c r="O367" s="0" t="s">
        <v>986</v>
      </c>
      <c r="P367" s="0" t="n">
        <v>2000</v>
      </c>
      <c r="Q367" s="0" t="s">
        <v>39</v>
      </c>
      <c r="R367" s="0" t="s">
        <v>960</v>
      </c>
      <c r="S367" s="0" t="s">
        <v>961</v>
      </c>
      <c r="T367" s="0" t="n">
        <v>2007</v>
      </c>
      <c r="V367" s="0" t="n">
        <v>1</v>
      </c>
      <c r="W367" s="0" t="n">
        <v>1</v>
      </c>
      <c r="X367" s="0" t="str">
        <f aca="false">"31811012685676"</f>
        <v>31811012685676</v>
      </c>
      <c r="Y367" s="0" t="s">
        <v>39</v>
      </c>
      <c r="Z367" s="0" t="s">
        <v>42</v>
      </c>
      <c r="AA367" s="0" t="s">
        <v>622</v>
      </c>
      <c r="AE367" s="1" t="s">
        <v>52</v>
      </c>
      <c r="AF367" s="1" t="s">
        <v>962</v>
      </c>
    </row>
    <row r="368" customFormat="false" ht="12.8" hidden="false" customHeight="false" outlineLevel="0" collapsed="false">
      <c r="A368" s="0" t="n">
        <v>540511</v>
      </c>
      <c r="B368" s="0" t="n">
        <v>246092</v>
      </c>
      <c r="C368" s="0" t="n">
        <v>766962</v>
      </c>
      <c r="D368" s="0" t="s">
        <v>35</v>
      </c>
      <c r="E368" s="0" t="s">
        <v>35</v>
      </c>
      <c r="F368" s="0" t="s">
        <v>480</v>
      </c>
      <c r="G368" s="0" t="s">
        <v>37</v>
      </c>
      <c r="H368" s="0" t="s">
        <v>983</v>
      </c>
      <c r="J368" s="0" t="s">
        <v>983</v>
      </c>
      <c r="M368" s="0" t="s">
        <v>984</v>
      </c>
      <c r="N368" s="0" t="s">
        <v>985</v>
      </c>
      <c r="O368" s="0" t="s">
        <v>986</v>
      </c>
      <c r="P368" s="0" t="n">
        <v>2000</v>
      </c>
      <c r="Q368" s="0" t="s">
        <v>39</v>
      </c>
      <c r="R368" s="0" t="s">
        <v>960</v>
      </c>
      <c r="S368" s="0" t="s">
        <v>961</v>
      </c>
      <c r="T368" s="0" t="n">
        <v>2008</v>
      </c>
      <c r="V368" s="0" t="n">
        <v>1</v>
      </c>
      <c r="W368" s="0" t="n">
        <v>1</v>
      </c>
      <c r="X368" s="0" t="str">
        <f aca="false">"31811012341486"</f>
        <v>31811012341486</v>
      </c>
      <c r="Y368" s="0" t="s">
        <v>39</v>
      </c>
      <c r="Z368" s="0" t="s">
        <v>42</v>
      </c>
      <c r="AA368" s="0" t="s">
        <v>622</v>
      </c>
      <c r="AE368" s="1" t="s">
        <v>52</v>
      </c>
      <c r="AF368" s="1" t="s">
        <v>962</v>
      </c>
    </row>
    <row r="369" customFormat="false" ht="12.8" hidden="false" customHeight="false" outlineLevel="0" collapsed="false">
      <c r="A369" s="0" t="n">
        <v>540511</v>
      </c>
      <c r="B369" s="0" t="n">
        <v>246092</v>
      </c>
      <c r="C369" s="0" t="n">
        <v>778490</v>
      </c>
      <c r="D369" s="0" t="s">
        <v>35</v>
      </c>
      <c r="E369" s="0" t="s">
        <v>35</v>
      </c>
      <c r="F369" s="0" t="s">
        <v>480</v>
      </c>
      <c r="G369" s="0" t="s">
        <v>37</v>
      </c>
      <c r="H369" s="0" t="s">
        <v>983</v>
      </c>
      <c r="J369" s="0" t="s">
        <v>983</v>
      </c>
      <c r="M369" s="0" t="s">
        <v>984</v>
      </c>
      <c r="N369" s="0" t="s">
        <v>985</v>
      </c>
      <c r="O369" s="0" t="s">
        <v>986</v>
      </c>
      <c r="P369" s="0" t="n">
        <v>2000</v>
      </c>
      <c r="Q369" s="0" t="s">
        <v>39</v>
      </c>
      <c r="R369" s="0" t="s">
        <v>960</v>
      </c>
      <c r="S369" s="0" t="s">
        <v>961</v>
      </c>
      <c r="T369" s="0" t="n">
        <v>2009</v>
      </c>
      <c r="V369" s="0" t="n">
        <v>1</v>
      </c>
      <c r="W369" s="0" t="n">
        <v>1</v>
      </c>
      <c r="X369" s="0" t="str">
        <f aca="false">"31811013228666"</f>
        <v>31811013228666</v>
      </c>
      <c r="Y369" s="0" t="s">
        <v>39</v>
      </c>
      <c r="Z369" s="0" t="s">
        <v>42</v>
      </c>
      <c r="AA369" s="0" t="s">
        <v>622</v>
      </c>
      <c r="AE369" s="1" t="s">
        <v>52</v>
      </c>
      <c r="AF369" s="1" t="s">
        <v>962</v>
      </c>
    </row>
    <row r="370" customFormat="false" ht="12.8" hidden="false" customHeight="false" outlineLevel="0" collapsed="false">
      <c r="A370" s="0" t="n">
        <v>540511</v>
      </c>
      <c r="B370" s="0" t="n">
        <v>246092</v>
      </c>
      <c r="C370" s="0" t="n">
        <v>797658</v>
      </c>
      <c r="D370" s="0" t="s">
        <v>35</v>
      </c>
      <c r="E370" s="0" t="s">
        <v>35</v>
      </c>
      <c r="F370" s="0" t="s">
        <v>480</v>
      </c>
      <c r="G370" s="0" t="s">
        <v>37</v>
      </c>
      <c r="H370" s="0" t="s">
        <v>983</v>
      </c>
      <c r="J370" s="0" t="s">
        <v>983</v>
      </c>
      <c r="M370" s="0" t="s">
        <v>984</v>
      </c>
      <c r="N370" s="0" t="s">
        <v>985</v>
      </c>
      <c r="O370" s="0" t="s">
        <v>986</v>
      </c>
      <c r="P370" s="0" t="n">
        <v>2000</v>
      </c>
      <c r="Q370" s="0" t="s">
        <v>39</v>
      </c>
      <c r="R370" s="0" t="s">
        <v>960</v>
      </c>
      <c r="S370" s="0" t="s">
        <v>961</v>
      </c>
      <c r="T370" s="0" t="n">
        <v>2010</v>
      </c>
      <c r="V370" s="0" t="n">
        <v>1</v>
      </c>
      <c r="W370" s="0" t="n">
        <v>1</v>
      </c>
      <c r="X370" s="0" t="str">
        <f aca="false">"31811013639656"</f>
        <v>31811013639656</v>
      </c>
      <c r="Y370" s="0" t="s">
        <v>39</v>
      </c>
      <c r="Z370" s="0" t="s">
        <v>42</v>
      </c>
      <c r="AA370" s="0" t="s">
        <v>622</v>
      </c>
      <c r="AE370" s="1" t="s">
        <v>52</v>
      </c>
      <c r="AF370" s="1" t="s">
        <v>962</v>
      </c>
      <c r="AH370" s="1" t="s">
        <v>433</v>
      </c>
    </row>
    <row r="371" customFormat="false" ht="12.8" hidden="false" customHeight="false" outlineLevel="0" collapsed="false">
      <c r="A371" s="0" t="n">
        <v>540511</v>
      </c>
      <c r="B371" s="0" t="n">
        <v>246092</v>
      </c>
      <c r="C371" s="0" t="n">
        <v>809044</v>
      </c>
      <c r="D371" s="0" t="s">
        <v>35</v>
      </c>
      <c r="E371" s="0" t="s">
        <v>35</v>
      </c>
      <c r="F371" s="0" t="s">
        <v>480</v>
      </c>
      <c r="G371" s="0" t="s">
        <v>37</v>
      </c>
      <c r="H371" s="0" t="s">
        <v>983</v>
      </c>
      <c r="J371" s="0" t="s">
        <v>983</v>
      </c>
      <c r="M371" s="0" t="s">
        <v>984</v>
      </c>
      <c r="N371" s="0" t="s">
        <v>985</v>
      </c>
      <c r="O371" s="0" t="s">
        <v>986</v>
      </c>
      <c r="P371" s="0" t="n">
        <v>2000</v>
      </c>
      <c r="Q371" s="0" t="s">
        <v>39</v>
      </c>
      <c r="R371" s="0" t="s">
        <v>960</v>
      </c>
      <c r="S371" s="0" t="s">
        <v>961</v>
      </c>
      <c r="T371" s="0" t="n">
        <v>2011</v>
      </c>
      <c r="V371" s="0" t="n">
        <v>1</v>
      </c>
      <c r="W371" s="0" t="n">
        <v>1</v>
      </c>
      <c r="X371" s="0" t="str">
        <f aca="false">"31811013730141"</f>
        <v>31811013730141</v>
      </c>
      <c r="Y371" s="0" t="s">
        <v>39</v>
      </c>
      <c r="Z371" s="0" t="s">
        <v>42</v>
      </c>
      <c r="AA371" s="0" t="s">
        <v>622</v>
      </c>
      <c r="AE371" s="1" t="s">
        <v>52</v>
      </c>
      <c r="AF371" s="1" t="s">
        <v>962</v>
      </c>
    </row>
    <row r="372" customFormat="false" ht="12.8" hidden="false" customHeight="false" outlineLevel="0" collapsed="false">
      <c r="A372" s="0" t="n">
        <v>171860</v>
      </c>
      <c r="B372" s="0" t="n">
        <v>187678</v>
      </c>
      <c r="C372" s="0" t="n">
        <v>210667</v>
      </c>
      <c r="D372" s="0" t="s">
        <v>35</v>
      </c>
      <c r="E372" s="0" t="s">
        <v>35</v>
      </c>
      <c r="F372" s="0" t="s">
        <v>36</v>
      </c>
      <c r="G372" s="0" t="s">
        <v>37</v>
      </c>
      <c r="H372" s="0" t="s">
        <v>990</v>
      </c>
      <c r="J372" s="0" t="s">
        <v>990</v>
      </c>
      <c r="M372" s="0" t="s">
        <v>991</v>
      </c>
      <c r="N372" s="0" t="s">
        <v>992</v>
      </c>
      <c r="O372" s="0" t="s">
        <v>993</v>
      </c>
      <c r="P372" s="0" t="n">
        <v>1956</v>
      </c>
      <c r="Q372" s="0" t="s">
        <v>39</v>
      </c>
      <c r="R372" s="0" t="s">
        <v>994</v>
      </c>
      <c r="S372" s="0" t="s">
        <v>995</v>
      </c>
      <c r="V372" s="0" t="n">
        <v>1</v>
      </c>
      <c r="W372" s="0" t="n">
        <v>1</v>
      </c>
      <c r="X372" s="0" t="str">
        <f aca="false">"31811010351404"</f>
        <v>31811010351404</v>
      </c>
      <c r="Y372" s="0" t="s">
        <v>39</v>
      </c>
      <c r="Z372" s="0" t="s">
        <v>42</v>
      </c>
      <c r="AA372" s="0" t="s">
        <v>43</v>
      </c>
      <c r="AE372" s="1" t="s">
        <v>52</v>
      </c>
    </row>
    <row r="373" customFormat="false" ht="12.8" hidden="false" customHeight="false" outlineLevel="0" collapsed="false">
      <c r="A373" s="0" t="n">
        <v>438675</v>
      </c>
      <c r="B373" s="0" t="n">
        <v>524084</v>
      </c>
      <c r="C373" s="0" t="n">
        <v>588297</v>
      </c>
      <c r="D373" s="0" t="s">
        <v>35</v>
      </c>
      <c r="E373" s="0" t="s">
        <v>35</v>
      </c>
      <c r="F373" s="0" t="s">
        <v>36</v>
      </c>
      <c r="G373" s="0" t="s">
        <v>37</v>
      </c>
      <c r="H373" s="0" t="s">
        <v>996</v>
      </c>
      <c r="J373" s="0" t="s">
        <v>997</v>
      </c>
      <c r="L373" s="1" t="s">
        <v>998</v>
      </c>
      <c r="M373" s="0" t="s">
        <v>999</v>
      </c>
      <c r="N373" s="0" t="s">
        <v>1000</v>
      </c>
      <c r="O373" s="0" t="s">
        <v>1001</v>
      </c>
      <c r="P373" s="0" t="n">
        <v>1992</v>
      </c>
      <c r="Q373" s="0" t="s">
        <v>39</v>
      </c>
      <c r="R373" s="0" t="s">
        <v>1002</v>
      </c>
      <c r="S373" s="0" t="s">
        <v>1003</v>
      </c>
      <c r="V373" s="0" t="n">
        <v>1</v>
      </c>
      <c r="W373" s="0" t="n">
        <v>1</v>
      </c>
      <c r="X373" s="0" t="str">
        <f aca="false">"31811010637380"</f>
        <v>31811010637380</v>
      </c>
      <c r="Y373" s="0" t="s">
        <v>39</v>
      </c>
      <c r="Z373" s="0" t="s">
        <v>42</v>
      </c>
      <c r="AA373" s="0" t="s">
        <v>43</v>
      </c>
      <c r="AE373" s="1" t="s">
        <v>52</v>
      </c>
      <c r="AF373" s="1" t="s">
        <v>433</v>
      </c>
    </row>
    <row r="374" customFormat="false" ht="12.8" hidden="false" customHeight="false" outlineLevel="0" collapsed="false">
      <c r="A374" s="0" t="n">
        <v>393266</v>
      </c>
      <c r="B374" s="0" t="n">
        <v>424953</v>
      </c>
      <c r="C374" s="0" t="n">
        <v>473974</v>
      </c>
      <c r="D374" s="0" t="s">
        <v>35</v>
      </c>
      <c r="E374" s="0" t="s">
        <v>35</v>
      </c>
      <c r="F374" s="0" t="s">
        <v>36</v>
      </c>
      <c r="G374" s="0" t="s">
        <v>412</v>
      </c>
      <c r="H374" s="0" t="s">
        <v>1004</v>
      </c>
      <c r="I374" s="0" t="s">
        <v>1005</v>
      </c>
      <c r="J374" s="0" t="s">
        <v>1004</v>
      </c>
      <c r="M374" s="0" t="s">
        <v>1006</v>
      </c>
      <c r="N374" s="0" t="n">
        <v>1970</v>
      </c>
      <c r="P374" s="0" t="n">
        <v>1970</v>
      </c>
      <c r="Q374" s="0" t="s">
        <v>39</v>
      </c>
      <c r="R374" s="0" t="s">
        <v>1007</v>
      </c>
      <c r="S374" s="0" t="s">
        <v>1008</v>
      </c>
      <c r="V374" s="0" t="n">
        <v>1</v>
      </c>
      <c r="W374" s="0" t="n">
        <v>1</v>
      </c>
      <c r="X374" s="0" t="str">
        <f aca="false">"31811010351446"</f>
        <v>31811010351446</v>
      </c>
      <c r="Y374" s="0" t="s">
        <v>39</v>
      </c>
      <c r="Z374" s="0" t="s">
        <v>42</v>
      </c>
      <c r="AA374" s="0" t="s">
        <v>43</v>
      </c>
      <c r="AE374" s="1" t="s">
        <v>52</v>
      </c>
    </row>
    <row r="375" customFormat="false" ht="12.8" hidden="false" customHeight="false" outlineLevel="0" collapsed="false">
      <c r="A375" s="0" t="n">
        <v>163210</v>
      </c>
      <c r="B375" s="0" t="n">
        <v>177655</v>
      </c>
      <c r="C375" s="0" t="n">
        <v>199272</v>
      </c>
      <c r="D375" s="0" t="s">
        <v>35</v>
      </c>
      <c r="E375" s="0" t="s">
        <v>35</v>
      </c>
      <c r="F375" s="0" t="s">
        <v>36</v>
      </c>
      <c r="G375" s="0" t="s">
        <v>37</v>
      </c>
      <c r="H375" s="0" t="s">
        <v>1009</v>
      </c>
      <c r="I375" s="0" t="s">
        <v>1010</v>
      </c>
      <c r="J375" s="0" t="s">
        <v>1011</v>
      </c>
      <c r="L375" s="0" t="n">
        <v>517216795</v>
      </c>
      <c r="M375" s="0" t="s">
        <v>1012</v>
      </c>
      <c r="N375" s="0" t="s">
        <v>1013</v>
      </c>
      <c r="O375" s="0" t="s">
        <v>1014</v>
      </c>
      <c r="P375" s="0" t="n">
        <v>1982</v>
      </c>
      <c r="Q375" s="0" t="s">
        <v>39</v>
      </c>
      <c r="R375" s="0" t="s">
        <v>1015</v>
      </c>
      <c r="S375" s="0" t="s">
        <v>1016</v>
      </c>
      <c r="V375" s="0" t="n">
        <v>1</v>
      </c>
      <c r="W375" s="0" t="n">
        <v>1</v>
      </c>
      <c r="X375" s="0" t="str">
        <f aca="false">"31811010637422"</f>
        <v>31811010637422</v>
      </c>
      <c r="Y375" s="0" t="s">
        <v>39</v>
      </c>
      <c r="Z375" s="0" t="s">
        <v>42</v>
      </c>
      <c r="AA375" s="0" t="s">
        <v>43</v>
      </c>
      <c r="AE375" s="1" t="s">
        <v>52</v>
      </c>
      <c r="AF375" s="1" t="s">
        <v>433</v>
      </c>
    </row>
    <row r="376" customFormat="false" ht="12.8" hidden="false" customHeight="false" outlineLevel="0" collapsed="false">
      <c r="A376" s="0" t="n">
        <v>324589</v>
      </c>
      <c r="B376" s="0" t="n">
        <v>352974</v>
      </c>
      <c r="C376" s="0" t="n">
        <v>393914</v>
      </c>
      <c r="D376" s="0" t="s">
        <v>35</v>
      </c>
      <c r="E376" s="0" t="s">
        <v>35</v>
      </c>
      <c r="F376" s="0" t="s">
        <v>36</v>
      </c>
      <c r="G376" s="0" t="s">
        <v>37</v>
      </c>
      <c r="H376" s="0" t="s">
        <v>1017</v>
      </c>
      <c r="I376" s="0" t="s">
        <v>1018</v>
      </c>
      <c r="J376" s="0" t="s">
        <v>1019</v>
      </c>
      <c r="L376" s="0" t="n">
        <v>810821400</v>
      </c>
      <c r="M376" s="0" t="s">
        <v>1020</v>
      </c>
      <c r="N376" s="0" t="n">
        <v>1988</v>
      </c>
      <c r="O376" s="0" t="s">
        <v>1021</v>
      </c>
      <c r="P376" s="0" t="n">
        <v>1988</v>
      </c>
      <c r="Q376" s="0" t="s">
        <v>39</v>
      </c>
      <c r="R376" s="0" t="s">
        <v>1022</v>
      </c>
      <c r="S376" s="0" t="s">
        <v>1023</v>
      </c>
      <c r="V376" s="0" t="n">
        <v>1</v>
      </c>
      <c r="W376" s="0" t="n">
        <v>1</v>
      </c>
      <c r="X376" s="0" t="str">
        <f aca="false">"31811010637463"</f>
        <v>31811010637463</v>
      </c>
      <c r="Y376" s="0" t="s">
        <v>39</v>
      </c>
      <c r="Z376" s="0" t="s">
        <v>42</v>
      </c>
      <c r="AA376" s="0" t="s">
        <v>43</v>
      </c>
      <c r="AE376" s="1" t="s">
        <v>52</v>
      </c>
      <c r="AF376" s="1" t="s">
        <v>433</v>
      </c>
    </row>
    <row r="377" customFormat="false" ht="12.8" hidden="false" customHeight="false" outlineLevel="0" collapsed="false">
      <c r="A377" s="0" t="n">
        <v>327569</v>
      </c>
      <c r="B377" s="0" t="n">
        <v>356040</v>
      </c>
      <c r="C377" s="0" t="n">
        <v>397097</v>
      </c>
      <c r="D377" s="0" t="s">
        <v>35</v>
      </c>
      <c r="E377" s="0" t="s">
        <v>35</v>
      </c>
      <c r="F377" s="0" t="s">
        <v>36</v>
      </c>
      <c r="G377" s="0" t="s">
        <v>481</v>
      </c>
      <c r="H377" s="0" t="s">
        <v>1024</v>
      </c>
      <c r="J377" s="0" t="s">
        <v>1024</v>
      </c>
      <c r="M377" s="0" t="s">
        <v>1025</v>
      </c>
      <c r="N377" s="0" t="s">
        <v>1026</v>
      </c>
      <c r="O377" s="0" t="s">
        <v>1027</v>
      </c>
      <c r="P377" s="0" t="n">
        <v>1968</v>
      </c>
      <c r="Q377" s="0" t="s">
        <v>39</v>
      </c>
      <c r="R377" s="0" t="s">
        <v>1028</v>
      </c>
      <c r="S377" s="0" t="s">
        <v>1029</v>
      </c>
      <c r="V377" s="0" t="n">
        <v>1</v>
      </c>
      <c r="W377" s="0" t="n">
        <v>1</v>
      </c>
      <c r="X377" s="0" t="str">
        <f aca="false">"31811010636127"</f>
        <v>31811010636127</v>
      </c>
      <c r="Y377" s="0" t="s">
        <v>39</v>
      </c>
      <c r="Z377" s="0" t="s">
        <v>42</v>
      </c>
      <c r="AA377" s="0" t="s">
        <v>43</v>
      </c>
      <c r="AE377" s="1" t="s">
        <v>52</v>
      </c>
      <c r="AF377" s="1" t="s">
        <v>433</v>
      </c>
    </row>
    <row r="378" customFormat="false" ht="12.8" hidden="false" customHeight="false" outlineLevel="0" collapsed="false">
      <c r="A378" s="0" t="n">
        <v>16141</v>
      </c>
      <c r="B378" s="0" t="n">
        <v>18265</v>
      </c>
      <c r="C378" s="0" t="n">
        <v>21550</v>
      </c>
      <c r="D378" s="0" t="s">
        <v>35</v>
      </c>
      <c r="E378" s="0" t="s">
        <v>35</v>
      </c>
      <c r="F378" s="0" t="s">
        <v>36</v>
      </c>
      <c r="G378" s="0" t="s">
        <v>37</v>
      </c>
      <c r="H378" s="0" t="s">
        <v>1030</v>
      </c>
      <c r="I378" s="0" t="s">
        <v>1031</v>
      </c>
      <c r="J378" s="0" t="s">
        <v>1032</v>
      </c>
      <c r="L378" s="0" t="n">
        <v>843733292</v>
      </c>
      <c r="M378" s="0" t="s">
        <v>1033</v>
      </c>
      <c r="N378" s="0" t="s">
        <v>408</v>
      </c>
      <c r="O378" s="0" t="s">
        <v>1034</v>
      </c>
      <c r="P378" s="0" t="n">
        <v>1981</v>
      </c>
      <c r="Q378" s="0" t="s">
        <v>39</v>
      </c>
      <c r="R378" s="0" t="s">
        <v>1035</v>
      </c>
      <c r="S378" s="0" t="s">
        <v>1036</v>
      </c>
      <c r="V378" s="0" t="n">
        <v>1</v>
      </c>
      <c r="W378" s="0" t="n">
        <v>1</v>
      </c>
      <c r="X378" s="0" t="str">
        <f aca="false">"31811012030766"</f>
        <v>31811012030766</v>
      </c>
      <c r="Y378" s="0" t="s">
        <v>39</v>
      </c>
      <c r="Z378" s="0" t="s">
        <v>42</v>
      </c>
      <c r="AA378" s="0" t="s">
        <v>43</v>
      </c>
      <c r="AE378" s="1" t="s">
        <v>52</v>
      </c>
      <c r="AF378" s="1" t="s">
        <v>433</v>
      </c>
      <c r="AH378" s="1" t="s">
        <v>1037</v>
      </c>
    </row>
    <row r="379" customFormat="false" ht="12.8" hidden="false" customHeight="false" outlineLevel="0" collapsed="false">
      <c r="A379" s="0" t="n">
        <v>473418</v>
      </c>
      <c r="B379" s="0" t="n">
        <v>505526</v>
      </c>
      <c r="C379" s="0" t="n">
        <v>567703</v>
      </c>
      <c r="D379" s="0" t="s">
        <v>35</v>
      </c>
      <c r="E379" s="0" t="s">
        <v>35</v>
      </c>
      <c r="F379" s="0" t="s">
        <v>36</v>
      </c>
      <c r="G379" s="0" t="s">
        <v>37</v>
      </c>
      <c r="H379" s="0" t="s">
        <v>1038</v>
      </c>
      <c r="J379" s="0" t="s">
        <v>1039</v>
      </c>
      <c r="K379" s="0" t="s">
        <v>1040</v>
      </c>
      <c r="M379" s="0" t="s">
        <v>1041</v>
      </c>
      <c r="N379" s="0" t="s">
        <v>1042</v>
      </c>
      <c r="O379" s="0" t="s">
        <v>1043</v>
      </c>
      <c r="P379" s="0" t="n">
        <v>1885</v>
      </c>
      <c r="Q379" s="0" t="s">
        <v>39</v>
      </c>
      <c r="R379" s="0" t="s">
        <v>1044</v>
      </c>
      <c r="S379" s="0" t="s">
        <v>1045</v>
      </c>
      <c r="T379" s="0" t="s">
        <v>51</v>
      </c>
      <c r="V379" s="0" t="n">
        <v>1</v>
      </c>
      <c r="W379" s="0" t="n">
        <v>1</v>
      </c>
      <c r="X379" s="0" t="str">
        <f aca="false">"31811010351933"</f>
        <v>31811010351933</v>
      </c>
      <c r="Y379" s="0" t="s">
        <v>39</v>
      </c>
      <c r="Z379" s="0" t="s">
        <v>42</v>
      </c>
      <c r="AA379" s="0" t="s">
        <v>43</v>
      </c>
      <c r="AE379" s="1" t="s">
        <v>52</v>
      </c>
    </row>
    <row r="380" customFormat="false" ht="12.8" hidden="false" customHeight="false" outlineLevel="0" collapsed="false">
      <c r="A380" s="0" t="n">
        <v>473418</v>
      </c>
      <c r="B380" s="0" t="n">
        <v>505526</v>
      </c>
      <c r="C380" s="0" t="n">
        <v>567704</v>
      </c>
      <c r="D380" s="0" t="s">
        <v>35</v>
      </c>
      <c r="E380" s="0" t="s">
        <v>35</v>
      </c>
      <c r="F380" s="0" t="s">
        <v>36</v>
      </c>
      <c r="G380" s="0" t="s">
        <v>37</v>
      </c>
      <c r="H380" s="0" t="s">
        <v>1038</v>
      </c>
      <c r="J380" s="0" t="s">
        <v>1039</v>
      </c>
      <c r="K380" s="0" t="s">
        <v>1040</v>
      </c>
      <c r="M380" s="0" t="s">
        <v>1041</v>
      </c>
      <c r="N380" s="0" t="s">
        <v>1042</v>
      </c>
      <c r="O380" s="0" t="s">
        <v>1043</v>
      </c>
      <c r="P380" s="0" t="n">
        <v>1885</v>
      </c>
      <c r="Q380" s="0" t="s">
        <v>39</v>
      </c>
      <c r="R380" s="0" t="s">
        <v>1044</v>
      </c>
      <c r="S380" s="0" t="s">
        <v>1045</v>
      </c>
      <c r="T380" s="0" t="s">
        <v>53</v>
      </c>
      <c r="V380" s="0" t="n">
        <v>1</v>
      </c>
      <c r="W380" s="0" t="n">
        <v>1</v>
      </c>
      <c r="X380" s="0" t="str">
        <f aca="false">"31811003178400"</f>
        <v>31811003178400</v>
      </c>
      <c r="Y380" s="0" t="s">
        <v>39</v>
      </c>
      <c r="Z380" s="0" t="s">
        <v>42</v>
      </c>
      <c r="AA380" s="0" t="s">
        <v>43</v>
      </c>
      <c r="AE380" s="1" t="s">
        <v>52</v>
      </c>
    </row>
    <row r="381" customFormat="false" ht="12.8" hidden="false" customHeight="false" outlineLevel="0" collapsed="false">
      <c r="A381" s="0" t="n">
        <v>473418</v>
      </c>
      <c r="B381" s="0" t="n">
        <v>505526</v>
      </c>
      <c r="C381" s="0" t="n">
        <v>567705</v>
      </c>
      <c r="D381" s="0" t="s">
        <v>35</v>
      </c>
      <c r="E381" s="0" t="s">
        <v>35</v>
      </c>
      <c r="F381" s="0" t="s">
        <v>36</v>
      </c>
      <c r="G381" s="0" t="s">
        <v>37</v>
      </c>
      <c r="H381" s="0" t="s">
        <v>1038</v>
      </c>
      <c r="J381" s="0" t="s">
        <v>1039</v>
      </c>
      <c r="K381" s="0" t="s">
        <v>1040</v>
      </c>
      <c r="M381" s="0" t="s">
        <v>1041</v>
      </c>
      <c r="N381" s="0" t="s">
        <v>1042</v>
      </c>
      <c r="O381" s="0" t="s">
        <v>1043</v>
      </c>
      <c r="P381" s="0" t="n">
        <v>1885</v>
      </c>
      <c r="Q381" s="0" t="s">
        <v>39</v>
      </c>
      <c r="R381" s="0" t="s">
        <v>1044</v>
      </c>
      <c r="S381" s="0" t="s">
        <v>1045</v>
      </c>
      <c r="T381" s="0" t="s">
        <v>243</v>
      </c>
      <c r="V381" s="0" t="n">
        <v>1</v>
      </c>
      <c r="W381" s="0" t="n">
        <v>1</v>
      </c>
      <c r="X381" s="0" t="str">
        <f aca="false">"31811010351941"</f>
        <v>31811010351941</v>
      </c>
      <c r="Y381" s="0" t="s">
        <v>39</v>
      </c>
      <c r="Z381" s="0" t="s">
        <v>42</v>
      </c>
      <c r="AA381" s="0" t="s">
        <v>43</v>
      </c>
      <c r="AE381" s="1" t="s">
        <v>52</v>
      </c>
    </row>
    <row r="382" customFormat="false" ht="12.8" hidden="false" customHeight="false" outlineLevel="0" collapsed="false">
      <c r="A382" s="0" t="n">
        <v>473418</v>
      </c>
      <c r="B382" s="0" t="n">
        <v>505526</v>
      </c>
      <c r="C382" s="0" t="n">
        <v>567706</v>
      </c>
      <c r="D382" s="0" t="s">
        <v>35</v>
      </c>
      <c r="E382" s="0" t="s">
        <v>35</v>
      </c>
      <c r="F382" s="0" t="s">
        <v>36</v>
      </c>
      <c r="G382" s="0" t="s">
        <v>37</v>
      </c>
      <c r="H382" s="0" t="s">
        <v>1038</v>
      </c>
      <c r="J382" s="0" t="s">
        <v>1039</v>
      </c>
      <c r="K382" s="0" t="s">
        <v>1040</v>
      </c>
      <c r="M382" s="0" t="s">
        <v>1041</v>
      </c>
      <c r="N382" s="0" t="s">
        <v>1042</v>
      </c>
      <c r="O382" s="0" t="s">
        <v>1043</v>
      </c>
      <c r="P382" s="0" t="n">
        <v>1885</v>
      </c>
      <c r="Q382" s="0" t="s">
        <v>39</v>
      </c>
      <c r="R382" s="0" t="s">
        <v>1044</v>
      </c>
      <c r="S382" s="0" t="s">
        <v>1045</v>
      </c>
      <c r="T382" s="0" t="s">
        <v>54</v>
      </c>
      <c r="V382" s="0" t="n">
        <v>1</v>
      </c>
      <c r="W382" s="0" t="n">
        <v>1</v>
      </c>
      <c r="X382" s="0" t="str">
        <f aca="false">"31811010351958"</f>
        <v>31811010351958</v>
      </c>
      <c r="Y382" s="0" t="s">
        <v>39</v>
      </c>
      <c r="Z382" s="0" t="s">
        <v>42</v>
      </c>
      <c r="AA382" s="0" t="s">
        <v>43</v>
      </c>
      <c r="AE382" s="1" t="s">
        <v>52</v>
      </c>
    </row>
    <row r="383" customFormat="false" ht="12.8" hidden="false" customHeight="false" outlineLevel="0" collapsed="false">
      <c r="A383" s="0" t="n">
        <v>473418</v>
      </c>
      <c r="B383" s="0" t="n">
        <v>505526</v>
      </c>
      <c r="C383" s="0" t="n">
        <v>567707</v>
      </c>
      <c r="D383" s="0" t="s">
        <v>35</v>
      </c>
      <c r="E383" s="0" t="s">
        <v>35</v>
      </c>
      <c r="F383" s="0" t="s">
        <v>36</v>
      </c>
      <c r="G383" s="0" t="s">
        <v>37</v>
      </c>
      <c r="H383" s="0" t="s">
        <v>1038</v>
      </c>
      <c r="J383" s="0" t="s">
        <v>1039</v>
      </c>
      <c r="K383" s="0" t="s">
        <v>1040</v>
      </c>
      <c r="M383" s="0" t="s">
        <v>1041</v>
      </c>
      <c r="N383" s="0" t="s">
        <v>1042</v>
      </c>
      <c r="O383" s="0" t="s">
        <v>1043</v>
      </c>
      <c r="P383" s="0" t="n">
        <v>1885</v>
      </c>
      <c r="Q383" s="0" t="s">
        <v>39</v>
      </c>
      <c r="R383" s="0" t="s">
        <v>1044</v>
      </c>
      <c r="S383" s="0" t="s">
        <v>1045</v>
      </c>
      <c r="T383" s="0" t="s">
        <v>510</v>
      </c>
      <c r="V383" s="0" t="n">
        <v>1</v>
      </c>
      <c r="W383" s="0" t="n">
        <v>1</v>
      </c>
      <c r="X383" s="0" t="str">
        <f aca="false">"31811010351966"</f>
        <v>31811010351966</v>
      </c>
      <c r="Y383" s="0" t="s">
        <v>39</v>
      </c>
      <c r="Z383" s="0" t="s">
        <v>42</v>
      </c>
      <c r="AA383" s="0" t="s">
        <v>43</v>
      </c>
      <c r="AE383" s="1" t="s">
        <v>52</v>
      </c>
    </row>
    <row r="384" customFormat="false" ht="12.8" hidden="false" customHeight="false" outlineLevel="0" collapsed="false">
      <c r="A384" s="0" t="n">
        <v>473418</v>
      </c>
      <c r="B384" s="0" t="n">
        <v>505526</v>
      </c>
      <c r="C384" s="0" t="n">
        <v>567708</v>
      </c>
      <c r="D384" s="0" t="s">
        <v>35</v>
      </c>
      <c r="E384" s="0" t="s">
        <v>35</v>
      </c>
      <c r="F384" s="0" t="s">
        <v>36</v>
      </c>
      <c r="G384" s="0" t="s">
        <v>37</v>
      </c>
      <c r="H384" s="0" t="s">
        <v>1038</v>
      </c>
      <c r="J384" s="0" t="s">
        <v>1039</v>
      </c>
      <c r="K384" s="0" t="s">
        <v>1040</v>
      </c>
      <c r="M384" s="0" t="s">
        <v>1041</v>
      </c>
      <c r="N384" s="0" t="s">
        <v>1042</v>
      </c>
      <c r="O384" s="0" t="s">
        <v>1043</v>
      </c>
      <c r="P384" s="0" t="n">
        <v>1885</v>
      </c>
      <c r="Q384" s="0" t="s">
        <v>39</v>
      </c>
      <c r="R384" s="0" t="s">
        <v>1044</v>
      </c>
      <c r="S384" s="0" t="s">
        <v>1045</v>
      </c>
      <c r="T384" s="0" t="s">
        <v>55</v>
      </c>
      <c r="V384" s="0" t="n">
        <v>1</v>
      </c>
      <c r="W384" s="0" t="n">
        <v>1</v>
      </c>
      <c r="X384" s="0" t="str">
        <f aca="false">"31811010351891"</f>
        <v>31811010351891</v>
      </c>
      <c r="Y384" s="0" t="s">
        <v>39</v>
      </c>
      <c r="Z384" s="0" t="s">
        <v>42</v>
      </c>
      <c r="AA384" s="0" t="s">
        <v>43</v>
      </c>
      <c r="AE384" s="1" t="s">
        <v>52</v>
      </c>
    </row>
    <row r="385" customFormat="false" ht="12.8" hidden="false" customHeight="false" outlineLevel="0" collapsed="false">
      <c r="A385" s="0" t="n">
        <v>473418</v>
      </c>
      <c r="B385" s="0" t="n">
        <v>505526</v>
      </c>
      <c r="C385" s="0" t="n">
        <v>567709</v>
      </c>
      <c r="D385" s="0" t="s">
        <v>35</v>
      </c>
      <c r="E385" s="0" t="s">
        <v>35</v>
      </c>
      <c r="F385" s="0" t="s">
        <v>36</v>
      </c>
      <c r="G385" s="0" t="s">
        <v>37</v>
      </c>
      <c r="H385" s="0" t="s">
        <v>1038</v>
      </c>
      <c r="J385" s="0" t="s">
        <v>1039</v>
      </c>
      <c r="K385" s="0" t="s">
        <v>1040</v>
      </c>
      <c r="M385" s="0" t="s">
        <v>1041</v>
      </c>
      <c r="N385" s="0" t="s">
        <v>1042</v>
      </c>
      <c r="O385" s="0" t="s">
        <v>1043</v>
      </c>
      <c r="P385" s="0" t="n">
        <v>1885</v>
      </c>
      <c r="Q385" s="0" t="s">
        <v>39</v>
      </c>
      <c r="R385" s="0" t="s">
        <v>1044</v>
      </c>
      <c r="S385" s="0" t="s">
        <v>1045</v>
      </c>
      <c r="T385" s="0" t="s">
        <v>511</v>
      </c>
      <c r="V385" s="0" t="n">
        <v>1</v>
      </c>
      <c r="W385" s="0" t="n">
        <v>1</v>
      </c>
      <c r="X385" s="0" t="str">
        <f aca="false">"31811010351909"</f>
        <v>31811010351909</v>
      </c>
      <c r="Y385" s="0" t="s">
        <v>39</v>
      </c>
      <c r="Z385" s="0" t="s">
        <v>42</v>
      </c>
      <c r="AA385" s="0" t="s">
        <v>43</v>
      </c>
      <c r="AE385" s="1" t="s">
        <v>52</v>
      </c>
    </row>
    <row r="386" customFormat="false" ht="12.8" hidden="false" customHeight="false" outlineLevel="0" collapsed="false">
      <c r="A386" s="0" t="n">
        <v>514083</v>
      </c>
      <c r="B386" s="0" t="n">
        <v>551239</v>
      </c>
      <c r="C386" s="0" t="n">
        <v>621999</v>
      </c>
      <c r="D386" s="0" t="s">
        <v>35</v>
      </c>
      <c r="E386" s="0" t="s">
        <v>35</v>
      </c>
      <c r="F386" s="0" t="s">
        <v>36</v>
      </c>
      <c r="G386" s="0" t="s">
        <v>37</v>
      </c>
      <c r="H386" s="0" t="s">
        <v>1046</v>
      </c>
      <c r="J386" s="0" t="s">
        <v>1047</v>
      </c>
      <c r="L386" s="1" t="s">
        <v>1048</v>
      </c>
      <c r="M386" s="0" t="s">
        <v>1049</v>
      </c>
      <c r="N386" s="0" t="n">
        <v>1992</v>
      </c>
      <c r="O386" s="0" t="s">
        <v>1050</v>
      </c>
      <c r="P386" s="0" t="n">
        <v>1992</v>
      </c>
      <c r="Q386" s="0" t="s">
        <v>39</v>
      </c>
      <c r="R386" s="0" t="s">
        <v>1051</v>
      </c>
      <c r="S386" s="0" t="s">
        <v>1052</v>
      </c>
      <c r="V386" s="0" t="n">
        <v>1</v>
      </c>
      <c r="W386" s="0" t="n">
        <v>1</v>
      </c>
      <c r="X386" s="0" t="str">
        <f aca="false">"31811010635566"</f>
        <v>31811010635566</v>
      </c>
      <c r="Y386" s="0" t="s">
        <v>39</v>
      </c>
      <c r="Z386" s="0" t="s">
        <v>42</v>
      </c>
      <c r="AA386" s="0" t="s">
        <v>43</v>
      </c>
      <c r="AE386" s="1" t="s">
        <v>52</v>
      </c>
      <c r="AF386" s="1" t="s">
        <v>433</v>
      </c>
    </row>
    <row r="387" customFormat="false" ht="12.8" hidden="false" customHeight="false" outlineLevel="0" collapsed="false">
      <c r="A387" s="0" t="n">
        <v>252960</v>
      </c>
      <c r="B387" s="0" t="n">
        <v>277151</v>
      </c>
      <c r="C387" s="0" t="n">
        <v>311572</v>
      </c>
      <c r="D387" s="0" t="s">
        <v>35</v>
      </c>
      <c r="E387" s="0" t="s">
        <v>35</v>
      </c>
      <c r="F387" s="0" t="s">
        <v>36</v>
      </c>
      <c r="G387" s="0" t="s">
        <v>37</v>
      </c>
      <c r="H387" s="0" t="s">
        <v>1053</v>
      </c>
      <c r="J387" s="0" t="s">
        <v>1054</v>
      </c>
      <c r="M387" s="0" t="s">
        <v>1055</v>
      </c>
      <c r="N387" s="0" t="s">
        <v>1056</v>
      </c>
      <c r="O387" s="0" t="s">
        <v>1057</v>
      </c>
      <c r="P387" s="0" t="n">
        <v>1957</v>
      </c>
      <c r="Q387" s="0" t="s">
        <v>39</v>
      </c>
      <c r="R387" s="0" t="s">
        <v>1058</v>
      </c>
      <c r="S387" s="0" t="s">
        <v>1059</v>
      </c>
      <c r="V387" s="0" t="n">
        <v>2</v>
      </c>
      <c r="W387" s="0" t="n">
        <v>1</v>
      </c>
      <c r="X387" s="0" t="str">
        <f aca="false">"31811010351305"</f>
        <v>31811010351305</v>
      </c>
      <c r="Y387" s="0" t="s">
        <v>39</v>
      </c>
      <c r="Z387" s="0" t="s">
        <v>42</v>
      </c>
      <c r="AA387" s="0" t="s">
        <v>43</v>
      </c>
      <c r="AE387" s="1" t="s">
        <v>52</v>
      </c>
    </row>
    <row r="388" customFormat="false" ht="12.8" hidden="false" customHeight="false" outlineLevel="0" collapsed="false">
      <c r="A388" s="0" t="n">
        <v>44902</v>
      </c>
      <c r="B388" s="0" t="n">
        <v>48708</v>
      </c>
      <c r="C388" s="0" t="n">
        <v>53791</v>
      </c>
      <c r="D388" s="0" t="s">
        <v>35</v>
      </c>
      <c r="E388" s="0" t="s">
        <v>35</v>
      </c>
      <c r="F388" s="0" t="s">
        <v>36</v>
      </c>
      <c r="G388" s="0" t="s">
        <v>37</v>
      </c>
      <c r="H388" s="0" t="s">
        <v>1060</v>
      </c>
      <c r="J388" s="0" t="s">
        <v>1061</v>
      </c>
      <c r="K388" s="0" t="s">
        <v>1062</v>
      </c>
      <c r="L388" s="0" t="s">
        <v>1063</v>
      </c>
      <c r="M388" s="0" t="s">
        <v>1064</v>
      </c>
      <c r="N388" s="0" t="s">
        <v>156</v>
      </c>
      <c r="O388" s="0" t="s">
        <v>110</v>
      </c>
      <c r="P388" s="0" t="n">
        <v>1977</v>
      </c>
      <c r="Q388" s="0" t="s">
        <v>39</v>
      </c>
      <c r="R388" s="0" t="s">
        <v>1065</v>
      </c>
      <c r="S388" s="0" t="s">
        <v>1066</v>
      </c>
      <c r="V388" s="0" t="n">
        <v>1</v>
      </c>
      <c r="W388" s="0" t="n">
        <v>1</v>
      </c>
      <c r="X388" s="0" t="str">
        <f aca="false">"31811010635640"</f>
        <v>31811010635640</v>
      </c>
      <c r="Y388" s="0" t="s">
        <v>39</v>
      </c>
      <c r="Z388" s="0" t="s">
        <v>42</v>
      </c>
      <c r="AA388" s="0" t="s">
        <v>43</v>
      </c>
      <c r="AE388" s="1" t="s">
        <v>52</v>
      </c>
      <c r="AF388" s="1" t="s">
        <v>433</v>
      </c>
    </row>
    <row r="389" customFormat="false" ht="12.8" hidden="false" customHeight="false" outlineLevel="0" collapsed="false">
      <c r="A389" s="0" t="n">
        <v>171450</v>
      </c>
      <c r="B389" s="0" t="n">
        <v>187220</v>
      </c>
      <c r="C389" s="0" t="n">
        <v>210216</v>
      </c>
      <c r="D389" s="0" t="s">
        <v>35</v>
      </c>
      <c r="E389" s="0" t="s">
        <v>35</v>
      </c>
      <c r="F389" s="0" t="s">
        <v>36</v>
      </c>
      <c r="G389" s="0" t="s">
        <v>37</v>
      </c>
      <c r="H389" s="0" t="s">
        <v>1067</v>
      </c>
      <c r="I389" s="0" t="s">
        <v>1068</v>
      </c>
      <c r="J389" s="0" t="s">
        <v>1069</v>
      </c>
      <c r="M389" s="0" t="s">
        <v>1070</v>
      </c>
      <c r="N389" s="0" t="n">
        <v>1904</v>
      </c>
      <c r="O389" s="0" t="s">
        <v>1071</v>
      </c>
      <c r="P389" s="0" t="n">
        <v>1904</v>
      </c>
      <c r="Q389" s="0" t="s">
        <v>39</v>
      </c>
      <c r="R389" s="0" t="s">
        <v>1072</v>
      </c>
      <c r="S389" s="0" t="s">
        <v>1073</v>
      </c>
      <c r="V389" s="0" t="n">
        <v>1</v>
      </c>
      <c r="W389" s="0" t="n">
        <v>1</v>
      </c>
      <c r="X389" s="0" t="str">
        <f aca="false">"31811010635392"</f>
        <v>31811010635392</v>
      </c>
      <c r="Y389" s="0" t="s">
        <v>39</v>
      </c>
      <c r="Z389" s="0" t="s">
        <v>42</v>
      </c>
      <c r="AA389" s="0" t="s">
        <v>43</v>
      </c>
      <c r="AE389" s="1" t="s">
        <v>52</v>
      </c>
      <c r="AF389" s="1" t="s">
        <v>433</v>
      </c>
    </row>
    <row r="390" customFormat="false" ht="12.8" hidden="false" customHeight="false" outlineLevel="0" collapsed="false">
      <c r="A390" s="0" t="n">
        <v>367253</v>
      </c>
      <c r="B390" s="0" t="n">
        <v>397049</v>
      </c>
      <c r="C390" s="0" t="n">
        <v>441405</v>
      </c>
      <c r="D390" s="0" t="s">
        <v>35</v>
      </c>
      <c r="E390" s="0" t="s">
        <v>35</v>
      </c>
      <c r="F390" s="0" t="s">
        <v>36</v>
      </c>
      <c r="G390" s="0" t="s">
        <v>37</v>
      </c>
      <c r="H390" s="0" t="s">
        <v>1074</v>
      </c>
      <c r="I390" s="0" t="s">
        <v>1075</v>
      </c>
      <c r="J390" s="0" t="s">
        <v>1076</v>
      </c>
      <c r="K390" s="0" t="s">
        <v>909</v>
      </c>
      <c r="M390" s="0" t="s">
        <v>1077</v>
      </c>
      <c r="N390" s="0" t="n">
        <v>1954</v>
      </c>
      <c r="O390" s="0" t="s">
        <v>1078</v>
      </c>
      <c r="P390" s="0" t="n">
        <v>1952</v>
      </c>
      <c r="Q390" s="0" t="s">
        <v>39</v>
      </c>
      <c r="R390" s="0" t="s">
        <v>1079</v>
      </c>
      <c r="S390" s="0" t="s">
        <v>1080</v>
      </c>
      <c r="V390" s="0" t="n">
        <v>1</v>
      </c>
      <c r="W390" s="0" t="n">
        <v>1</v>
      </c>
      <c r="X390" s="0" t="str">
        <f aca="false">"31811010351347"</f>
        <v>31811010351347</v>
      </c>
      <c r="Y390" s="0" t="s">
        <v>39</v>
      </c>
      <c r="Z390" s="0" t="s">
        <v>42</v>
      </c>
      <c r="AA390" s="0" t="s">
        <v>43</v>
      </c>
      <c r="AE390" s="1" t="s">
        <v>52</v>
      </c>
    </row>
    <row r="391" customFormat="false" ht="12.8" hidden="false" customHeight="false" outlineLevel="0" collapsed="false">
      <c r="A391" s="0" t="n">
        <v>494958</v>
      </c>
      <c r="B391" s="0" t="n">
        <v>476062</v>
      </c>
      <c r="C391" s="0" t="n">
        <v>533509</v>
      </c>
      <c r="D391" s="0" t="s">
        <v>35</v>
      </c>
      <c r="E391" s="0" t="s">
        <v>35</v>
      </c>
      <c r="F391" s="0" t="s">
        <v>36</v>
      </c>
      <c r="G391" s="0" t="s">
        <v>37</v>
      </c>
      <c r="H391" s="0" t="s">
        <v>1081</v>
      </c>
      <c r="J391" s="0" t="s">
        <v>1081</v>
      </c>
      <c r="K391" s="0" t="s">
        <v>1082</v>
      </c>
      <c r="M391" s="0" t="s">
        <v>1083</v>
      </c>
      <c r="N391" s="0" t="n">
        <v>1950</v>
      </c>
      <c r="O391" s="0" t="s">
        <v>1084</v>
      </c>
      <c r="P391" s="0" t="n">
        <v>1950</v>
      </c>
      <c r="Q391" s="0" t="s">
        <v>39</v>
      </c>
      <c r="R391" s="0" t="s">
        <v>1085</v>
      </c>
      <c r="S391" s="0" t="s">
        <v>1086</v>
      </c>
      <c r="V391" s="0" t="n">
        <v>1</v>
      </c>
      <c r="W391" s="0" t="n">
        <v>1</v>
      </c>
      <c r="X391" s="0" t="str">
        <f aca="false">"31811010351297"</f>
        <v>31811010351297</v>
      </c>
      <c r="Y391" s="0" t="s">
        <v>39</v>
      </c>
      <c r="Z391" s="0" t="s">
        <v>42</v>
      </c>
      <c r="AA391" s="0" t="s">
        <v>43</v>
      </c>
      <c r="AE391" s="1" t="s">
        <v>52</v>
      </c>
    </row>
    <row r="392" customFormat="false" ht="12.8" hidden="false" customHeight="false" outlineLevel="0" collapsed="false">
      <c r="A392" s="0" t="n">
        <v>423661</v>
      </c>
      <c r="B392" s="0" t="n">
        <v>456761</v>
      </c>
      <c r="C392" s="0" t="n">
        <v>509991</v>
      </c>
      <c r="D392" s="0" t="s">
        <v>35</v>
      </c>
      <c r="E392" s="0" t="s">
        <v>35</v>
      </c>
      <c r="F392" s="0" t="s">
        <v>36</v>
      </c>
      <c r="G392" s="0" t="s">
        <v>37</v>
      </c>
      <c r="H392" s="0" t="s">
        <v>1087</v>
      </c>
      <c r="J392" s="0" t="s">
        <v>1087</v>
      </c>
      <c r="L392" s="0" t="n">
        <v>394838521</v>
      </c>
      <c r="M392" s="0" t="s">
        <v>1088</v>
      </c>
      <c r="N392" s="0" t="s">
        <v>1089</v>
      </c>
      <c r="O392" s="0" t="s">
        <v>1090</v>
      </c>
      <c r="P392" s="0" t="n">
        <v>1991</v>
      </c>
      <c r="Q392" s="0" t="s">
        <v>39</v>
      </c>
      <c r="R392" s="0" t="s">
        <v>1091</v>
      </c>
      <c r="S392" s="0" t="s">
        <v>1092</v>
      </c>
      <c r="V392" s="0" t="n">
        <v>1</v>
      </c>
      <c r="W392" s="0" t="n">
        <v>1</v>
      </c>
      <c r="X392" s="0" t="str">
        <f aca="false">"31811010635475"</f>
        <v>31811010635475</v>
      </c>
      <c r="Y392" s="0" t="s">
        <v>39</v>
      </c>
      <c r="Z392" s="0" t="s">
        <v>42</v>
      </c>
      <c r="AA392" s="0" t="s">
        <v>43</v>
      </c>
      <c r="AE392" s="1" t="s">
        <v>52</v>
      </c>
      <c r="AF392" s="1" t="s">
        <v>1093</v>
      </c>
    </row>
    <row r="393" customFormat="false" ht="12.8" hidden="false" customHeight="false" outlineLevel="0" collapsed="false">
      <c r="A393" s="0" t="n">
        <v>202241</v>
      </c>
      <c r="B393" s="0" t="n">
        <v>221890</v>
      </c>
      <c r="C393" s="0" t="n">
        <v>249750</v>
      </c>
      <c r="D393" s="0" t="s">
        <v>35</v>
      </c>
      <c r="E393" s="0" t="s">
        <v>35</v>
      </c>
      <c r="F393" s="0" t="s">
        <v>36</v>
      </c>
      <c r="G393" s="0" t="s">
        <v>37</v>
      </c>
      <c r="H393" s="0" t="s">
        <v>1094</v>
      </c>
      <c r="J393" s="0" t="s">
        <v>1094</v>
      </c>
      <c r="L393" s="0" t="s">
        <v>1095</v>
      </c>
      <c r="M393" s="0" t="s">
        <v>1096</v>
      </c>
      <c r="N393" s="0" t="s">
        <v>264</v>
      </c>
      <c r="O393" s="0" t="s">
        <v>1097</v>
      </c>
      <c r="P393" s="0" t="n">
        <v>1987</v>
      </c>
      <c r="Q393" s="0" t="s">
        <v>39</v>
      </c>
      <c r="R393" s="0" t="s">
        <v>1098</v>
      </c>
      <c r="S393" s="0" t="s">
        <v>1099</v>
      </c>
      <c r="T393" s="0" t="s">
        <v>1100</v>
      </c>
      <c r="V393" s="0" t="n">
        <v>1</v>
      </c>
      <c r="W393" s="0" t="n">
        <v>1</v>
      </c>
      <c r="X393" s="0" t="str">
        <f aca="false">"31811010636051"</f>
        <v>31811010636051</v>
      </c>
      <c r="Y393" s="0" t="s">
        <v>39</v>
      </c>
      <c r="Z393" s="0" t="s">
        <v>42</v>
      </c>
      <c r="AA393" s="0" t="s">
        <v>43</v>
      </c>
      <c r="AE393" s="1" t="s">
        <v>52</v>
      </c>
      <c r="AF393" s="1" t="s">
        <v>433</v>
      </c>
    </row>
    <row r="394" customFormat="false" ht="12.8" hidden="false" customHeight="false" outlineLevel="0" collapsed="false">
      <c r="A394" s="0" t="n">
        <v>202241</v>
      </c>
      <c r="B394" s="0" t="n">
        <v>221890</v>
      </c>
      <c r="C394" s="0" t="n">
        <v>249751</v>
      </c>
      <c r="D394" s="0" t="s">
        <v>35</v>
      </c>
      <c r="E394" s="0" t="s">
        <v>35</v>
      </c>
      <c r="F394" s="0" t="s">
        <v>36</v>
      </c>
      <c r="G394" s="0" t="s">
        <v>37</v>
      </c>
      <c r="H394" s="0" t="s">
        <v>1094</v>
      </c>
      <c r="J394" s="0" t="s">
        <v>1094</v>
      </c>
      <c r="L394" s="0" t="s">
        <v>1095</v>
      </c>
      <c r="M394" s="0" t="s">
        <v>1096</v>
      </c>
      <c r="N394" s="0" t="s">
        <v>264</v>
      </c>
      <c r="O394" s="0" t="s">
        <v>1097</v>
      </c>
      <c r="P394" s="0" t="n">
        <v>1987</v>
      </c>
      <c r="Q394" s="0" t="s">
        <v>39</v>
      </c>
      <c r="R394" s="0" t="s">
        <v>1098</v>
      </c>
      <c r="S394" s="0" t="s">
        <v>1099</v>
      </c>
      <c r="T394" s="0" t="s">
        <v>1101</v>
      </c>
      <c r="V394" s="0" t="n">
        <v>1</v>
      </c>
      <c r="W394" s="0" t="n">
        <v>1</v>
      </c>
      <c r="X394" s="0" t="str">
        <f aca="false">"31811010636093"</f>
        <v>31811010636093</v>
      </c>
      <c r="Y394" s="0" t="s">
        <v>39</v>
      </c>
      <c r="Z394" s="0" t="s">
        <v>42</v>
      </c>
      <c r="AA394" s="0" t="s">
        <v>43</v>
      </c>
      <c r="AE394" s="1" t="s">
        <v>52</v>
      </c>
      <c r="AF394" s="1" t="s">
        <v>433</v>
      </c>
    </row>
    <row r="395" customFormat="false" ht="12.8" hidden="false" customHeight="false" outlineLevel="0" collapsed="false">
      <c r="A395" s="0" t="n">
        <v>336012</v>
      </c>
      <c r="B395" s="0" t="n">
        <v>364730</v>
      </c>
      <c r="C395" s="0" t="n">
        <v>406428</v>
      </c>
      <c r="D395" s="0" t="s">
        <v>35</v>
      </c>
      <c r="E395" s="0" t="s">
        <v>35</v>
      </c>
      <c r="F395" s="0" t="s">
        <v>36</v>
      </c>
      <c r="G395" s="0" t="s">
        <v>37</v>
      </c>
      <c r="H395" s="0" t="s">
        <v>1102</v>
      </c>
      <c r="I395" s="0" t="s">
        <v>1103</v>
      </c>
      <c r="J395" s="0" t="s">
        <v>1104</v>
      </c>
      <c r="M395" s="0" t="s">
        <v>1105</v>
      </c>
      <c r="N395" s="0" t="n">
        <v>1968</v>
      </c>
      <c r="O395" s="0" t="s">
        <v>1106</v>
      </c>
      <c r="P395" s="0" t="n">
        <v>1968</v>
      </c>
      <c r="Q395" s="0" t="s">
        <v>39</v>
      </c>
      <c r="R395" s="0" t="s">
        <v>1107</v>
      </c>
      <c r="S395" s="0" t="s">
        <v>1108</v>
      </c>
      <c r="V395" s="0" t="n">
        <v>1</v>
      </c>
      <c r="W395" s="0" t="n">
        <v>1</v>
      </c>
      <c r="X395" s="0" t="str">
        <f aca="false">"31811010351339"</f>
        <v>31811010351339</v>
      </c>
      <c r="Y395" s="0" t="s">
        <v>39</v>
      </c>
      <c r="Z395" s="0" t="s">
        <v>42</v>
      </c>
      <c r="AA395" s="0" t="s">
        <v>43</v>
      </c>
      <c r="AE395" s="1" t="s">
        <v>52</v>
      </c>
    </row>
    <row r="396" customFormat="false" ht="12.8" hidden="false" customHeight="false" outlineLevel="0" collapsed="false">
      <c r="A396" s="0" t="n">
        <v>41046</v>
      </c>
      <c r="B396" s="0" t="n">
        <v>44583</v>
      </c>
      <c r="C396" s="0" t="n">
        <v>49289</v>
      </c>
      <c r="D396" s="0" t="s">
        <v>35</v>
      </c>
      <c r="E396" s="0" t="s">
        <v>35</v>
      </c>
      <c r="F396" s="0" t="s">
        <v>36</v>
      </c>
      <c r="G396" s="0" t="s">
        <v>37</v>
      </c>
      <c r="H396" s="0" t="s">
        <v>1109</v>
      </c>
      <c r="I396" s="0" t="s">
        <v>1110</v>
      </c>
      <c r="J396" s="0" t="s">
        <v>1111</v>
      </c>
      <c r="M396" s="0" t="s">
        <v>1112</v>
      </c>
      <c r="N396" s="0" t="s">
        <v>1113</v>
      </c>
      <c r="O396" s="0" t="s">
        <v>1114</v>
      </c>
      <c r="P396" s="0" t="n">
        <v>1946</v>
      </c>
      <c r="Q396" s="0" t="s">
        <v>39</v>
      </c>
      <c r="R396" s="0" t="s">
        <v>1115</v>
      </c>
      <c r="S396" s="0" t="s">
        <v>1116</v>
      </c>
      <c r="V396" s="0" t="n">
        <v>1</v>
      </c>
      <c r="W396" s="0" t="n">
        <v>1</v>
      </c>
      <c r="X396" s="0" t="str">
        <f aca="false">"31811010351560"</f>
        <v>31811010351560</v>
      </c>
      <c r="Y396" s="0" t="s">
        <v>39</v>
      </c>
      <c r="Z396" s="0" t="s">
        <v>42</v>
      </c>
      <c r="AA396" s="0" t="s">
        <v>43</v>
      </c>
      <c r="AE396" s="1" t="s">
        <v>52</v>
      </c>
    </row>
    <row r="397" customFormat="false" ht="12.8" hidden="false" customHeight="false" outlineLevel="0" collapsed="false">
      <c r="A397" s="0" t="n">
        <v>31649</v>
      </c>
      <c r="B397" s="0" t="n">
        <v>34673</v>
      </c>
      <c r="C397" s="0" t="n">
        <v>38732</v>
      </c>
      <c r="D397" s="0" t="s">
        <v>35</v>
      </c>
      <c r="E397" s="0" t="s">
        <v>35</v>
      </c>
      <c r="F397" s="0" t="s">
        <v>36</v>
      </c>
      <c r="G397" s="0" t="s">
        <v>37</v>
      </c>
      <c r="H397" s="0" t="s">
        <v>1117</v>
      </c>
      <c r="I397" s="0" t="s">
        <v>1118</v>
      </c>
      <c r="J397" s="0" t="s">
        <v>1117</v>
      </c>
      <c r="M397" s="0" t="s">
        <v>1119</v>
      </c>
      <c r="N397" s="0" t="n">
        <v>1882</v>
      </c>
      <c r="O397" s="0" t="s">
        <v>1120</v>
      </c>
      <c r="P397" s="0" t="n">
        <v>1882</v>
      </c>
      <c r="Q397" s="0" t="s">
        <v>39</v>
      </c>
      <c r="R397" s="0" t="s">
        <v>1121</v>
      </c>
      <c r="S397" s="0" t="s">
        <v>1122</v>
      </c>
      <c r="V397" s="0" t="n">
        <v>1</v>
      </c>
      <c r="W397" s="0" t="n">
        <v>1</v>
      </c>
      <c r="X397" s="0" t="str">
        <f aca="false">"31811010636259"</f>
        <v>31811010636259</v>
      </c>
      <c r="Y397" s="0" t="s">
        <v>39</v>
      </c>
      <c r="Z397" s="0" t="s">
        <v>42</v>
      </c>
      <c r="AA397" s="0" t="s">
        <v>43</v>
      </c>
      <c r="AE397" s="1" t="s">
        <v>52</v>
      </c>
      <c r="AF397" s="1" t="s">
        <v>433</v>
      </c>
    </row>
    <row r="398" customFormat="false" ht="12.8" hidden="false" customHeight="false" outlineLevel="0" collapsed="false">
      <c r="A398" s="0" t="n">
        <v>190858</v>
      </c>
      <c r="B398" s="0" t="n">
        <v>209153</v>
      </c>
      <c r="C398" s="0" t="n">
        <v>235296</v>
      </c>
      <c r="D398" s="0" t="s">
        <v>35</v>
      </c>
      <c r="E398" s="0" t="s">
        <v>35</v>
      </c>
      <c r="F398" s="0" t="s">
        <v>36</v>
      </c>
      <c r="G398" s="0" t="s">
        <v>37</v>
      </c>
      <c r="H398" s="0" t="s">
        <v>1123</v>
      </c>
      <c r="I398" s="0" t="s">
        <v>1124</v>
      </c>
      <c r="J398" s="0" t="s">
        <v>1125</v>
      </c>
      <c r="M398" s="0" t="s">
        <v>1126</v>
      </c>
      <c r="N398" s="0" t="n">
        <v>1971</v>
      </c>
      <c r="O398" s="0" t="s">
        <v>1127</v>
      </c>
      <c r="P398" s="0" t="n">
        <v>1971</v>
      </c>
      <c r="Q398" s="0" t="s">
        <v>39</v>
      </c>
      <c r="R398" s="0" t="s">
        <v>1128</v>
      </c>
      <c r="S398" s="0" t="s">
        <v>1129</v>
      </c>
      <c r="V398" s="0" t="n">
        <v>1</v>
      </c>
      <c r="W398" s="0" t="n">
        <v>1</v>
      </c>
      <c r="X398" s="0" t="str">
        <f aca="false">"31811010351412"</f>
        <v>31811010351412</v>
      </c>
      <c r="Y398" s="0" t="s">
        <v>39</v>
      </c>
      <c r="Z398" s="0" t="s">
        <v>42</v>
      </c>
      <c r="AA398" s="0" t="s">
        <v>43</v>
      </c>
      <c r="AE398" s="1" t="s">
        <v>52</v>
      </c>
    </row>
    <row r="399" customFormat="false" ht="12.8" hidden="false" customHeight="false" outlineLevel="0" collapsed="false">
      <c r="A399" s="0" t="n">
        <v>506762</v>
      </c>
      <c r="B399" s="0" t="n">
        <v>488403</v>
      </c>
      <c r="C399" s="0" t="n">
        <v>547951</v>
      </c>
      <c r="D399" s="0" t="s">
        <v>35</v>
      </c>
      <c r="E399" s="0" t="s">
        <v>35</v>
      </c>
      <c r="F399" s="0" t="s">
        <v>36</v>
      </c>
      <c r="G399" s="0" t="s">
        <v>37</v>
      </c>
      <c r="H399" s="0" t="s">
        <v>1130</v>
      </c>
      <c r="I399" s="0" t="s">
        <v>1131</v>
      </c>
      <c r="J399" s="0" t="s">
        <v>1132</v>
      </c>
      <c r="M399" s="0" t="s">
        <v>1133</v>
      </c>
      <c r="N399" s="0" t="n">
        <v>1961</v>
      </c>
      <c r="O399" s="0" t="s">
        <v>1134</v>
      </c>
      <c r="P399" s="0" t="n">
        <v>1961</v>
      </c>
      <c r="Q399" s="0" t="s">
        <v>39</v>
      </c>
      <c r="R399" s="0" t="s">
        <v>1135</v>
      </c>
      <c r="S399" s="0" t="s">
        <v>1136</v>
      </c>
      <c r="V399" s="0" t="n">
        <v>1</v>
      </c>
      <c r="W399" s="0" t="n">
        <v>1</v>
      </c>
      <c r="X399" s="0" t="str">
        <f aca="false">"31811010351453"</f>
        <v>31811010351453</v>
      </c>
      <c r="Y399" s="0" t="s">
        <v>39</v>
      </c>
      <c r="Z399" s="0" t="s">
        <v>42</v>
      </c>
      <c r="AA399" s="0" t="s">
        <v>43</v>
      </c>
      <c r="AE399" s="1" t="s">
        <v>52</v>
      </c>
    </row>
    <row r="400" customFormat="false" ht="12.8" hidden="false" customHeight="false" outlineLevel="0" collapsed="false">
      <c r="A400" s="0" t="n">
        <v>193657</v>
      </c>
      <c r="B400" s="0" t="n">
        <v>212282</v>
      </c>
      <c r="C400" s="0" t="n">
        <v>238669</v>
      </c>
      <c r="D400" s="0" t="s">
        <v>35</v>
      </c>
      <c r="E400" s="0" t="s">
        <v>35</v>
      </c>
      <c r="F400" s="0" t="s">
        <v>36</v>
      </c>
      <c r="G400" s="0" t="s">
        <v>37</v>
      </c>
      <c r="H400" s="0" t="s">
        <v>1137</v>
      </c>
      <c r="I400" s="0" t="s">
        <v>1138</v>
      </c>
      <c r="J400" s="0" t="s">
        <v>1137</v>
      </c>
      <c r="M400" s="0" t="s">
        <v>1139</v>
      </c>
      <c r="N400" s="0" t="s">
        <v>819</v>
      </c>
      <c r="O400" s="0" t="s">
        <v>1140</v>
      </c>
      <c r="P400" s="0" t="n">
        <v>1956</v>
      </c>
      <c r="Q400" s="0" t="s">
        <v>39</v>
      </c>
      <c r="R400" s="0" t="s">
        <v>1141</v>
      </c>
      <c r="S400" s="0" t="s">
        <v>1142</v>
      </c>
      <c r="V400" s="0" t="n">
        <v>1</v>
      </c>
      <c r="W400" s="0" t="n">
        <v>1</v>
      </c>
      <c r="X400" s="0" t="str">
        <f aca="false">"31811010351461"</f>
        <v>31811010351461</v>
      </c>
      <c r="Y400" s="0" t="s">
        <v>39</v>
      </c>
      <c r="Z400" s="0" t="s">
        <v>42</v>
      </c>
      <c r="AA400" s="0" t="s">
        <v>43</v>
      </c>
      <c r="AE400" s="1" t="s">
        <v>52</v>
      </c>
    </row>
    <row r="401" customFormat="false" ht="12.8" hidden="false" customHeight="false" outlineLevel="0" collapsed="false">
      <c r="A401" s="0" t="n">
        <v>368821</v>
      </c>
      <c r="B401" s="0" t="n">
        <v>398674</v>
      </c>
      <c r="C401" s="0" t="n">
        <v>443333</v>
      </c>
      <c r="D401" s="0" t="s">
        <v>35</v>
      </c>
      <c r="E401" s="0" t="s">
        <v>35</v>
      </c>
      <c r="F401" s="0" t="s">
        <v>36</v>
      </c>
      <c r="G401" s="0" t="s">
        <v>37</v>
      </c>
      <c r="H401" s="0" t="s">
        <v>1143</v>
      </c>
      <c r="I401" s="0" t="s">
        <v>1144</v>
      </c>
      <c r="J401" s="0" t="s">
        <v>1145</v>
      </c>
      <c r="L401" s="0" t="n">
        <v>582235634</v>
      </c>
      <c r="M401" s="0" t="s">
        <v>1146</v>
      </c>
      <c r="N401" s="0" t="n">
        <v>1985</v>
      </c>
      <c r="O401" s="0" t="s">
        <v>1147</v>
      </c>
      <c r="P401" s="0" t="n">
        <v>1985</v>
      </c>
      <c r="Q401" s="0" t="s">
        <v>39</v>
      </c>
      <c r="R401" s="0" t="s">
        <v>1148</v>
      </c>
      <c r="S401" s="0" t="s">
        <v>1149</v>
      </c>
      <c r="V401" s="0" t="n">
        <v>1</v>
      </c>
      <c r="W401" s="0" t="n">
        <v>1</v>
      </c>
      <c r="X401" s="0" t="str">
        <f aca="false">"31811010636275"</f>
        <v>31811010636275</v>
      </c>
      <c r="Y401" s="0" t="s">
        <v>39</v>
      </c>
      <c r="Z401" s="0" t="s">
        <v>42</v>
      </c>
      <c r="AA401" s="0" t="s">
        <v>43</v>
      </c>
      <c r="AE401" s="1" t="s">
        <v>52</v>
      </c>
      <c r="AF401" s="1" t="s">
        <v>433</v>
      </c>
    </row>
    <row r="402" customFormat="false" ht="12.8" hidden="false" customHeight="false" outlineLevel="0" collapsed="false">
      <c r="A402" s="0" t="n">
        <v>459615</v>
      </c>
      <c r="B402" s="0" t="n">
        <v>546285</v>
      </c>
      <c r="C402" s="0" t="n">
        <v>615953</v>
      </c>
      <c r="D402" s="0" t="s">
        <v>35</v>
      </c>
      <c r="E402" s="0" t="s">
        <v>35</v>
      </c>
      <c r="F402" s="0" t="s">
        <v>36</v>
      </c>
      <c r="G402" s="0" t="s">
        <v>37</v>
      </c>
      <c r="H402" s="0" t="s">
        <v>1150</v>
      </c>
      <c r="J402" s="0" t="s">
        <v>1150</v>
      </c>
      <c r="K402" s="0" t="s">
        <v>1151</v>
      </c>
      <c r="L402" s="1" t="s">
        <v>1152</v>
      </c>
      <c r="M402" s="0" t="s">
        <v>1153</v>
      </c>
      <c r="N402" s="0" t="s">
        <v>943</v>
      </c>
      <c r="O402" s="0" t="s">
        <v>1001</v>
      </c>
      <c r="P402" s="0" t="n">
        <v>1993</v>
      </c>
      <c r="Q402" s="0" t="s">
        <v>39</v>
      </c>
      <c r="R402" s="0" t="s">
        <v>1154</v>
      </c>
      <c r="S402" s="0" t="s">
        <v>1155</v>
      </c>
      <c r="V402" s="0" t="n">
        <v>1</v>
      </c>
      <c r="W402" s="0" t="n">
        <v>1</v>
      </c>
      <c r="X402" s="0" t="str">
        <f aca="false">"31811010636317"</f>
        <v>31811010636317</v>
      </c>
      <c r="Y402" s="0" t="s">
        <v>39</v>
      </c>
      <c r="Z402" s="0" t="s">
        <v>42</v>
      </c>
      <c r="AA402" s="0" t="s">
        <v>43</v>
      </c>
      <c r="AE402" s="1" t="s">
        <v>52</v>
      </c>
      <c r="AF402" s="1" t="s">
        <v>1093</v>
      </c>
    </row>
    <row r="403" customFormat="false" ht="12.8" hidden="false" customHeight="false" outlineLevel="0" collapsed="false">
      <c r="A403" s="0" t="n">
        <v>452594</v>
      </c>
      <c r="B403" s="0" t="n">
        <v>538816</v>
      </c>
      <c r="C403" s="0" t="n">
        <v>606047</v>
      </c>
      <c r="D403" s="0" t="s">
        <v>35</v>
      </c>
      <c r="E403" s="0" t="s">
        <v>35</v>
      </c>
      <c r="F403" s="0" t="s">
        <v>36</v>
      </c>
      <c r="G403" s="0" t="s">
        <v>37</v>
      </c>
      <c r="H403" s="0" t="s">
        <v>1156</v>
      </c>
      <c r="J403" s="0" t="s">
        <v>1156</v>
      </c>
      <c r="K403" s="0" t="s">
        <v>428</v>
      </c>
      <c r="L403" s="0" t="n">
        <v>671850148</v>
      </c>
      <c r="M403" s="0" t="s">
        <v>1157</v>
      </c>
      <c r="N403" s="0" t="s">
        <v>943</v>
      </c>
      <c r="O403" s="0" t="s">
        <v>1158</v>
      </c>
      <c r="P403" s="0" t="n">
        <v>1993</v>
      </c>
      <c r="Q403" s="0" t="s">
        <v>39</v>
      </c>
      <c r="R403" s="0" t="s">
        <v>1159</v>
      </c>
      <c r="S403" s="0" t="s">
        <v>1160</v>
      </c>
      <c r="V403" s="0" t="n">
        <v>1</v>
      </c>
      <c r="W403" s="0" t="n">
        <v>1</v>
      </c>
      <c r="X403" s="0" t="str">
        <f aca="false">"31811012344746"</f>
        <v>31811012344746</v>
      </c>
      <c r="Y403" s="0" t="s">
        <v>39</v>
      </c>
      <c r="Z403" s="0" t="s">
        <v>42</v>
      </c>
      <c r="AA403" s="0" t="s">
        <v>43</v>
      </c>
      <c r="AE403" s="1" t="s">
        <v>52</v>
      </c>
      <c r="AF403" s="1" t="s">
        <v>433</v>
      </c>
    </row>
    <row r="404" customFormat="false" ht="12.8" hidden="false" customHeight="false" outlineLevel="0" collapsed="false">
      <c r="A404" s="0" t="n">
        <v>375335</v>
      </c>
      <c r="B404" s="0" t="n">
        <v>406338</v>
      </c>
      <c r="C404" s="0" t="n">
        <v>452635</v>
      </c>
      <c r="D404" s="0" t="s">
        <v>35</v>
      </c>
      <c r="E404" s="0" t="s">
        <v>35</v>
      </c>
      <c r="F404" s="0" t="s">
        <v>36</v>
      </c>
      <c r="G404" s="0" t="s">
        <v>37</v>
      </c>
      <c r="H404" s="0" t="s">
        <v>1156</v>
      </c>
      <c r="J404" s="0" t="s">
        <v>1156</v>
      </c>
      <c r="K404" s="0" t="s">
        <v>154</v>
      </c>
      <c r="L404" s="0" t="s">
        <v>1161</v>
      </c>
      <c r="M404" s="0" t="s">
        <v>1162</v>
      </c>
      <c r="N404" s="0" t="s">
        <v>744</v>
      </c>
      <c r="O404" s="0" t="s">
        <v>1163</v>
      </c>
      <c r="P404" s="0" t="n">
        <v>1989</v>
      </c>
      <c r="Q404" s="0" t="s">
        <v>39</v>
      </c>
      <c r="R404" s="0" t="s">
        <v>1164</v>
      </c>
      <c r="S404" s="0" t="s">
        <v>1165</v>
      </c>
      <c r="V404" s="0" t="n">
        <v>1</v>
      </c>
      <c r="W404" s="0" t="n">
        <v>1</v>
      </c>
      <c r="X404" s="0" t="str">
        <f aca="false">"31811010351578"</f>
        <v>31811010351578</v>
      </c>
      <c r="Y404" s="0" t="s">
        <v>39</v>
      </c>
      <c r="Z404" s="0" t="s">
        <v>42</v>
      </c>
      <c r="AA404" s="0" t="s">
        <v>43</v>
      </c>
      <c r="AE404" s="1" t="s">
        <v>52</v>
      </c>
    </row>
    <row r="405" customFormat="false" ht="12.8" hidden="false" customHeight="false" outlineLevel="0" collapsed="false">
      <c r="A405" s="0" t="n">
        <v>634250</v>
      </c>
      <c r="B405" s="0" t="n">
        <v>676766</v>
      </c>
      <c r="C405" s="0" t="n">
        <v>751314</v>
      </c>
      <c r="D405" s="0" t="s">
        <v>35</v>
      </c>
      <c r="E405" s="0" t="s">
        <v>35</v>
      </c>
      <c r="F405" s="0" t="s">
        <v>36</v>
      </c>
      <c r="G405" s="0" t="s">
        <v>37</v>
      </c>
      <c r="H405" s="0" t="s">
        <v>1166</v>
      </c>
      <c r="J405" s="0" t="s">
        <v>1166</v>
      </c>
      <c r="K405" s="0" t="s">
        <v>1062</v>
      </c>
      <c r="L405" s="0" t="n">
        <v>312313675</v>
      </c>
      <c r="M405" s="0" t="s">
        <v>1167</v>
      </c>
      <c r="N405" s="0" t="n">
        <v>2004</v>
      </c>
      <c r="O405" s="0" t="s">
        <v>936</v>
      </c>
      <c r="P405" s="0" t="n">
        <v>2004</v>
      </c>
      <c r="Q405" s="0" t="s">
        <v>39</v>
      </c>
      <c r="R405" s="0" t="s">
        <v>1168</v>
      </c>
      <c r="S405" s="0" t="s">
        <v>1169</v>
      </c>
      <c r="V405" s="0" t="n">
        <v>1</v>
      </c>
      <c r="W405" s="0" t="n">
        <v>1</v>
      </c>
      <c r="X405" s="0" t="str">
        <f aca="false">"31811012670462"</f>
        <v>31811012670462</v>
      </c>
      <c r="Y405" s="0" t="s">
        <v>39</v>
      </c>
      <c r="Z405" s="0" t="s">
        <v>42</v>
      </c>
      <c r="AA405" s="0" t="s">
        <v>43</v>
      </c>
      <c r="AE405" s="1" t="s">
        <v>1170</v>
      </c>
      <c r="AF405" s="1" t="s">
        <v>1171</v>
      </c>
      <c r="AG405" s="0" t="n">
        <v>10459</v>
      </c>
    </row>
    <row r="406" customFormat="false" ht="12.8" hidden="false" customHeight="false" outlineLevel="0" collapsed="false">
      <c r="A406" s="0" t="n">
        <v>91735</v>
      </c>
      <c r="B406" s="0" t="n">
        <v>99145</v>
      </c>
      <c r="C406" s="0" t="n">
        <v>111253</v>
      </c>
      <c r="D406" s="0" t="s">
        <v>35</v>
      </c>
      <c r="E406" s="0" t="s">
        <v>35</v>
      </c>
      <c r="F406" s="0" t="s">
        <v>36</v>
      </c>
      <c r="G406" s="0" t="s">
        <v>37</v>
      </c>
      <c r="H406" s="0" t="s">
        <v>1172</v>
      </c>
      <c r="I406" s="0" t="s">
        <v>741</v>
      </c>
      <c r="J406" s="0" t="s">
        <v>1173</v>
      </c>
      <c r="L406" s="0" t="s">
        <v>1174</v>
      </c>
      <c r="M406" s="0" t="s">
        <v>1175</v>
      </c>
      <c r="N406" s="0" t="n">
        <v>1984</v>
      </c>
      <c r="O406" s="0" t="s">
        <v>1176</v>
      </c>
      <c r="P406" s="0" t="n">
        <v>1984</v>
      </c>
      <c r="Q406" s="0" t="s">
        <v>39</v>
      </c>
      <c r="R406" s="0" t="s">
        <v>1177</v>
      </c>
      <c r="S406" s="0" t="s">
        <v>1178</v>
      </c>
      <c r="V406" s="0" t="n">
        <v>1</v>
      </c>
      <c r="W406" s="0" t="n">
        <v>1</v>
      </c>
      <c r="X406" s="0" t="str">
        <f aca="false">"31811010636044"</f>
        <v>31811010636044</v>
      </c>
      <c r="Y406" s="0" t="s">
        <v>39</v>
      </c>
      <c r="Z406" s="0" t="s">
        <v>42</v>
      </c>
      <c r="AA406" s="0" t="s">
        <v>43</v>
      </c>
      <c r="AE406" s="1" t="s">
        <v>52</v>
      </c>
      <c r="AF406" s="1" t="s">
        <v>433</v>
      </c>
    </row>
    <row r="407" customFormat="false" ht="12.8" hidden="false" customHeight="false" outlineLevel="0" collapsed="false">
      <c r="A407" s="0" t="n">
        <v>460760</v>
      </c>
      <c r="B407" s="0" t="n">
        <v>492389</v>
      </c>
      <c r="C407" s="0" t="n">
        <v>552956</v>
      </c>
      <c r="D407" s="0" t="s">
        <v>35</v>
      </c>
      <c r="E407" s="0" t="s">
        <v>35</v>
      </c>
      <c r="F407" s="0" t="s">
        <v>36</v>
      </c>
      <c r="G407" s="0" t="s">
        <v>37</v>
      </c>
      <c r="H407" s="0" t="s">
        <v>1179</v>
      </c>
      <c r="I407" s="0" t="s">
        <v>741</v>
      </c>
      <c r="J407" s="0" t="s">
        <v>1180</v>
      </c>
      <c r="K407" s="0" t="s">
        <v>154</v>
      </c>
      <c r="L407" s="1" t="s">
        <v>1181</v>
      </c>
      <c r="M407" s="0" t="s">
        <v>1182</v>
      </c>
      <c r="N407" s="0" t="s">
        <v>264</v>
      </c>
      <c r="O407" s="0" t="s">
        <v>1183</v>
      </c>
      <c r="P407" s="0" t="n">
        <v>1987</v>
      </c>
      <c r="Q407" s="0" t="s">
        <v>39</v>
      </c>
      <c r="R407" s="0" t="s">
        <v>1184</v>
      </c>
      <c r="S407" s="0" t="s">
        <v>1185</v>
      </c>
      <c r="V407" s="0" t="n">
        <v>2</v>
      </c>
      <c r="W407" s="0" t="n">
        <v>1</v>
      </c>
      <c r="X407" s="0" t="str">
        <f aca="false">"31811011264010"</f>
        <v>31811011264010</v>
      </c>
      <c r="Y407" s="0" t="s">
        <v>39</v>
      </c>
      <c r="Z407" s="0" t="s">
        <v>42</v>
      </c>
      <c r="AA407" s="0" t="s">
        <v>43</v>
      </c>
      <c r="AE407" s="1" t="s">
        <v>52</v>
      </c>
      <c r="AF407" s="1" t="s">
        <v>1093</v>
      </c>
    </row>
    <row r="408" customFormat="false" ht="12.8" hidden="false" customHeight="false" outlineLevel="0" collapsed="false">
      <c r="A408" s="0" t="n">
        <v>460760</v>
      </c>
      <c r="B408" s="0" t="n">
        <v>492390</v>
      </c>
      <c r="C408" s="0" t="n">
        <v>552957</v>
      </c>
      <c r="D408" s="0" t="s">
        <v>35</v>
      </c>
      <c r="E408" s="0" t="s">
        <v>35</v>
      </c>
      <c r="F408" s="0" t="s">
        <v>36</v>
      </c>
      <c r="G408" s="0" t="s">
        <v>37</v>
      </c>
      <c r="H408" s="0" t="s">
        <v>1179</v>
      </c>
      <c r="I408" s="0" t="s">
        <v>741</v>
      </c>
      <c r="J408" s="0" t="s">
        <v>1180</v>
      </c>
      <c r="K408" s="0" t="s">
        <v>154</v>
      </c>
      <c r="L408" s="1" t="s">
        <v>1181</v>
      </c>
      <c r="M408" s="0" t="s">
        <v>1182</v>
      </c>
      <c r="N408" s="0" t="s">
        <v>264</v>
      </c>
      <c r="O408" s="0" t="s">
        <v>1183</v>
      </c>
      <c r="P408" s="0" t="n">
        <v>1987</v>
      </c>
      <c r="Q408" s="0" t="s">
        <v>39</v>
      </c>
      <c r="R408" s="0" t="s">
        <v>1184</v>
      </c>
      <c r="S408" s="0" t="s">
        <v>1185</v>
      </c>
      <c r="V408" s="0" t="n">
        <v>1</v>
      </c>
      <c r="W408" s="0" t="n">
        <v>1</v>
      </c>
      <c r="X408" s="0" t="str">
        <f aca="false">"31811010636085"</f>
        <v>31811010636085</v>
      </c>
      <c r="Y408" s="0" t="s">
        <v>39</v>
      </c>
      <c r="Z408" s="0" t="s">
        <v>42</v>
      </c>
      <c r="AA408" s="0" t="s">
        <v>43</v>
      </c>
      <c r="AE408" s="1" t="s">
        <v>52</v>
      </c>
      <c r="AF408" s="1" t="s">
        <v>1093</v>
      </c>
    </row>
    <row r="409" customFormat="false" ht="12.8" hidden="false" customHeight="false" outlineLevel="0" collapsed="false">
      <c r="A409" s="0" t="n">
        <v>362868</v>
      </c>
      <c r="B409" s="0" t="n">
        <v>392517</v>
      </c>
      <c r="C409" s="0" t="n">
        <v>436378</v>
      </c>
      <c r="D409" s="0" t="s">
        <v>35</v>
      </c>
      <c r="E409" s="0" t="s">
        <v>35</v>
      </c>
      <c r="F409" s="0" t="s">
        <v>36</v>
      </c>
      <c r="G409" s="0" t="s">
        <v>37</v>
      </c>
      <c r="H409" s="0" t="s">
        <v>1186</v>
      </c>
      <c r="J409" s="0" t="s">
        <v>1187</v>
      </c>
      <c r="M409" s="0" t="s">
        <v>1188</v>
      </c>
      <c r="N409" s="0" t="n">
        <v>1886</v>
      </c>
      <c r="O409" s="0" t="s">
        <v>1189</v>
      </c>
      <c r="P409" s="0" t="n">
        <v>1886</v>
      </c>
      <c r="Q409" s="0" t="s">
        <v>39</v>
      </c>
      <c r="R409" s="0" t="s">
        <v>1190</v>
      </c>
      <c r="S409" s="0" t="s">
        <v>1191</v>
      </c>
      <c r="V409" s="0" t="n">
        <v>1</v>
      </c>
      <c r="W409" s="0" t="n">
        <v>1</v>
      </c>
      <c r="X409" s="0" t="str">
        <f aca="false">"31811010351644"</f>
        <v>31811010351644</v>
      </c>
      <c r="Y409" s="0" t="s">
        <v>39</v>
      </c>
      <c r="Z409" s="0" t="s">
        <v>42</v>
      </c>
      <c r="AA409" s="0" t="s">
        <v>43</v>
      </c>
      <c r="AE409" s="1" t="s">
        <v>52</v>
      </c>
    </row>
    <row r="410" customFormat="false" ht="12.8" hidden="false" customHeight="false" outlineLevel="0" collapsed="false">
      <c r="A410" s="0" t="n">
        <v>516416</v>
      </c>
      <c r="B410" s="0" t="n">
        <v>553713</v>
      </c>
      <c r="C410" s="0" t="n">
        <v>624938</v>
      </c>
      <c r="D410" s="0" t="s">
        <v>35</v>
      </c>
      <c r="E410" s="0" t="s">
        <v>35</v>
      </c>
      <c r="F410" s="0" t="s">
        <v>36</v>
      </c>
      <c r="G410" s="0" t="s">
        <v>1192</v>
      </c>
      <c r="H410" s="0" t="s">
        <v>1193</v>
      </c>
      <c r="J410" s="0" t="s">
        <v>1194</v>
      </c>
      <c r="M410" s="0" t="s">
        <v>1195</v>
      </c>
      <c r="N410" s="0" t="n">
        <v>1955</v>
      </c>
      <c r="O410" s="0" t="s">
        <v>1196</v>
      </c>
      <c r="P410" s="0" t="n">
        <v>1955</v>
      </c>
      <c r="Q410" s="0" t="s">
        <v>39</v>
      </c>
      <c r="R410" s="0" t="s">
        <v>1197</v>
      </c>
      <c r="S410" s="0" t="s">
        <v>1198</v>
      </c>
      <c r="V410" s="0" t="n">
        <v>1</v>
      </c>
      <c r="W410" s="0" t="n">
        <v>1</v>
      </c>
      <c r="X410" s="0" t="str">
        <f aca="false">"31811010327040"</f>
        <v>31811010327040</v>
      </c>
      <c r="Y410" s="0" t="s">
        <v>39</v>
      </c>
      <c r="Z410" s="0" t="s">
        <v>42</v>
      </c>
      <c r="AA410" s="0" t="s">
        <v>43</v>
      </c>
      <c r="AE410" s="1" t="s">
        <v>52</v>
      </c>
    </row>
    <row r="411" customFormat="false" ht="12.8" hidden="false" customHeight="false" outlineLevel="0" collapsed="false">
      <c r="A411" s="0" t="n">
        <v>464250</v>
      </c>
      <c r="B411" s="0" t="n">
        <v>496075</v>
      </c>
      <c r="C411" s="0" t="n">
        <v>557110</v>
      </c>
      <c r="D411" s="0" t="s">
        <v>35</v>
      </c>
      <c r="E411" s="0" t="s">
        <v>35</v>
      </c>
      <c r="F411" s="0" t="s">
        <v>36</v>
      </c>
      <c r="G411" s="0" t="s">
        <v>227</v>
      </c>
      <c r="H411" s="0" t="s">
        <v>1199</v>
      </c>
      <c r="I411" s="0" t="s">
        <v>1200</v>
      </c>
      <c r="J411" s="0" t="s">
        <v>1199</v>
      </c>
      <c r="K411" s="0" t="s">
        <v>1201</v>
      </c>
      <c r="M411" s="0" t="s">
        <v>1202</v>
      </c>
      <c r="N411" s="0" t="n">
        <v>1967</v>
      </c>
      <c r="O411" s="0" t="s">
        <v>1203</v>
      </c>
      <c r="P411" s="0" t="n">
        <v>1967</v>
      </c>
      <c r="Q411" s="0" t="s">
        <v>39</v>
      </c>
      <c r="R411" s="0" t="s">
        <v>1204</v>
      </c>
      <c r="S411" s="0" t="s">
        <v>1205</v>
      </c>
      <c r="V411" s="0" t="n">
        <v>1</v>
      </c>
      <c r="W411" s="0" t="n">
        <v>1</v>
      </c>
      <c r="X411" s="0" t="str">
        <f aca="false">"31811010636168"</f>
        <v>31811010636168</v>
      </c>
      <c r="Y411" s="0" t="s">
        <v>39</v>
      </c>
      <c r="Z411" s="0" t="s">
        <v>42</v>
      </c>
      <c r="AA411" s="0" t="s">
        <v>43</v>
      </c>
      <c r="AE411" s="1" t="s">
        <v>52</v>
      </c>
      <c r="AF411" s="1" t="s">
        <v>1093</v>
      </c>
    </row>
    <row r="412" customFormat="false" ht="12.8" hidden="false" customHeight="false" outlineLevel="0" collapsed="false">
      <c r="A412" s="0" t="n">
        <v>389113</v>
      </c>
      <c r="B412" s="0" t="n">
        <v>420741</v>
      </c>
      <c r="C412" s="0" t="n">
        <v>469588</v>
      </c>
      <c r="D412" s="0" t="s">
        <v>35</v>
      </c>
      <c r="E412" s="0" t="s">
        <v>35</v>
      </c>
      <c r="F412" s="0" t="s">
        <v>36</v>
      </c>
      <c r="G412" s="0" t="s">
        <v>37</v>
      </c>
      <c r="H412" s="0" t="s">
        <v>1206</v>
      </c>
      <c r="J412" s="0" t="s">
        <v>1206</v>
      </c>
      <c r="M412" s="0" t="s">
        <v>1207</v>
      </c>
      <c r="P412" s="0" t="n">
        <v>1966</v>
      </c>
      <c r="Q412" s="0" t="s">
        <v>39</v>
      </c>
      <c r="R412" s="0" t="s">
        <v>1208</v>
      </c>
      <c r="S412" s="0" t="s">
        <v>1209</v>
      </c>
      <c r="V412" s="0" t="n">
        <v>1</v>
      </c>
      <c r="W412" s="0" t="n">
        <v>1</v>
      </c>
      <c r="X412" s="0" t="str">
        <f aca="false">"31811010327032"</f>
        <v>31811010327032</v>
      </c>
      <c r="Y412" s="0" t="s">
        <v>39</v>
      </c>
      <c r="Z412" s="0" t="s">
        <v>42</v>
      </c>
      <c r="AA412" s="0" t="s">
        <v>43</v>
      </c>
      <c r="AE412" s="1" t="s">
        <v>52</v>
      </c>
    </row>
    <row r="413" customFormat="false" ht="12.8" hidden="false" customHeight="false" outlineLevel="0" collapsed="false">
      <c r="A413" s="0" t="n">
        <v>290090</v>
      </c>
      <c r="B413" s="0" t="n">
        <v>316879</v>
      </c>
      <c r="C413" s="0" t="n">
        <v>354501</v>
      </c>
      <c r="D413" s="0" t="s">
        <v>35</v>
      </c>
      <c r="E413" s="0" t="s">
        <v>35</v>
      </c>
      <c r="F413" s="0" t="s">
        <v>36</v>
      </c>
      <c r="G413" s="0" t="s">
        <v>37</v>
      </c>
      <c r="H413" s="0" t="s">
        <v>1210</v>
      </c>
      <c r="I413" s="0" t="s">
        <v>1211</v>
      </c>
      <c r="J413" s="0" t="s">
        <v>1212</v>
      </c>
      <c r="L413" s="0" t="n">
        <v>852240120</v>
      </c>
      <c r="M413" s="0" t="s">
        <v>1213</v>
      </c>
      <c r="N413" s="0" t="n">
        <v>1968</v>
      </c>
      <c r="O413" s="0" t="s">
        <v>1214</v>
      </c>
      <c r="P413" s="0" t="n">
        <v>1968</v>
      </c>
      <c r="Q413" s="0" t="s">
        <v>39</v>
      </c>
      <c r="R413" s="0" t="s">
        <v>1215</v>
      </c>
      <c r="S413" s="0" t="s">
        <v>1216</v>
      </c>
      <c r="V413" s="0" t="n">
        <v>1</v>
      </c>
      <c r="W413" s="0" t="n">
        <v>1</v>
      </c>
      <c r="X413" s="0" t="str">
        <f aca="false">"31811010327024"</f>
        <v>31811010327024</v>
      </c>
      <c r="Y413" s="0" t="s">
        <v>39</v>
      </c>
      <c r="Z413" s="0" t="s">
        <v>42</v>
      </c>
      <c r="AA413" s="0" t="s">
        <v>43</v>
      </c>
      <c r="AE413" s="1" t="s">
        <v>52</v>
      </c>
    </row>
    <row r="414" customFormat="false" ht="12.8" hidden="false" customHeight="false" outlineLevel="0" collapsed="false">
      <c r="A414" s="0" t="n">
        <v>435802</v>
      </c>
      <c r="B414" s="0" t="n">
        <v>469326</v>
      </c>
      <c r="C414" s="0" t="n">
        <v>524348</v>
      </c>
      <c r="D414" s="0" t="s">
        <v>35</v>
      </c>
      <c r="E414" s="0" t="s">
        <v>35</v>
      </c>
      <c r="F414" s="0" t="s">
        <v>480</v>
      </c>
      <c r="G414" s="0" t="s">
        <v>37</v>
      </c>
      <c r="H414" s="0" t="s">
        <v>1217</v>
      </c>
      <c r="J414" s="0" t="s">
        <v>1217</v>
      </c>
      <c r="M414" s="0" t="s">
        <v>1218</v>
      </c>
      <c r="O414" s="0" t="s">
        <v>1219</v>
      </c>
      <c r="P414" s="0" t="n">
        <v>1992</v>
      </c>
      <c r="Q414" s="0" t="s">
        <v>39</v>
      </c>
      <c r="R414" s="0" t="s">
        <v>1220</v>
      </c>
      <c r="S414" s="0" t="s">
        <v>1221</v>
      </c>
      <c r="T414" s="0" t="s">
        <v>1222</v>
      </c>
      <c r="V414" s="0" t="n">
        <v>1</v>
      </c>
      <c r="W414" s="0" t="n">
        <v>1</v>
      </c>
      <c r="X414" s="0" t="str">
        <f aca="false">"31811010638883"</f>
        <v>31811010638883</v>
      </c>
      <c r="Y414" s="0" t="s">
        <v>39</v>
      </c>
      <c r="Z414" s="0" t="s">
        <v>42</v>
      </c>
      <c r="AA414" s="0" t="s">
        <v>622</v>
      </c>
      <c r="AE414" s="1" t="s">
        <v>52</v>
      </c>
      <c r="AF414" s="1" t="s">
        <v>433</v>
      </c>
    </row>
    <row r="415" customFormat="false" ht="12.8" hidden="false" customHeight="false" outlineLevel="0" collapsed="false">
      <c r="A415" s="0" t="n">
        <v>388444</v>
      </c>
      <c r="B415" s="0" t="n">
        <v>420032</v>
      </c>
      <c r="C415" s="0" t="n">
        <v>468677</v>
      </c>
      <c r="D415" s="0" t="s">
        <v>35</v>
      </c>
      <c r="E415" s="0" t="s">
        <v>35</v>
      </c>
      <c r="F415" s="0" t="s">
        <v>480</v>
      </c>
      <c r="G415" s="0" t="s">
        <v>37</v>
      </c>
      <c r="H415" s="0" t="s">
        <v>1223</v>
      </c>
      <c r="J415" s="0" t="s">
        <v>1223</v>
      </c>
      <c r="M415" s="0" t="s">
        <v>1224</v>
      </c>
      <c r="N415" s="1" t="s">
        <v>1225</v>
      </c>
      <c r="O415" s="0" t="s">
        <v>1219</v>
      </c>
      <c r="P415" s="0" t="n">
        <v>1989</v>
      </c>
      <c r="Q415" s="0" t="s">
        <v>39</v>
      </c>
      <c r="R415" s="0" t="s">
        <v>1226</v>
      </c>
      <c r="S415" s="0" t="s">
        <v>1227</v>
      </c>
      <c r="T415" s="0" t="s">
        <v>1228</v>
      </c>
      <c r="V415" s="0" t="n">
        <v>1</v>
      </c>
      <c r="W415" s="0" t="n">
        <v>1</v>
      </c>
      <c r="X415" s="0" t="str">
        <f aca="false">"31811010638776"</f>
        <v>31811010638776</v>
      </c>
      <c r="Y415" s="0" t="s">
        <v>39</v>
      </c>
      <c r="Z415" s="0" t="s">
        <v>42</v>
      </c>
      <c r="AA415" s="0" t="s">
        <v>622</v>
      </c>
      <c r="AE415" s="1" t="s">
        <v>52</v>
      </c>
      <c r="AF415" s="1" t="s">
        <v>433</v>
      </c>
    </row>
    <row r="416" customFormat="false" ht="12.8" hidden="false" customHeight="false" outlineLevel="0" collapsed="false">
      <c r="A416" s="0" t="n">
        <v>237144</v>
      </c>
      <c r="B416" s="0" t="n">
        <v>259903</v>
      </c>
      <c r="C416" s="0" t="n">
        <v>292334</v>
      </c>
      <c r="D416" s="0" t="s">
        <v>35</v>
      </c>
      <c r="E416" s="0" t="s">
        <v>35</v>
      </c>
      <c r="F416" s="0" t="s">
        <v>480</v>
      </c>
      <c r="G416" s="0" t="s">
        <v>37</v>
      </c>
      <c r="H416" s="0" t="s">
        <v>1229</v>
      </c>
      <c r="J416" s="0" t="s">
        <v>1229</v>
      </c>
      <c r="M416" s="0" t="s">
        <v>1230</v>
      </c>
      <c r="O416" s="0" t="s">
        <v>1231</v>
      </c>
      <c r="P416" s="0" t="n">
        <v>1965</v>
      </c>
      <c r="Q416" s="0" t="s">
        <v>39</v>
      </c>
      <c r="R416" s="0" t="s">
        <v>1232</v>
      </c>
      <c r="S416" s="0" t="s">
        <v>1233</v>
      </c>
      <c r="T416" s="0" t="s">
        <v>1234</v>
      </c>
      <c r="V416" s="0" t="n">
        <v>1</v>
      </c>
      <c r="W416" s="0" t="n">
        <v>1</v>
      </c>
      <c r="X416" s="0" t="str">
        <f aca="false">"31811010343153"</f>
        <v>31811010343153</v>
      </c>
      <c r="Y416" s="0" t="s">
        <v>39</v>
      </c>
      <c r="Z416" s="0" t="s">
        <v>42</v>
      </c>
      <c r="AA416" s="0" t="s">
        <v>43</v>
      </c>
      <c r="AE416" s="1" t="s">
        <v>52</v>
      </c>
    </row>
    <row r="417" customFormat="false" ht="12.8" hidden="false" customHeight="false" outlineLevel="0" collapsed="false">
      <c r="A417" s="0" t="n">
        <v>237144</v>
      </c>
      <c r="B417" s="0" t="n">
        <v>259903</v>
      </c>
      <c r="C417" s="0" t="n">
        <v>292335</v>
      </c>
      <c r="D417" s="0" t="s">
        <v>35</v>
      </c>
      <c r="E417" s="0" t="s">
        <v>35</v>
      </c>
      <c r="F417" s="0" t="s">
        <v>480</v>
      </c>
      <c r="G417" s="0" t="s">
        <v>37</v>
      </c>
      <c r="H417" s="0" t="s">
        <v>1229</v>
      </c>
      <c r="J417" s="0" t="s">
        <v>1229</v>
      </c>
      <c r="M417" s="0" t="s">
        <v>1230</v>
      </c>
      <c r="O417" s="0" t="s">
        <v>1231</v>
      </c>
      <c r="P417" s="0" t="n">
        <v>1965</v>
      </c>
      <c r="Q417" s="0" t="s">
        <v>39</v>
      </c>
      <c r="R417" s="0" t="s">
        <v>1232</v>
      </c>
      <c r="S417" s="0" t="s">
        <v>1233</v>
      </c>
      <c r="T417" s="0" t="s">
        <v>1235</v>
      </c>
      <c r="V417" s="0" t="n">
        <v>1</v>
      </c>
      <c r="W417" s="0" t="n">
        <v>1</v>
      </c>
      <c r="X417" s="0" t="str">
        <f aca="false">"31811010343096"</f>
        <v>31811010343096</v>
      </c>
      <c r="Y417" s="0" t="s">
        <v>39</v>
      </c>
      <c r="Z417" s="0" t="s">
        <v>42</v>
      </c>
      <c r="AA417" s="0" t="s">
        <v>43</v>
      </c>
      <c r="AE417" s="1" t="s">
        <v>52</v>
      </c>
    </row>
    <row r="418" customFormat="false" ht="12.8" hidden="false" customHeight="false" outlineLevel="0" collapsed="false">
      <c r="A418" s="0" t="n">
        <v>237144</v>
      </c>
      <c r="B418" s="0" t="n">
        <v>259903</v>
      </c>
      <c r="C418" s="0" t="n">
        <v>292336</v>
      </c>
      <c r="D418" s="0" t="s">
        <v>35</v>
      </c>
      <c r="E418" s="0" t="s">
        <v>35</v>
      </c>
      <c r="F418" s="0" t="s">
        <v>480</v>
      </c>
      <c r="G418" s="0" t="s">
        <v>37</v>
      </c>
      <c r="H418" s="0" t="s">
        <v>1229</v>
      </c>
      <c r="J418" s="0" t="s">
        <v>1229</v>
      </c>
      <c r="M418" s="0" t="s">
        <v>1230</v>
      </c>
      <c r="O418" s="0" t="s">
        <v>1231</v>
      </c>
      <c r="P418" s="0" t="n">
        <v>1965</v>
      </c>
      <c r="Q418" s="0" t="s">
        <v>39</v>
      </c>
      <c r="R418" s="0" t="s">
        <v>1232</v>
      </c>
      <c r="S418" s="0" t="s">
        <v>1233</v>
      </c>
      <c r="T418" s="0" t="s">
        <v>1236</v>
      </c>
      <c r="V418" s="0" t="n">
        <v>1</v>
      </c>
      <c r="W418" s="0" t="n">
        <v>1</v>
      </c>
      <c r="X418" s="0" t="str">
        <f aca="false">"31811010343104"</f>
        <v>31811010343104</v>
      </c>
      <c r="Y418" s="0" t="s">
        <v>39</v>
      </c>
      <c r="Z418" s="0" t="s">
        <v>42</v>
      </c>
      <c r="AA418" s="0" t="s">
        <v>43</v>
      </c>
      <c r="AE418" s="1" t="s">
        <v>52</v>
      </c>
    </row>
    <row r="419" customFormat="false" ht="12.8" hidden="false" customHeight="false" outlineLevel="0" collapsed="false">
      <c r="A419" s="0" t="n">
        <v>237144</v>
      </c>
      <c r="B419" s="0" t="n">
        <v>259903</v>
      </c>
      <c r="C419" s="0" t="n">
        <v>292337</v>
      </c>
      <c r="D419" s="0" t="s">
        <v>35</v>
      </c>
      <c r="E419" s="0" t="s">
        <v>35</v>
      </c>
      <c r="F419" s="0" t="s">
        <v>480</v>
      </c>
      <c r="G419" s="0" t="s">
        <v>37</v>
      </c>
      <c r="H419" s="0" t="s">
        <v>1229</v>
      </c>
      <c r="J419" s="0" t="s">
        <v>1229</v>
      </c>
      <c r="M419" s="0" t="s">
        <v>1230</v>
      </c>
      <c r="O419" s="0" t="s">
        <v>1231</v>
      </c>
      <c r="P419" s="0" t="n">
        <v>1965</v>
      </c>
      <c r="Q419" s="0" t="s">
        <v>39</v>
      </c>
      <c r="R419" s="0" t="s">
        <v>1232</v>
      </c>
      <c r="S419" s="0" t="s">
        <v>1233</v>
      </c>
      <c r="T419" s="0" t="s">
        <v>1237</v>
      </c>
      <c r="V419" s="0" t="n">
        <v>1</v>
      </c>
      <c r="W419" s="0" t="n">
        <v>1</v>
      </c>
      <c r="X419" s="0" t="str">
        <f aca="false">"31811010343112"</f>
        <v>31811010343112</v>
      </c>
      <c r="Y419" s="0" t="s">
        <v>39</v>
      </c>
      <c r="Z419" s="0" t="s">
        <v>42</v>
      </c>
      <c r="AA419" s="0" t="s">
        <v>43</v>
      </c>
      <c r="AE419" s="1" t="s">
        <v>52</v>
      </c>
    </row>
    <row r="420" customFormat="false" ht="12.8" hidden="false" customHeight="false" outlineLevel="0" collapsed="false">
      <c r="A420" s="0" t="n">
        <v>237144</v>
      </c>
      <c r="B420" s="0" t="n">
        <v>259903</v>
      </c>
      <c r="C420" s="0" t="n">
        <v>292338</v>
      </c>
      <c r="D420" s="0" t="s">
        <v>35</v>
      </c>
      <c r="E420" s="0" t="s">
        <v>35</v>
      </c>
      <c r="F420" s="0" t="s">
        <v>480</v>
      </c>
      <c r="G420" s="0" t="s">
        <v>37</v>
      </c>
      <c r="H420" s="0" t="s">
        <v>1229</v>
      </c>
      <c r="J420" s="0" t="s">
        <v>1229</v>
      </c>
      <c r="M420" s="0" t="s">
        <v>1230</v>
      </c>
      <c r="O420" s="0" t="s">
        <v>1231</v>
      </c>
      <c r="P420" s="0" t="n">
        <v>1965</v>
      </c>
      <c r="Q420" s="0" t="s">
        <v>39</v>
      </c>
      <c r="R420" s="0" t="s">
        <v>1232</v>
      </c>
      <c r="S420" s="0" t="s">
        <v>1233</v>
      </c>
      <c r="T420" s="0" t="s">
        <v>1238</v>
      </c>
      <c r="V420" s="0" t="n">
        <v>1</v>
      </c>
      <c r="W420" s="0" t="n">
        <v>1</v>
      </c>
      <c r="X420" s="0" t="str">
        <f aca="false">"31811010343054"</f>
        <v>31811010343054</v>
      </c>
      <c r="Y420" s="0" t="s">
        <v>39</v>
      </c>
      <c r="Z420" s="0" t="s">
        <v>42</v>
      </c>
      <c r="AA420" s="0" t="s">
        <v>43</v>
      </c>
      <c r="AE420" s="1" t="s">
        <v>52</v>
      </c>
    </row>
    <row r="421" customFormat="false" ht="12.8" hidden="false" customHeight="false" outlineLevel="0" collapsed="false">
      <c r="A421" s="0" t="n">
        <v>237144</v>
      </c>
      <c r="B421" s="0" t="n">
        <v>259903</v>
      </c>
      <c r="C421" s="0" t="n">
        <v>292339</v>
      </c>
      <c r="D421" s="0" t="s">
        <v>35</v>
      </c>
      <c r="E421" s="0" t="s">
        <v>35</v>
      </c>
      <c r="F421" s="0" t="s">
        <v>480</v>
      </c>
      <c r="G421" s="0" t="s">
        <v>37</v>
      </c>
      <c r="H421" s="0" t="s">
        <v>1229</v>
      </c>
      <c r="J421" s="0" t="s">
        <v>1229</v>
      </c>
      <c r="M421" s="0" t="s">
        <v>1230</v>
      </c>
      <c r="O421" s="0" t="s">
        <v>1231</v>
      </c>
      <c r="P421" s="0" t="n">
        <v>1965</v>
      </c>
      <c r="Q421" s="0" t="s">
        <v>39</v>
      </c>
      <c r="R421" s="0" t="s">
        <v>1232</v>
      </c>
      <c r="S421" s="0" t="s">
        <v>1233</v>
      </c>
      <c r="T421" s="0" t="s">
        <v>1239</v>
      </c>
      <c r="V421" s="0" t="n">
        <v>1</v>
      </c>
      <c r="W421" s="0" t="n">
        <v>1</v>
      </c>
      <c r="X421" s="0" t="str">
        <f aca="false">"31811010343062"</f>
        <v>31811010343062</v>
      </c>
      <c r="Y421" s="0" t="s">
        <v>39</v>
      </c>
      <c r="Z421" s="0" t="s">
        <v>42</v>
      </c>
      <c r="AA421" s="0" t="s">
        <v>43</v>
      </c>
      <c r="AE421" s="1" t="s">
        <v>52</v>
      </c>
    </row>
    <row r="422" customFormat="false" ht="12.8" hidden="false" customHeight="false" outlineLevel="0" collapsed="false">
      <c r="A422" s="0" t="n">
        <v>237144</v>
      </c>
      <c r="B422" s="0" t="n">
        <v>259903</v>
      </c>
      <c r="C422" s="0" t="n">
        <v>292340</v>
      </c>
      <c r="D422" s="0" t="s">
        <v>35</v>
      </c>
      <c r="E422" s="0" t="s">
        <v>35</v>
      </c>
      <c r="F422" s="0" t="s">
        <v>480</v>
      </c>
      <c r="G422" s="0" t="s">
        <v>37</v>
      </c>
      <c r="H422" s="0" t="s">
        <v>1229</v>
      </c>
      <c r="J422" s="0" t="s">
        <v>1229</v>
      </c>
      <c r="M422" s="0" t="s">
        <v>1230</v>
      </c>
      <c r="O422" s="0" t="s">
        <v>1231</v>
      </c>
      <c r="P422" s="0" t="n">
        <v>1965</v>
      </c>
      <c r="Q422" s="0" t="s">
        <v>39</v>
      </c>
      <c r="R422" s="0" t="s">
        <v>1232</v>
      </c>
      <c r="S422" s="0" t="s">
        <v>1233</v>
      </c>
      <c r="T422" s="0" t="s">
        <v>1240</v>
      </c>
      <c r="V422" s="0" t="n">
        <v>1</v>
      </c>
      <c r="W422" s="0" t="n">
        <v>1</v>
      </c>
      <c r="X422" s="0" t="str">
        <f aca="false">"31811010343070"</f>
        <v>31811010343070</v>
      </c>
      <c r="Y422" s="0" t="s">
        <v>39</v>
      </c>
      <c r="Z422" s="0" t="s">
        <v>42</v>
      </c>
      <c r="AA422" s="0" t="s">
        <v>43</v>
      </c>
      <c r="AE422" s="1" t="s">
        <v>52</v>
      </c>
    </row>
    <row r="423" customFormat="false" ht="12.8" hidden="false" customHeight="false" outlineLevel="0" collapsed="false">
      <c r="A423" s="0" t="n">
        <v>214294</v>
      </c>
      <c r="B423" s="0" t="n">
        <v>235114</v>
      </c>
      <c r="C423" s="0" t="n">
        <v>264711</v>
      </c>
      <c r="D423" s="0" t="s">
        <v>35</v>
      </c>
      <c r="E423" s="0" t="s">
        <v>35</v>
      </c>
      <c r="F423" s="0" t="s">
        <v>36</v>
      </c>
      <c r="G423" s="0" t="s">
        <v>37</v>
      </c>
      <c r="H423" s="0" t="s">
        <v>1241</v>
      </c>
      <c r="I423" s="0" t="s">
        <v>1242</v>
      </c>
      <c r="J423" s="0" t="s">
        <v>1241</v>
      </c>
      <c r="M423" s="0" t="s">
        <v>1243</v>
      </c>
      <c r="N423" s="0" t="n">
        <v>1957</v>
      </c>
      <c r="O423" s="0" t="s">
        <v>1244</v>
      </c>
      <c r="P423" s="0" t="n">
        <v>1957</v>
      </c>
      <c r="Q423" s="0" t="s">
        <v>39</v>
      </c>
      <c r="R423" s="0" t="s">
        <v>1245</v>
      </c>
      <c r="S423" s="0" t="s">
        <v>1246</v>
      </c>
      <c r="V423" s="0" t="n">
        <v>1</v>
      </c>
      <c r="W423" s="0" t="n">
        <v>1</v>
      </c>
      <c r="X423" s="0" t="str">
        <f aca="false">"31811010351735"</f>
        <v>31811010351735</v>
      </c>
      <c r="Y423" s="0" t="s">
        <v>39</v>
      </c>
      <c r="Z423" s="0" t="s">
        <v>42</v>
      </c>
      <c r="AA423" s="0" t="s">
        <v>43</v>
      </c>
      <c r="AE423" s="1" t="s">
        <v>52</v>
      </c>
    </row>
    <row r="424" customFormat="false" ht="12.8" hidden="false" customHeight="false" outlineLevel="0" collapsed="false">
      <c r="A424" s="0" t="n">
        <v>358674</v>
      </c>
      <c r="B424" s="0" t="n">
        <v>388179</v>
      </c>
      <c r="C424" s="0" t="n">
        <v>431770</v>
      </c>
      <c r="D424" s="0" t="s">
        <v>35</v>
      </c>
      <c r="E424" s="0" t="s">
        <v>35</v>
      </c>
      <c r="F424" s="0" t="s">
        <v>36</v>
      </c>
      <c r="G424" s="0" t="s">
        <v>37</v>
      </c>
      <c r="H424" s="0" t="s">
        <v>1247</v>
      </c>
      <c r="J424" s="0" t="s">
        <v>1248</v>
      </c>
      <c r="M424" s="0" t="s">
        <v>1249</v>
      </c>
      <c r="N424" s="0" t="n">
        <v>1969</v>
      </c>
      <c r="O424" s="0" t="s">
        <v>1250</v>
      </c>
      <c r="P424" s="0" t="n">
        <v>1969</v>
      </c>
      <c r="Q424" s="0" t="s">
        <v>39</v>
      </c>
      <c r="R424" s="0" t="s">
        <v>1251</v>
      </c>
      <c r="S424" s="0" t="s">
        <v>1252</v>
      </c>
      <c r="V424" s="0" t="n">
        <v>1</v>
      </c>
      <c r="W424" s="0" t="n">
        <v>1</v>
      </c>
      <c r="X424" s="0" t="str">
        <f aca="false">"31811010351727"</f>
        <v>31811010351727</v>
      </c>
      <c r="Y424" s="0" t="s">
        <v>39</v>
      </c>
      <c r="Z424" s="0" t="s">
        <v>42</v>
      </c>
      <c r="AA424" s="0" t="s">
        <v>43</v>
      </c>
      <c r="AE424" s="1" t="s">
        <v>52</v>
      </c>
    </row>
    <row r="425" customFormat="false" ht="12.8" hidden="false" customHeight="false" outlineLevel="0" collapsed="false">
      <c r="A425" s="0" t="n">
        <v>520462</v>
      </c>
      <c r="B425" s="0" t="n">
        <v>557877</v>
      </c>
      <c r="C425" s="0" t="n">
        <v>630091</v>
      </c>
      <c r="D425" s="0" t="s">
        <v>35</v>
      </c>
      <c r="E425" s="0" t="s">
        <v>35</v>
      </c>
      <c r="F425" s="0" t="s">
        <v>480</v>
      </c>
      <c r="G425" s="0" t="s">
        <v>37</v>
      </c>
      <c r="H425" s="0" t="s">
        <v>1253</v>
      </c>
      <c r="J425" s="0" t="s">
        <v>1253</v>
      </c>
      <c r="M425" s="0" t="s">
        <v>1254</v>
      </c>
      <c r="O425" s="0" t="s">
        <v>1255</v>
      </c>
      <c r="P425" s="0" t="n">
        <v>1965</v>
      </c>
      <c r="Q425" s="0" t="s">
        <v>39</v>
      </c>
      <c r="R425" s="0" t="s">
        <v>1256</v>
      </c>
      <c r="S425" s="0" t="s">
        <v>1257</v>
      </c>
      <c r="T425" s="0" t="s">
        <v>1258</v>
      </c>
      <c r="V425" s="0" t="n">
        <v>1</v>
      </c>
      <c r="W425" s="0" t="n">
        <v>1</v>
      </c>
      <c r="X425" s="0" t="str">
        <f aca="false">"31811012013846"</f>
        <v>31811012013846</v>
      </c>
      <c r="Y425" s="0" t="s">
        <v>39</v>
      </c>
      <c r="Z425" s="0" t="s">
        <v>42</v>
      </c>
      <c r="AA425" s="0" t="s">
        <v>622</v>
      </c>
      <c r="AE425" s="1" t="s">
        <v>52</v>
      </c>
    </row>
    <row r="426" customFormat="false" ht="12.8" hidden="false" customHeight="false" outlineLevel="0" collapsed="false">
      <c r="A426" s="0" t="n">
        <v>520462</v>
      </c>
      <c r="B426" s="0" t="n">
        <v>557877</v>
      </c>
      <c r="C426" s="0" t="n">
        <v>630092</v>
      </c>
      <c r="D426" s="0" t="s">
        <v>35</v>
      </c>
      <c r="E426" s="0" t="s">
        <v>35</v>
      </c>
      <c r="F426" s="0" t="s">
        <v>480</v>
      </c>
      <c r="G426" s="0" t="s">
        <v>37</v>
      </c>
      <c r="H426" s="0" t="s">
        <v>1253</v>
      </c>
      <c r="J426" s="0" t="s">
        <v>1253</v>
      </c>
      <c r="M426" s="0" t="s">
        <v>1254</v>
      </c>
      <c r="O426" s="0" t="s">
        <v>1255</v>
      </c>
      <c r="P426" s="0" t="n">
        <v>1965</v>
      </c>
      <c r="Q426" s="0" t="s">
        <v>39</v>
      </c>
      <c r="R426" s="0" t="s">
        <v>1256</v>
      </c>
      <c r="S426" s="0" t="s">
        <v>1257</v>
      </c>
      <c r="T426" s="0" t="s">
        <v>1259</v>
      </c>
      <c r="V426" s="0" t="n">
        <v>1</v>
      </c>
      <c r="W426" s="0" t="n">
        <v>1</v>
      </c>
      <c r="X426" s="0" t="str">
        <f aca="false">"31811012027796"</f>
        <v>31811012027796</v>
      </c>
      <c r="Y426" s="0" t="s">
        <v>39</v>
      </c>
      <c r="Z426" s="0" t="s">
        <v>42</v>
      </c>
      <c r="AA426" s="0" t="s">
        <v>622</v>
      </c>
      <c r="AE426" s="1" t="s">
        <v>52</v>
      </c>
    </row>
    <row r="427" customFormat="false" ht="12.8" hidden="false" customHeight="false" outlineLevel="0" collapsed="false">
      <c r="A427" s="0" t="n">
        <v>520462</v>
      </c>
      <c r="B427" s="0" t="n">
        <v>557877</v>
      </c>
      <c r="C427" s="0" t="n">
        <v>630093</v>
      </c>
      <c r="D427" s="0" t="s">
        <v>35</v>
      </c>
      <c r="E427" s="0" t="s">
        <v>35</v>
      </c>
      <c r="F427" s="0" t="s">
        <v>480</v>
      </c>
      <c r="G427" s="0" t="s">
        <v>37</v>
      </c>
      <c r="H427" s="0" t="s">
        <v>1253</v>
      </c>
      <c r="J427" s="0" t="s">
        <v>1253</v>
      </c>
      <c r="M427" s="0" t="s">
        <v>1254</v>
      </c>
      <c r="O427" s="0" t="s">
        <v>1255</v>
      </c>
      <c r="P427" s="0" t="n">
        <v>1965</v>
      </c>
      <c r="Q427" s="0" t="s">
        <v>39</v>
      </c>
      <c r="R427" s="0" t="s">
        <v>1256</v>
      </c>
      <c r="S427" s="0" t="s">
        <v>1257</v>
      </c>
      <c r="T427" s="0" t="s">
        <v>1260</v>
      </c>
      <c r="V427" s="0" t="n">
        <v>1</v>
      </c>
      <c r="W427" s="0" t="n">
        <v>1</v>
      </c>
      <c r="X427" s="0" t="str">
        <f aca="false">"31811012027804"</f>
        <v>31811012027804</v>
      </c>
      <c r="Y427" s="0" t="s">
        <v>39</v>
      </c>
      <c r="Z427" s="0" t="s">
        <v>42</v>
      </c>
      <c r="AA427" s="0" t="s">
        <v>622</v>
      </c>
      <c r="AE427" s="1" t="s">
        <v>52</v>
      </c>
    </row>
    <row r="428" customFormat="false" ht="12.8" hidden="false" customHeight="false" outlineLevel="0" collapsed="false">
      <c r="A428" s="0" t="n">
        <v>520462</v>
      </c>
      <c r="B428" s="0" t="n">
        <v>557877</v>
      </c>
      <c r="C428" s="0" t="n">
        <v>630094</v>
      </c>
      <c r="D428" s="0" t="s">
        <v>35</v>
      </c>
      <c r="E428" s="0" t="s">
        <v>35</v>
      </c>
      <c r="F428" s="0" t="s">
        <v>480</v>
      </c>
      <c r="G428" s="0" t="s">
        <v>37</v>
      </c>
      <c r="H428" s="0" t="s">
        <v>1253</v>
      </c>
      <c r="J428" s="0" t="s">
        <v>1253</v>
      </c>
      <c r="M428" s="0" t="s">
        <v>1254</v>
      </c>
      <c r="O428" s="0" t="s">
        <v>1255</v>
      </c>
      <c r="P428" s="0" t="n">
        <v>1965</v>
      </c>
      <c r="Q428" s="0" t="s">
        <v>39</v>
      </c>
      <c r="R428" s="0" t="s">
        <v>1256</v>
      </c>
      <c r="S428" s="0" t="s">
        <v>1257</v>
      </c>
      <c r="T428" s="0" t="s">
        <v>1261</v>
      </c>
      <c r="V428" s="0" t="n">
        <v>1</v>
      </c>
      <c r="W428" s="0" t="n">
        <v>1</v>
      </c>
      <c r="X428" s="0" t="str">
        <f aca="false">"31811012028091"</f>
        <v>31811012028091</v>
      </c>
      <c r="Y428" s="0" t="s">
        <v>39</v>
      </c>
      <c r="Z428" s="0" t="s">
        <v>42</v>
      </c>
      <c r="AA428" s="0" t="s">
        <v>622</v>
      </c>
      <c r="AE428" s="1" t="s">
        <v>52</v>
      </c>
    </row>
    <row r="429" customFormat="false" ht="12.8" hidden="false" customHeight="false" outlineLevel="0" collapsed="false">
      <c r="A429" s="0" t="n">
        <v>520462</v>
      </c>
      <c r="B429" s="0" t="n">
        <v>557877</v>
      </c>
      <c r="C429" s="0" t="n">
        <v>630095</v>
      </c>
      <c r="D429" s="0" t="s">
        <v>35</v>
      </c>
      <c r="E429" s="0" t="s">
        <v>35</v>
      </c>
      <c r="F429" s="0" t="s">
        <v>480</v>
      </c>
      <c r="G429" s="0" t="s">
        <v>37</v>
      </c>
      <c r="H429" s="0" t="s">
        <v>1253</v>
      </c>
      <c r="J429" s="0" t="s">
        <v>1253</v>
      </c>
      <c r="M429" s="0" t="s">
        <v>1254</v>
      </c>
      <c r="O429" s="0" t="s">
        <v>1255</v>
      </c>
      <c r="P429" s="0" t="n">
        <v>1965</v>
      </c>
      <c r="Q429" s="0" t="s">
        <v>39</v>
      </c>
      <c r="R429" s="0" t="s">
        <v>1256</v>
      </c>
      <c r="S429" s="0" t="s">
        <v>1257</v>
      </c>
      <c r="T429" s="0" t="s">
        <v>1262</v>
      </c>
      <c r="V429" s="0" t="n">
        <v>1</v>
      </c>
      <c r="W429" s="0" t="n">
        <v>1</v>
      </c>
      <c r="X429" s="0" t="str">
        <f aca="false">"31811012028109"</f>
        <v>31811012028109</v>
      </c>
      <c r="Y429" s="0" t="s">
        <v>39</v>
      </c>
      <c r="Z429" s="0" t="s">
        <v>42</v>
      </c>
      <c r="AA429" s="0" t="s">
        <v>622</v>
      </c>
      <c r="AE429" s="1" t="s">
        <v>52</v>
      </c>
    </row>
    <row r="430" customFormat="false" ht="12.8" hidden="false" customHeight="false" outlineLevel="0" collapsed="false">
      <c r="A430" s="0" t="n">
        <v>520462</v>
      </c>
      <c r="B430" s="0" t="n">
        <v>557877</v>
      </c>
      <c r="C430" s="0" t="n">
        <v>630096</v>
      </c>
      <c r="D430" s="0" t="s">
        <v>35</v>
      </c>
      <c r="E430" s="0" t="s">
        <v>35</v>
      </c>
      <c r="F430" s="0" t="s">
        <v>480</v>
      </c>
      <c r="G430" s="0" t="s">
        <v>37</v>
      </c>
      <c r="H430" s="0" t="s">
        <v>1253</v>
      </c>
      <c r="J430" s="0" t="s">
        <v>1253</v>
      </c>
      <c r="M430" s="0" t="s">
        <v>1254</v>
      </c>
      <c r="O430" s="0" t="s">
        <v>1255</v>
      </c>
      <c r="P430" s="0" t="n">
        <v>1965</v>
      </c>
      <c r="Q430" s="0" t="s">
        <v>39</v>
      </c>
      <c r="R430" s="0" t="s">
        <v>1256</v>
      </c>
      <c r="S430" s="0" t="s">
        <v>1257</v>
      </c>
      <c r="T430" s="0" t="s">
        <v>1263</v>
      </c>
      <c r="V430" s="0" t="n">
        <v>1</v>
      </c>
      <c r="W430" s="0" t="n">
        <v>1</v>
      </c>
      <c r="X430" s="0" t="str">
        <f aca="false">"31811012028117"</f>
        <v>31811012028117</v>
      </c>
      <c r="Y430" s="0" t="s">
        <v>39</v>
      </c>
      <c r="Z430" s="0" t="s">
        <v>42</v>
      </c>
      <c r="AA430" s="0" t="s">
        <v>622</v>
      </c>
      <c r="AE430" s="1" t="s">
        <v>52</v>
      </c>
    </row>
    <row r="431" customFormat="false" ht="12.8" hidden="false" customHeight="false" outlineLevel="0" collapsed="false">
      <c r="A431" s="0" t="n">
        <v>520462</v>
      </c>
      <c r="B431" s="0" t="n">
        <v>557877</v>
      </c>
      <c r="C431" s="0" t="n">
        <v>630097</v>
      </c>
      <c r="D431" s="0" t="s">
        <v>35</v>
      </c>
      <c r="E431" s="0" t="s">
        <v>35</v>
      </c>
      <c r="F431" s="0" t="s">
        <v>480</v>
      </c>
      <c r="G431" s="0" t="s">
        <v>37</v>
      </c>
      <c r="H431" s="0" t="s">
        <v>1253</v>
      </c>
      <c r="J431" s="0" t="s">
        <v>1253</v>
      </c>
      <c r="M431" s="0" t="s">
        <v>1254</v>
      </c>
      <c r="O431" s="0" t="s">
        <v>1255</v>
      </c>
      <c r="P431" s="0" t="n">
        <v>1965</v>
      </c>
      <c r="Q431" s="0" t="s">
        <v>39</v>
      </c>
      <c r="R431" s="0" t="s">
        <v>1256</v>
      </c>
      <c r="S431" s="0" t="s">
        <v>1257</v>
      </c>
      <c r="T431" s="0" t="s">
        <v>1264</v>
      </c>
      <c r="V431" s="0" t="n">
        <v>1</v>
      </c>
      <c r="W431" s="0" t="n">
        <v>1</v>
      </c>
      <c r="X431" s="0" t="str">
        <f aca="false">"31811012028125"</f>
        <v>31811012028125</v>
      </c>
      <c r="Y431" s="0" t="s">
        <v>39</v>
      </c>
      <c r="Z431" s="0" t="s">
        <v>42</v>
      </c>
      <c r="AA431" s="0" t="s">
        <v>622</v>
      </c>
      <c r="AE431" s="1" t="s">
        <v>52</v>
      </c>
    </row>
    <row r="432" customFormat="false" ht="12.8" hidden="false" customHeight="false" outlineLevel="0" collapsed="false">
      <c r="A432" s="0" t="n">
        <v>520462</v>
      </c>
      <c r="B432" s="0" t="n">
        <v>557877</v>
      </c>
      <c r="C432" s="0" t="n">
        <v>630098</v>
      </c>
      <c r="D432" s="0" t="s">
        <v>35</v>
      </c>
      <c r="E432" s="0" t="s">
        <v>35</v>
      </c>
      <c r="F432" s="0" t="s">
        <v>480</v>
      </c>
      <c r="G432" s="0" t="s">
        <v>37</v>
      </c>
      <c r="H432" s="0" t="s">
        <v>1253</v>
      </c>
      <c r="J432" s="0" t="s">
        <v>1253</v>
      </c>
      <c r="M432" s="0" t="s">
        <v>1254</v>
      </c>
      <c r="O432" s="0" t="s">
        <v>1255</v>
      </c>
      <c r="P432" s="0" t="n">
        <v>1965</v>
      </c>
      <c r="Q432" s="0" t="s">
        <v>39</v>
      </c>
      <c r="R432" s="0" t="s">
        <v>1256</v>
      </c>
      <c r="S432" s="0" t="s">
        <v>1257</v>
      </c>
      <c r="T432" s="0" t="s">
        <v>1265</v>
      </c>
      <c r="V432" s="0" t="n">
        <v>1</v>
      </c>
      <c r="W432" s="0" t="n">
        <v>1</v>
      </c>
      <c r="X432" s="0" t="str">
        <f aca="false">"31811012028414"</f>
        <v>31811012028414</v>
      </c>
      <c r="Y432" s="0" t="s">
        <v>39</v>
      </c>
      <c r="Z432" s="0" t="s">
        <v>42</v>
      </c>
      <c r="AA432" s="0" t="s">
        <v>622</v>
      </c>
      <c r="AE432" s="1" t="s">
        <v>52</v>
      </c>
    </row>
    <row r="433" customFormat="false" ht="12.8" hidden="false" customHeight="false" outlineLevel="0" collapsed="false">
      <c r="A433" s="0" t="n">
        <v>520462</v>
      </c>
      <c r="B433" s="0" t="n">
        <v>557877</v>
      </c>
      <c r="C433" s="0" t="n">
        <v>630099</v>
      </c>
      <c r="D433" s="0" t="s">
        <v>35</v>
      </c>
      <c r="E433" s="0" t="s">
        <v>35</v>
      </c>
      <c r="F433" s="0" t="s">
        <v>480</v>
      </c>
      <c r="G433" s="0" t="s">
        <v>37</v>
      </c>
      <c r="H433" s="0" t="s">
        <v>1253</v>
      </c>
      <c r="J433" s="0" t="s">
        <v>1253</v>
      </c>
      <c r="M433" s="0" t="s">
        <v>1254</v>
      </c>
      <c r="O433" s="0" t="s">
        <v>1255</v>
      </c>
      <c r="P433" s="0" t="n">
        <v>1965</v>
      </c>
      <c r="Q433" s="0" t="s">
        <v>39</v>
      </c>
      <c r="R433" s="0" t="s">
        <v>1256</v>
      </c>
      <c r="S433" s="0" t="s">
        <v>1257</v>
      </c>
      <c r="T433" s="0" t="s">
        <v>1266</v>
      </c>
      <c r="V433" s="0" t="n">
        <v>1</v>
      </c>
      <c r="W433" s="0" t="n">
        <v>1</v>
      </c>
      <c r="X433" s="0" t="str">
        <f aca="false">"31811012028422"</f>
        <v>31811012028422</v>
      </c>
      <c r="Y433" s="0" t="s">
        <v>39</v>
      </c>
      <c r="Z433" s="0" t="s">
        <v>42</v>
      </c>
      <c r="AA433" s="0" t="s">
        <v>622</v>
      </c>
      <c r="AE433" s="1" t="s">
        <v>52</v>
      </c>
    </row>
    <row r="434" customFormat="false" ht="12.8" hidden="false" customHeight="false" outlineLevel="0" collapsed="false">
      <c r="A434" s="0" t="n">
        <v>520462</v>
      </c>
      <c r="B434" s="0" t="n">
        <v>557877</v>
      </c>
      <c r="C434" s="0" t="n">
        <v>630100</v>
      </c>
      <c r="D434" s="0" t="s">
        <v>35</v>
      </c>
      <c r="E434" s="0" t="s">
        <v>35</v>
      </c>
      <c r="F434" s="0" t="s">
        <v>480</v>
      </c>
      <c r="G434" s="0" t="s">
        <v>37</v>
      </c>
      <c r="H434" s="0" t="s">
        <v>1253</v>
      </c>
      <c r="J434" s="0" t="s">
        <v>1253</v>
      </c>
      <c r="M434" s="0" t="s">
        <v>1254</v>
      </c>
      <c r="O434" s="0" t="s">
        <v>1255</v>
      </c>
      <c r="P434" s="0" t="n">
        <v>1965</v>
      </c>
      <c r="Q434" s="0" t="s">
        <v>39</v>
      </c>
      <c r="R434" s="0" t="s">
        <v>1256</v>
      </c>
      <c r="S434" s="0" t="s">
        <v>1257</v>
      </c>
      <c r="T434" s="0" t="s">
        <v>1267</v>
      </c>
      <c r="V434" s="0" t="n">
        <v>1</v>
      </c>
      <c r="W434" s="0" t="n">
        <v>1</v>
      </c>
      <c r="X434" s="0" t="str">
        <f aca="false">"31811012028430"</f>
        <v>31811012028430</v>
      </c>
      <c r="Y434" s="0" t="s">
        <v>39</v>
      </c>
      <c r="Z434" s="0" t="s">
        <v>42</v>
      </c>
      <c r="AA434" s="0" t="s">
        <v>622</v>
      </c>
      <c r="AE434" s="1" t="s">
        <v>52</v>
      </c>
    </row>
    <row r="435" customFormat="false" ht="12.8" hidden="false" customHeight="false" outlineLevel="0" collapsed="false">
      <c r="A435" s="0" t="n">
        <v>520462</v>
      </c>
      <c r="B435" s="0" t="n">
        <v>557877</v>
      </c>
      <c r="C435" s="0" t="n">
        <v>630101</v>
      </c>
      <c r="D435" s="0" t="s">
        <v>35</v>
      </c>
      <c r="E435" s="0" t="s">
        <v>35</v>
      </c>
      <c r="F435" s="0" t="s">
        <v>480</v>
      </c>
      <c r="G435" s="0" t="s">
        <v>37</v>
      </c>
      <c r="H435" s="0" t="s">
        <v>1253</v>
      </c>
      <c r="J435" s="0" t="s">
        <v>1253</v>
      </c>
      <c r="M435" s="0" t="s">
        <v>1254</v>
      </c>
      <c r="O435" s="0" t="s">
        <v>1255</v>
      </c>
      <c r="P435" s="0" t="n">
        <v>1965</v>
      </c>
      <c r="Q435" s="0" t="s">
        <v>39</v>
      </c>
      <c r="R435" s="0" t="s">
        <v>1256</v>
      </c>
      <c r="S435" s="0" t="s">
        <v>1257</v>
      </c>
      <c r="T435" s="0" t="s">
        <v>1268</v>
      </c>
      <c r="V435" s="0" t="n">
        <v>1</v>
      </c>
      <c r="W435" s="0" t="n">
        <v>1</v>
      </c>
      <c r="X435" s="0" t="str">
        <f aca="false">"31811012028448"</f>
        <v>31811012028448</v>
      </c>
      <c r="Y435" s="0" t="s">
        <v>39</v>
      </c>
      <c r="Z435" s="0" t="s">
        <v>42</v>
      </c>
      <c r="AA435" s="0" t="s">
        <v>622</v>
      </c>
      <c r="AE435" s="1" t="s">
        <v>52</v>
      </c>
    </row>
    <row r="436" customFormat="false" ht="12.8" hidden="false" customHeight="false" outlineLevel="0" collapsed="false">
      <c r="A436" s="0" t="n">
        <v>520462</v>
      </c>
      <c r="B436" s="0" t="n">
        <v>557877</v>
      </c>
      <c r="C436" s="0" t="n">
        <v>630102</v>
      </c>
      <c r="D436" s="0" t="s">
        <v>35</v>
      </c>
      <c r="E436" s="0" t="s">
        <v>35</v>
      </c>
      <c r="F436" s="0" t="s">
        <v>480</v>
      </c>
      <c r="G436" s="0" t="s">
        <v>37</v>
      </c>
      <c r="H436" s="0" t="s">
        <v>1253</v>
      </c>
      <c r="J436" s="0" t="s">
        <v>1253</v>
      </c>
      <c r="M436" s="0" t="s">
        <v>1254</v>
      </c>
      <c r="O436" s="0" t="s">
        <v>1255</v>
      </c>
      <c r="P436" s="0" t="n">
        <v>1965</v>
      </c>
      <c r="Q436" s="0" t="s">
        <v>39</v>
      </c>
      <c r="R436" s="0" t="s">
        <v>1256</v>
      </c>
      <c r="S436" s="0" t="s">
        <v>1257</v>
      </c>
      <c r="T436" s="0" t="s">
        <v>1269</v>
      </c>
      <c r="V436" s="0" t="n">
        <v>1</v>
      </c>
      <c r="W436" s="0" t="n">
        <v>1</v>
      </c>
      <c r="X436" s="0" t="str">
        <f aca="false">"31811012028737"</f>
        <v>31811012028737</v>
      </c>
      <c r="Y436" s="0" t="s">
        <v>39</v>
      </c>
      <c r="Z436" s="0" t="s">
        <v>42</v>
      </c>
      <c r="AA436" s="0" t="s">
        <v>622</v>
      </c>
      <c r="AE436" s="1" t="s">
        <v>52</v>
      </c>
    </row>
    <row r="437" customFormat="false" ht="12.8" hidden="false" customHeight="false" outlineLevel="0" collapsed="false">
      <c r="A437" s="0" t="n">
        <v>454380</v>
      </c>
      <c r="B437" s="0" t="n">
        <v>540687</v>
      </c>
      <c r="C437" s="0" t="n">
        <v>609188</v>
      </c>
      <c r="D437" s="0" t="s">
        <v>35</v>
      </c>
      <c r="E437" s="0" t="s">
        <v>35</v>
      </c>
      <c r="F437" s="0" t="s">
        <v>36</v>
      </c>
      <c r="G437" s="0" t="s">
        <v>37</v>
      </c>
      <c r="H437" s="0" t="s">
        <v>1270</v>
      </c>
      <c r="I437" s="0" t="s">
        <v>1271</v>
      </c>
      <c r="J437" s="0" t="s">
        <v>1272</v>
      </c>
      <c r="M437" s="0" t="s">
        <v>1273</v>
      </c>
      <c r="N437" s="0" t="n">
        <v>1928</v>
      </c>
      <c r="P437" s="0" t="n">
        <v>1928</v>
      </c>
      <c r="Q437" s="0" t="s">
        <v>39</v>
      </c>
      <c r="R437" s="0" t="s">
        <v>1274</v>
      </c>
      <c r="S437" s="0" t="s">
        <v>1275</v>
      </c>
      <c r="V437" s="0" t="n">
        <v>1</v>
      </c>
      <c r="W437" s="0" t="n">
        <v>1</v>
      </c>
      <c r="X437" s="0" t="str">
        <f aca="false">"31811010351743"</f>
        <v>31811010351743</v>
      </c>
      <c r="Y437" s="0" t="s">
        <v>39</v>
      </c>
      <c r="Z437" s="0" t="s">
        <v>42</v>
      </c>
      <c r="AA437" s="0" t="s">
        <v>43</v>
      </c>
      <c r="AE437" s="1" t="s">
        <v>52</v>
      </c>
    </row>
    <row r="438" customFormat="false" ht="12.8" hidden="false" customHeight="false" outlineLevel="0" collapsed="false">
      <c r="A438" s="0" t="n">
        <v>364423</v>
      </c>
      <c r="B438" s="0" t="n">
        <v>394126</v>
      </c>
      <c r="C438" s="0" t="n">
        <v>438154</v>
      </c>
      <c r="D438" s="0" t="s">
        <v>35</v>
      </c>
      <c r="E438" s="0" t="s">
        <v>35</v>
      </c>
      <c r="F438" s="0" t="s">
        <v>36</v>
      </c>
      <c r="G438" s="0" t="s">
        <v>37</v>
      </c>
      <c r="H438" s="0" t="s">
        <v>1276</v>
      </c>
      <c r="I438" s="0" t="s">
        <v>1277</v>
      </c>
      <c r="J438" s="0" t="s">
        <v>1276</v>
      </c>
      <c r="K438" s="0" t="s">
        <v>428</v>
      </c>
      <c r="L438" s="0" t="n">
        <v>714100269</v>
      </c>
      <c r="M438" s="0" t="s">
        <v>1278</v>
      </c>
      <c r="N438" s="0" t="n">
        <v>1970</v>
      </c>
      <c r="O438" s="0" t="s">
        <v>1279</v>
      </c>
      <c r="P438" s="0" t="n">
        <v>1970</v>
      </c>
      <c r="Q438" s="0" t="s">
        <v>39</v>
      </c>
      <c r="R438" s="0" t="s">
        <v>1280</v>
      </c>
      <c r="S438" s="0" t="s">
        <v>1281</v>
      </c>
      <c r="V438" s="0" t="n">
        <v>1</v>
      </c>
      <c r="W438" s="0" t="n">
        <v>1</v>
      </c>
      <c r="X438" s="0" t="str">
        <f aca="false">"31811010343666"</f>
        <v>31811010343666</v>
      </c>
      <c r="Y438" s="0" t="s">
        <v>39</v>
      </c>
      <c r="Z438" s="0" t="s">
        <v>42</v>
      </c>
      <c r="AA438" s="0" t="s">
        <v>43</v>
      </c>
      <c r="AE438" s="1" t="s">
        <v>52</v>
      </c>
    </row>
    <row r="439" customFormat="false" ht="12.8" hidden="false" customHeight="false" outlineLevel="0" collapsed="false">
      <c r="A439" s="0" t="n">
        <v>414644</v>
      </c>
      <c r="B439" s="0" t="n">
        <v>447276</v>
      </c>
      <c r="C439" s="0" t="n">
        <v>498622</v>
      </c>
      <c r="D439" s="0" t="s">
        <v>35</v>
      </c>
      <c r="E439" s="0" t="s">
        <v>35</v>
      </c>
      <c r="F439" s="0" t="s">
        <v>36</v>
      </c>
      <c r="G439" s="0" t="s">
        <v>412</v>
      </c>
      <c r="H439" s="0" t="s">
        <v>1282</v>
      </c>
      <c r="I439" s="0" t="s">
        <v>1283</v>
      </c>
      <c r="J439" s="0" t="s">
        <v>1282</v>
      </c>
      <c r="M439" s="0" t="s">
        <v>1284</v>
      </c>
      <c r="N439" s="0" t="n">
        <v>1854</v>
      </c>
      <c r="P439" s="0" t="n">
        <v>1854</v>
      </c>
      <c r="Q439" s="0" t="s">
        <v>39</v>
      </c>
      <c r="R439" s="0" t="s">
        <v>1285</v>
      </c>
      <c r="S439" s="0" t="s">
        <v>1286</v>
      </c>
      <c r="T439" s="0" t="s">
        <v>51</v>
      </c>
      <c r="V439" s="0" t="n">
        <v>1</v>
      </c>
      <c r="W439" s="0" t="n">
        <v>1</v>
      </c>
      <c r="X439" s="0" t="str">
        <f aca="false">"31811010343625"</f>
        <v>31811010343625</v>
      </c>
      <c r="Y439" s="0" t="s">
        <v>39</v>
      </c>
      <c r="Z439" s="0" t="s">
        <v>42</v>
      </c>
      <c r="AA439" s="0" t="s">
        <v>43</v>
      </c>
      <c r="AE439" s="1" t="s">
        <v>52</v>
      </c>
    </row>
    <row r="440" customFormat="false" ht="12.8" hidden="false" customHeight="false" outlineLevel="0" collapsed="false">
      <c r="A440" s="0" t="n">
        <v>414644</v>
      </c>
      <c r="B440" s="0" t="n">
        <v>447276</v>
      </c>
      <c r="C440" s="0" t="n">
        <v>498623</v>
      </c>
      <c r="D440" s="0" t="s">
        <v>35</v>
      </c>
      <c r="E440" s="0" t="s">
        <v>35</v>
      </c>
      <c r="F440" s="0" t="s">
        <v>36</v>
      </c>
      <c r="G440" s="0" t="s">
        <v>412</v>
      </c>
      <c r="H440" s="0" t="s">
        <v>1282</v>
      </c>
      <c r="I440" s="0" t="s">
        <v>1283</v>
      </c>
      <c r="J440" s="0" t="s">
        <v>1282</v>
      </c>
      <c r="M440" s="0" t="s">
        <v>1284</v>
      </c>
      <c r="N440" s="0" t="n">
        <v>1854</v>
      </c>
      <c r="P440" s="0" t="n">
        <v>1854</v>
      </c>
      <c r="Q440" s="0" t="s">
        <v>39</v>
      </c>
      <c r="R440" s="0" t="s">
        <v>1285</v>
      </c>
      <c r="S440" s="0" t="s">
        <v>1286</v>
      </c>
      <c r="T440" s="0" t="s">
        <v>53</v>
      </c>
      <c r="V440" s="0" t="n">
        <v>1</v>
      </c>
      <c r="W440" s="0" t="n">
        <v>1</v>
      </c>
      <c r="X440" s="0" t="str">
        <f aca="false">"31811003178517"</f>
        <v>31811003178517</v>
      </c>
      <c r="Y440" s="0" t="s">
        <v>39</v>
      </c>
      <c r="Z440" s="0" t="s">
        <v>42</v>
      </c>
      <c r="AA440" s="0" t="s">
        <v>43</v>
      </c>
      <c r="AE440" s="1" t="s">
        <v>52</v>
      </c>
    </row>
    <row r="441" customFormat="false" ht="12.8" hidden="false" customHeight="false" outlineLevel="0" collapsed="false">
      <c r="A441" s="0" t="n">
        <v>414644</v>
      </c>
      <c r="B441" s="0" t="n">
        <v>447276</v>
      </c>
      <c r="C441" s="0" t="n">
        <v>498624</v>
      </c>
      <c r="D441" s="0" t="s">
        <v>35</v>
      </c>
      <c r="E441" s="0" t="s">
        <v>35</v>
      </c>
      <c r="F441" s="0" t="s">
        <v>36</v>
      </c>
      <c r="G441" s="0" t="s">
        <v>412</v>
      </c>
      <c r="H441" s="0" t="s">
        <v>1282</v>
      </c>
      <c r="I441" s="0" t="s">
        <v>1283</v>
      </c>
      <c r="J441" s="0" t="s">
        <v>1282</v>
      </c>
      <c r="M441" s="0" t="s">
        <v>1284</v>
      </c>
      <c r="N441" s="0" t="n">
        <v>1854</v>
      </c>
      <c r="P441" s="0" t="n">
        <v>1854</v>
      </c>
      <c r="Q441" s="0" t="s">
        <v>39</v>
      </c>
      <c r="R441" s="0" t="s">
        <v>1285</v>
      </c>
      <c r="S441" s="0" t="s">
        <v>1286</v>
      </c>
      <c r="T441" s="0" t="s">
        <v>243</v>
      </c>
      <c r="V441" s="0" t="n">
        <v>1</v>
      </c>
      <c r="W441" s="0" t="n">
        <v>1</v>
      </c>
      <c r="X441" s="0" t="str">
        <f aca="false">"31811003178525"</f>
        <v>31811003178525</v>
      </c>
      <c r="Y441" s="0" t="s">
        <v>39</v>
      </c>
      <c r="Z441" s="0" t="s">
        <v>42</v>
      </c>
      <c r="AA441" s="0" t="s">
        <v>43</v>
      </c>
      <c r="AE441" s="1" t="s">
        <v>52</v>
      </c>
    </row>
    <row r="442" customFormat="false" ht="12.8" hidden="false" customHeight="false" outlineLevel="0" collapsed="false">
      <c r="A442" s="0" t="n">
        <v>414644</v>
      </c>
      <c r="B442" s="0" t="n">
        <v>447276</v>
      </c>
      <c r="C442" s="0" t="n">
        <v>498625</v>
      </c>
      <c r="D442" s="0" t="s">
        <v>35</v>
      </c>
      <c r="E442" s="0" t="s">
        <v>35</v>
      </c>
      <c r="F442" s="0" t="s">
        <v>36</v>
      </c>
      <c r="G442" s="0" t="s">
        <v>412</v>
      </c>
      <c r="H442" s="0" t="s">
        <v>1282</v>
      </c>
      <c r="I442" s="0" t="s">
        <v>1283</v>
      </c>
      <c r="J442" s="0" t="s">
        <v>1282</v>
      </c>
      <c r="M442" s="0" t="s">
        <v>1284</v>
      </c>
      <c r="N442" s="0" t="n">
        <v>1854</v>
      </c>
      <c r="P442" s="0" t="n">
        <v>1854</v>
      </c>
      <c r="Q442" s="0" t="s">
        <v>39</v>
      </c>
      <c r="R442" s="0" t="s">
        <v>1285</v>
      </c>
      <c r="S442" s="0" t="s">
        <v>1286</v>
      </c>
      <c r="T442" s="0" t="s">
        <v>54</v>
      </c>
      <c r="V442" s="0" t="n">
        <v>1</v>
      </c>
      <c r="W442" s="0" t="n">
        <v>1</v>
      </c>
      <c r="X442" s="0" t="str">
        <f aca="false">"31811003178533"</f>
        <v>31811003178533</v>
      </c>
      <c r="Y442" s="0" t="s">
        <v>39</v>
      </c>
      <c r="Z442" s="0" t="s">
        <v>42</v>
      </c>
      <c r="AA442" s="0" t="s">
        <v>43</v>
      </c>
      <c r="AE442" s="1" t="s">
        <v>52</v>
      </c>
    </row>
    <row r="443" customFormat="false" ht="12.8" hidden="false" customHeight="false" outlineLevel="0" collapsed="false">
      <c r="A443" s="0" t="n">
        <v>414644</v>
      </c>
      <c r="B443" s="0" t="n">
        <v>447276</v>
      </c>
      <c r="C443" s="0" t="n">
        <v>498626</v>
      </c>
      <c r="D443" s="0" t="s">
        <v>35</v>
      </c>
      <c r="E443" s="0" t="s">
        <v>35</v>
      </c>
      <c r="F443" s="0" t="s">
        <v>36</v>
      </c>
      <c r="G443" s="0" t="s">
        <v>412</v>
      </c>
      <c r="H443" s="0" t="s">
        <v>1282</v>
      </c>
      <c r="I443" s="0" t="s">
        <v>1283</v>
      </c>
      <c r="J443" s="0" t="s">
        <v>1282</v>
      </c>
      <c r="M443" s="0" t="s">
        <v>1284</v>
      </c>
      <c r="N443" s="0" t="n">
        <v>1854</v>
      </c>
      <c r="P443" s="0" t="n">
        <v>1854</v>
      </c>
      <c r="Q443" s="0" t="s">
        <v>39</v>
      </c>
      <c r="R443" s="0" t="s">
        <v>1285</v>
      </c>
      <c r="S443" s="0" t="s">
        <v>1286</v>
      </c>
      <c r="T443" s="0" t="s">
        <v>510</v>
      </c>
      <c r="V443" s="0" t="n">
        <v>1</v>
      </c>
      <c r="W443" s="0" t="n">
        <v>1</v>
      </c>
      <c r="X443" s="0" t="str">
        <f aca="false">"31811003178541"</f>
        <v>31811003178541</v>
      </c>
      <c r="Y443" s="0" t="s">
        <v>39</v>
      </c>
      <c r="Z443" s="0" t="s">
        <v>42</v>
      </c>
      <c r="AA443" s="0" t="s">
        <v>43</v>
      </c>
      <c r="AE443" s="1" t="s">
        <v>52</v>
      </c>
    </row>
    <row r="444" customFormat="false" ht="12.8" hidden="false" customHeight="false" outlineLevel="0" collapsed="false">
      <c r="A444" s="0" t="n">
        <v>549415</v>
      </c>
      <c r="B444" s="0" t="n">
        <v>587880</v>
      </c>
      <c r="C444" s="0" t="n">
        <v>664206</v>
      </c>
      <c r="D444" s="0" t="s">
        <v>35</v>
      </c>
      <c r="E444" s="0" t="s">
        <v>35</v>
      </c>
      <c r="F444" s="0" t="s">
        <v>36</v>
      </c>
      <c r="G444" s="0" t="s">
        <v>37</v>
      </c>
      <c r="H444" s="0" t="s">
        <v>1287</v>
      </c>
      <c r="I444" s="0" t="s">
        <v>1288</v>
      </c>
      <c r="J444" s="0" t="s">
        <v>1287</v>
      </c>
      <c r="M444" s="0" t="s">
        <v>1289</v>
      </c>
      <c r="N444" s="0" t="n">
        <v>1937</v>
      </c>
      <c r="O444" s="0" t="s">
        <v>1290</v>
      </c>
      <c r="P444" s="0" t="n">
        <v>1937</v>
      </c>
      <c r="Q444" s="0" t="s">
        <v>39</v>
      </c>
      <c r="R444" s="0" t="s">
        <v>1291</v>
      </c>
      <c r="S444" s="0" t="s">
        <v>1292</v>
      </c>
      <c r="V444" s="0" t="n">
        <v>1</v>
      </c>
      <c r="W444" s="0" t="n">
        <v>1</v>
      </c>
      <c r="X444" s="0" t="str">
        <f aca="false">"31811012062900"</f>
        <v>31811012062900</v>
      </c>
      <c r="Y444" s="0" t="s">
        <v>39</v>
      </c>
      <c r="Z444" s="0" t="s">
        <v>42</v>
      </c>
      <c r="AA444" s="0" t="s">
        <v>43</v>
      </c>
      <c r="AE444" s="1" t="s">
        <v>52</v>
      </c>
    </row>
    <row r="445" customFormat="false" ht="12.8" hidden="false" customHeight="false" outlineLevel="0" collapsed="false">
      <c r="A445" s="0" t="n">
        <v>122737</v>
      </c>
      <c r="B445" s="0" t="n">
        <v>132051</v>
      </c>
      <c r="C445" s="0" t="n">
        <v>147000</v>
      </c>
      <c r="D445" s="0" t="s">
        <v>35</v>
      </c>
      <c r="E445" s="0" t="s">
        <v>35</v>
      </c>
      <c r="F445" s="0" t="s">
        <v>480</v>
      </c>
      <c r="G445" s="0" t="s">
        <v>37</v>
      </c>
      <c r="H445" s="0" t="s">
        <v>1293</v>
      </c>
      <c r="I445" s="0" t="s">
        <v>1294</v>
      </c>
      <c r="J445" s="0" t="s">
        <v>1295</v>
      </c>
      <c r="M445" s="0" t="s">
        <v>1296</v>
      </c>
      <c r="N445" s="0" t="n">
        <v>-1987</v>
      </c>
      <c r="O445" s="0" t="s">
        <v>1297</v>
      </c>
      <c r="P445" s="0" t="s">
        <v>1298</v>
      </c>
      <c r="Q445" s="0" t="s">
        <v>39</v>
      </c>
      <c r="R445" s="0" t="s">
        <v>1299</v>
      </c>
      <c r="S445" s="0" t="s">
        <v>1300</v>
      </c>
      <c r="T445" s="0" t="s">
        <v>1301</v>
      </c>
      <c r="V445" s="0" t="n">
        <v>1</v>
      </c>
      <c r="W445" s="0" t="n">
        <v>1</v>
      </c>
      <c r="X445" s="0" t="str">
        <f aca="false">"31811010902214"</f>
        <v>31811010902214</v>
      </c>
      <c r="Y445" s="0" t="s">
        <v>39</v>
      </c>
      <c r="Z445" s="0" t="s">
        <v>42</v>
      </c>
      <c r="AA445" s="0" t="s">
        <v>43</v>
      </c>
      <c r="AE445" s="1" t="s">
        <v>52</v>
      </c>
    </row>
    <row r="446" customFormat="false" ht="12.8" hidden="false" customHeight="false" outlineLevel="0" collapsed="false">
      <c r="A446" s="0" t="n">
        <v>122737</v>
      </c>
      <c r="B446" s="0" t="n">
        <v>132051</v>
      </c>
      <c r="C446" s="0" t="n">
        <v>147001</v>
      </c>
      <c r="D446" s="0" t="s">
        <v>35</v>
      </c>
      <c r="E446" s="0" t="s">
        <v>35</v>
      </c>
      <c r="F446" s="0" t="s">
        <v>480</v>
      </c>
      <c r="G446" s="0" t="s">
        <v>37</v>
      </c>
      <c r="H446" s="0" t="s">
        <v>1293</v>
      </c>
      <c r="I446" s="0" t="s">
        <v>1294</v>
      </c>
      <c r="J446" s="0" t="s">
        <v>1295</v>
      </c>
      <c r="M446" s="0" t="s">
        <v>1296</v>
      </c>
      <c r="N446" s="0" t="n">
        <v>-1987</v>
      </c>
      <c r="O446" s="0" t="s">
        <v>1297</v>
      </c>
      <c r="P446" s="0" t="s">
        <v>1298</v>
      </c>
      <c r="Q446" s="0" t="s">
        <v>39</v>
      </c>
      <c r="R446" s="0" t="s">
        <v>1299</v>
      </c>
      <c r="S446" s="0" t="s">
        <v>1300</v>
      </c>
      <c r="T446" s="0" t="s">
        <v>1302</v>
      </c>
      <c r="V446" s="0" t="n">
        <v>1</v>
      </c>
      <c r="W446" s="0" t="n">
        <v>1</v>
      </c>
      <c r="X446" s="0" t="str">
        <f aca="false">"31811010902255"</f>
        <v>31811010902255</v>
      </c>
      <c r="Y446" s="0" t="s">
        <v>39</v>
      </c>
      <c r="Z446" s="0" t="s">
        <v>42</v>
      </c>
      <c r="AA446" s="0" t="s">
        <v>43</v>
      </c>
      <c r="AE446" s="1" t="s">
        <v>52</v>
      </c>
    </row>
    <row r="447" customFormat="false" ht="12.8" hidden="false" customHeight="false" outlineLevel="0" collapsed="false">
      <c r="A447" s="0" t="n">
        <v>122737</v>
      </c>
      <c r="B447" s="0" t="n">
        <v>132051</v>
      </c>
      <c r="C447" s="0" t="n">
        <v>147002</v>
      </c>
      <c r="D447" s="0" t="s">
        <v>35</v>
      </c>
      <c r="E447" s="0" t="s">
        <v>35</v>
      </c>
      <c r="F447" s="0" t="s">
        <v>480</v>
      </c>
      <c r="G447" s="0" t="s">
        <v>37</v>
      </c>
      <c r="H447" s="0" t="s">
        <v>1293</v>
      </c>
      <c r="I447" s="0" t="s">
        <v>1294</v>
      </c>
      <c r="J447" s="0" t="s">
        <v>1295</v>
      </c>
      <c r="M447" s="0" t="s">
        <v>1296</v>
      </c>
      <c r="N447" s="0" t="n">
        <v>-1987</v>
      </c>
      <c r="O447" s="0" t="s">
        <v>1297</v>
      </c>
      <c r="P447" s="0" t="s">
        <v>1298</v>
      </c>
      <c r="Q447" s="0" t="s">
        <v>39</v>
      </c>
      <c r="R447" s="0" t="s">
        <v>1299</v>
      </c>
      <c r="S447" s="0" t="s">
        <v>1300</v>
      </c>
      <c r="T447" s="0" t="s">
        <v>1303</v>
      </c>
      <c r="V447" s="0" t="n">
        <v>1</v>
      </c>
      <c r="W447" s="0" t="n">
        <v>1</v>
      </c>
      <c r="X447" s="0" t="str">
        <f aca="false">"31811010902297"</f>
        <v>31811010902297</v>
      </c>
      <c r="Y447" s="0" t="s">
        <v>39</v>
      </c>
      <c r="Z447" s="0" t="s">
        <v>42</v>
      </c>
      <c r="AA447" s="0" t="s">
        <v>43</v>
      </c>
      <c r="AE447" s="1" t="s">
        <v>52</v>
      </c>
    </row>
    <row r="448" customFormat="false" ht="12.8" hidden="false" customHeight="false" outlineLevel="0" collapsed="false">
      <c r="A448" s="0" t="n">
        <v>386625</v>
      </c>
      <c r="B448" s="0" t="n">
        <v>418157</v>
      </c>
      <c r="C448" s="0" t="n">
        <v>466628</v>
      </c>
      <c r="D448" s="0" t="s">
        <v>35</v>
      </c>
      <c r="E448" s="0" t="s">
        <v>35</v>
      </c>
      <c r="F448" s="0" t="s">
        <v>480</v>
      </c>
      <c r="G448" s="0" t="s">
        <v>37</v>
      </c>
      <c r="H448" s="0" t="s">
        <v>1304</v>
      </c>
      <c r="I448" s="0" t="s">
        <v>1294</v>
      </c>
      <c r="J448" s="0" t="s">
        <v>1305</v>
      </c>
      <c r="M448" s="0" t="s">
        <v>1306</v>
      </c>
      <c r="O448" s="0" t="s">
        <v>1297</v>
      </c>
      <c r="P448" s="0" t="n">
        <v>1988</v>
      </c>
      <c r="Q448" s="0" t="s">
        <v>39</v>
      </c>
      <c r="R448" s="0" t="s">
        <v>1307</v>
      </c>
      <c r="S448" s="0" t="s">
        <v>1308</v>
      </c>
      <c r="T448" s="0" t="s">
        <v>1309</v>
      </c>
      <c r="V448" s="0" t="n">
        <v>1</v>
      </c>
      <c r="W448" s="0" t="n">
        <v>1</v>
      </c>
      <c r="X448" s="0" t="str">
        <f aca="false">"31811010902222"</f>
        <v>31811010902222</v>
      </c>
      <c r="Y448" s="0" t="s">
        <v>39</v>
      </c>
      <c r="Z448" s="0" t="s">
        <v>42</v>
      </c>
      <c r="AA448" s="0" t="s">
        <v>43</v>
      </c>
      <c r="AE448" s="1" t="s">
        <v>52</v>
      </c>
    </row>
    <row r="449" customFormat="false" ht="12.8" hidden="false" customHeight="false" outlineLevel="0" collapsed="false">
      <c r="A449" s="0" t="n">
        <v>386625</v>
      </c>
      <c r="B449" s="0" t="n">
        <v>418157</v>
      </c>
      <c r="C449" s="0" t="n">
        <v>466629</v>
      </c>
      <c r="D449" s="0" t="s">
        <v>35</v>
      </c>
      <c r="E449" s="0" t="s">
        <v>35</v>
      </c>
      <c r="F449" s="0" t="s">
        <v>480</v>
      </c>
      <c r="G449" s="0" t="s">
        <v>37</v>
      </c>
      <c r="H449" s="0" t="s">
        <v>1304</v>
      </c>
      <c r="I449" s="0" t="s">
        <v>1294</v>
      </c>
      <c r="J449" s="0" t="s">
        <v>1305</v>
      </c>
      <c r="M449" s="0" t="s">
        <v>1306</v>
      </c>
      <c r="O449" s="0" t="s">
        <v>1297</v>
      </c>
      <c r="P449" s="0" t="n">
        <v>1988</v>
      </c>
      <c r="Q449" s="0" t="s">
        <v>39</v>
      </c>
      <c r="R449" s="0" t="s">
        <v>1307</v>
      </c>
      <c r="S449" s="0" t="s">
        <v>1308</v>
      </c>
      <c r="T449" s="0" t="s">
        <v>1310</v>
      </c>
      <c r="V449" s="0" t="n">
        <v>1</v>
      </c>
      <c r="W449" s="0" t="n">
        <v>1</v>
      </c>
      <c r="X449" s="0" t="str">
        <f aca="false">"31811010902503"</f>
        <v>31811010902503</v>
      </c>
      <c r="Y449" s="0" t="s">
        <v>39</v>
      </c>
      <c r="Z449" s="0" t="s">
        <v>42</v>
      </c>
      <c r="AA449" s="0" t="s">
        <v>43</v>
      </c>
      <c r="AE449" s="1" t="s">
        <v>52</v>
      </c>
    </row>
    <row r="450" customFormat="false" ht="12.8" hidden="false" customHeight="false" outlineLevel="0" collapsed="false">
      <c r="A450" s="0" t="n">
        <v>414645</v>
      </c>
      <c r="B450" s="0" t="n">
        <v>447277</v>
      </c>
      <c r="C450" s="0" t="n">
        <v>498627</v>
      </c>
      <c r="D450" s="0" t="s">
        <v>35</v>
      </c>
      <c r="E450" s="0" t="s">
        <v>35</v>
      </c>
      <c r="F450" s="0" t="s">
        <v>36</v>
      </c>
      <c r="G450" s="0" t="s">
        <v>412</v>
      </c>
      <c r="H450" s="0" t="s">
        <v>1311</v>
      </c>
      <c r="I450" s="0" t="s">
        <v>1312</v>
      </c>
      <c r="J450" s="0" t="s">
        <v>1311</v>
      </c>
      <c r="K450" s="0" t="s">
        <v>1313</v>
      </c>
      <c r="M450" s="0" t="s">
        <v>1314</v>
      </c>
      <c r="N450" s="0" t="n">
        <v>1930</v>
      </c>
      <c r="P450" s="0" t="n">
        <v>1930</v>
      </c>
      <c r="Q450" s="0" t="s">
        <v>39</v>
      </c>
      <c r="R450" s="0" t="s">
        <v>1315</v>
      </c>
      <c r="S450" s="0" t="s">
        <v>1316</v>
      </c>
      <c r="V450" s="0" t="n">
        <v>1</v>
      </c>
      <c r="W450" s="0" t="n">
        <v>1</v>
      </c>
      <c r="X450" s="0" t="str">
        <f aca="false">"31811010343559"</f>
        <v>31811010343559</v>
      </c>
      <c r="Y450" s="0" t="s">
        <v>39</v>
      </c>
      <c r="Z450" s="0" t="s">
        <v>42</v>
      </c>
      <c r="AA450" s="0" t="s">
        <v>43</v>
      </c>
      <c r="AE450" s="1" t="s">
        <v>52</v>
      </c>
    </row>
    <row r="451" customFormat="false" ht="12.8" hidden="false" customHeight="false" outlineLevel="0" collapsed="false">
      <c r="A451" s="0" t="n">
        <v>389207</v>
      </c>
      <c r="B451" s="0" t="n">
        <v>420841</v>
      </c>
      <c r="C451" s="0" t="n">
        <v>469696</v>
      </c>
      <c r="D451" s="0" t="s">
        <v>35</v>
      </c>
      <c r="E451" s="0" t="s">
        <v>35</v>
      </c>
      <c r="F451" s="0" t="s">
        <v>36</v>
      </c>
      <c r="G451" s="0" t="s">
        <v>500</v>
      </c>
      <c r="H451" s="0" t="s">
        <v>1317</v>
      </c>
      <c r="I451" s="0" t="s">
        <v>1318</v>
      </c>
      <c r="J451" s="0" t="s">
        <v>1319</v>
      </c>
      <c r="K451" s="0" t="s">
        <v>1320</v>
      </c>
      <c r="M451" s="0" t="s">
        <v>1321</v>
      </c>
      <c r="N451" s="0" t="s">
        <v>1322</v>
      </c>
      <c r="O451" s="0" t="s">
        <v>1323</v>
      </c>
      <c r="P451" s="0" t="n">
        <v>1928</v>
      </c>
      <c r="Q451" s="0" t="s">
        <v>39</v>
      </c>
      <c r="R451" s="0" t="s">
        <v>1324</v>
      </c>
      <c r="S451" s="0" t="s">
        <v>1325</v>
      </c>
      <c r="V451" s="0" t="n">
        <v>1</v>
      </c>
      <c r="W451" s="0" t="n">
        <v>1</v>
      </c>
      <c r="X451" s="0" t="str">
        <f aca="false">"31811010343567"</f>
        <v>31811010343567</v>
      </c>
      <c r="Y451" s="0" t="s">
        <v>39</v>
      </c>
      <c r="Z451" s="0" t="s">
        <v>42</v>
      </c>
      <c r="AA451" s="0" t="s">
        <v>43</v>
      </c>
      <c r="AE451" s="1" t="s">
        <v>52</v>
      </c>
    </row>
    <row r="452" customFormat="false" ht="12.8" hidden="false" customHeight="false" outlineLevel="0" collapsed="false">
      <c r="A452" s="0" t="n">
        <v>314522</v>
      </c>
      <c r="B452" s="0" t="n">
        <v>342586</v>
      </c>
      <c r="C452" s="0" t="n">
        <v>382632</v>
      </c>
      <c r="D452" s="0" t="s">
        <v>35</v>
      </c>
      <c r="E452" s="0" t="s">
        <v>35</v>
      </c>
      <c r="F452" s="0" t="s">
        <v>480</v>
      </c>
      <c r="G452" s="0" t="s">
        <v>500</v>
      </c>
      <c r="H452" s="0" t="s">
        <v>1326</v>
      </c>
      <c r="I452" s="0" t="s">
        <v>1327</v>
      </c>
      <c r="J452" s="0" t="s">
        <v>1328</v>
      </c>
      <c r="M452" s="0" t="s">
        <v>1329</v>
      </c>
      <c r="N452" s="1" t="s">
        <v>1330</v>
      </c>
      <c r="O452" s="0" t="s">
        <v>1331</v>
      </c>
      <c r="P452" s="0" t="n">
        <v>1955</v>
      </c>
      <c r="Q452" s="0" t="s">
        <v>39</v>
      </c>
      <c r="R452" s="0" t="s">
        <v>1332</v>
      </c>
      <c r="S452" s="0" t="s">
        <v>1333</v>
      </c>
      <c r="T452" s="0" t="n">
        <v>1958</v>
      </c>
      <c r="V452" s="0" t="n">
        <v>1</v>
      </c>
      <c r="W452" s="0" t="n">
        <v>1</v>
      </c>
      <c r="X452" s="0" t="str">
        <f aca="false">"31811012013549"</f>
        <v>31811012013549</v>
      </c>
      <c r="Y452" s="0" t="s">
        <v>39</v>
      </c>
      <c r="Z452" s="0" t="s">
        <v>42</v>
      </c>
      <c r="AA452" s="0" t="s">
        <v>622</v>
      </c>
      <c r="AE452" s="1" t="s">
        <v>52</v>
      </c>
    </row>
    <row r="453" customFormat="false" ht="12.8" hidden="false" customHeight="false" outlineLevel="0" collapsed="false">
      <c r="A453" s="0" t="n">
        <v>494974</v>
      </c>
      <c r="B453" s="0" t="n">
        <v>476078</v>
      </c>
      <c r="C453" s="0" t="n">
        <v>533525</v>
      </c>
      <c r="D453" s="0" t="s">
        <v>35</v>
      </c>
      <c r="E453" s="0" t="s">
        <v>35</v>
      </c>
      <c r="F453" s="0" t="s">
        <v>36</v>
      </c>
      <c r="G453" s="0" t="s">
        <v>37</v>
      </c>
      <c r="H453" s="0" t="s">
        <v>1334</v>
      </c>
      <c r="I453" s="0" t="s">
        <v>1335</v>
      </c>
      <c r="J453" s="0" t="s">
        <v>1336</v>
      </c>
      <c r="M453" s="0" t="s">
        <v>1337</v>
      </c>
      <c r="N453" s="0" t="n">
        <v>1961</v>
      </c>
      <c r="O453" s="0" t="s">
        <v>1338</v>
      </c>
      <c r="P453" s="0" t="n">
        <v>1961</v>
      </c>
      <c r="Q453" s="0" t="s">
        <v>39</v>
      </c>
      <c r="R453" s="0" t="s">
        <v>1339</v>
      </c>
      <c r="S453" s="0" t="s">
        <v>1340</v>
      </c>
      <c r="V453" s="0" t="n">
        <v>1</v>
      </c>
      <c r="W453" s="0" t="n">
        <v>1</v>
      </c>
      <c r="X453" s="0" t="str">
        <f aca="false">"31811010343880"</f>
        <v>31811010343880</v>
      </c>
      <c r="Y453" s="0" t="s">
        <v>39</v>
      </c>
      <c r="Z453" s="0" t="s">
        <v>42</v>
      </c>
      <c r="AA453" s="0" t="s">
        <v>43</v>
      </c>
      <c r="AE453" s="1" t="s">
        <v>52</v>
      </c>
    </row>
    <row r="454" customFormat="false" ht="12.8" hidden="false" customHeight="false" outlineLevel="0" collapsed="false">
      <c r="A454" s="0" t="n">
        <v>426161</v>
      </c>
      <c r="B454" s="0" t="n">
        <v>454861</v>
      </c>
      <c r="C454" s="0" t="n">
        <v>507879</v>
      </c>
      <c r="D454" s="0" t="s">
        <v>35</v>
      </c>
      <c r="E454" s="0" t="s">
        <v>35</v>
      </c>
      <c r="F454" s="0" t="s">
        <v>36</v>
      </c>
      <c r="G454" s="0" t="s">
        <v>37</v>
      </c>
      <c r="H454" s="0" t="s">
        <v>1341</v>
      </c>
      <c r="I454" s="0" t="s">
        <v>1342</v>
      </c>
      <c r="J454" s="0" t="s">
        <v>1343</v>
      </c>
      <c r="M454" s="0" t="s">
        <v>1344</v>
      </c>
      <c r="N454" s="0" t="s">
        <v>1345</v>
      </c>
      <c r="O454" s="0" t="s">
        <v>1346</v>
      </c>
      <c r="P454" s="0" t="n">
        <v>1931</v>
      </c>
      <c r="Q454" s="0" t="s">
        <v>39</v>
      </c>
      <c r="R454" s="0" t="s">
        <v>1347</v>
      </c>
      <c r="S454" s="0" t="s">
        <v>1348</v>
      </c>
      <c r="V454" s="0" t="n">
        <v>1</v>
      </c>
      <c r="W454" s="0" t="n">
        <v>1</v>
      </c>
      <c r="X454" s="0" t="str">
        <f aca="false">"31811010343674"</f>
        <v>31811010343674</v>
      </c>
      <c r="Y454" s="0" t="s">
        <v>39</v>
      </c>
      <c r="Z454" s="0" t="s">
        <v>42</v>
      </c>
      <c r="AA454" s="0" t="s">
        <v>43</v>
      </c>
      <c r="AE454" s="1" t="s">
        <v>52</v>
      </c>
      <c r="AF454" s="1" t="s">
        <v>1349</v>
      </c>
    </row>
    <row r="455" customFormat="false" ht="12.8" hidden="false" customHeight="false" outlineLevel="0" collapsed="false">
      <c r="A455" s="0" t="n">
        <v>10544</v>
      </c>
      <c r="B455" s="0" t="n">
        <v>12192</v>
      </c>
      <c r="C455" s="0" t="n">
        <v>14183</v>
      </c>
      <c r="D455" s="0" t="s">
        <v>35</v>
      </c>
      <c r="E455" s="0" t="s">
        <v>35</v>
      </c>
      <c r="F455" s="0" t="s">
        <v>36</v>
      </c>
      <c r="G455" s="0" t="s">
        <v>37</v>
      </c>
      <c r="H455" s="0" t="s">
        <v>1350</v>
      </c>
      <c r="I455" s="0" t="s">
        <v>1351</v>
      </c>
      <c r="J455" s="0" t="s">
        <v>1352</v>
      </c>
      <c r="M455" s="0" t="s">
        <v>1353</v>
      </c>
      <c r="N455" s="0" t="n">
        <v>1911</v>
      </c>
      <c r="O455" s="0" t="s">
        <v>1354</v>
      </c>
      <c r="P455" s="0" t="n">
        <v>1911</v>
      </c>
      <c r="Q455" s="0" t="s">
        <v>39</v>
      </c>
      <c r="R455" s="0" t="s">
        <v>1355</v>
      </c>
      <c r="S455" s="0" t="s">
        <v>1356</v>
      </c>
      <c r="V455" s="0" t="n">
        <v>1</v>
      </c>
      <c r="W455" s="0" t="n">
        <v>1</v>
      </c>
      <c r="X455" s="0" t="str">
        <f aca="false">"31811010343682"</f>
        <v>31811010343682</v>
      </c>
      <c r="Y455" s="0" t="s">
        <v>39</v>
      </c>
      <c r="Z455" s="0" t="s">
        <v>42</v>
      </c>
      <c r="AA455" s="0" t="s">
        <v>43</v>
      </c>
      <c r="AE455" s="1" t="s">
        <v>52</v>
      </c>
      <c r="AH455" s="1" t="s">
        <v>1357</v>
      </c>
    </row>
    <row r="456" customFormat="false" ht="12.8" hidden="false" customHeight="false" outlineLevel="0" collapsed="false">
      <c r="A456" s="0" t="n">
        <v>142291</v>
      </c>
      <c r="B456" s="0" t="n">
        <v>153802</v>
      </c>
      <c r="C456" s="0" t="n">
        <v>171930</v>
      </c>
      <c r="D456" s="0" t="s">
        <v>35</v>
      </c>
      <c r="E456" s="0" t="s">
        <v>35</v>
      </c>
      <c r="F456" s="0" t="s">
        <v>36</v>
      </c>
      <c r="G456" s="0" t="s">
        <v>37</v>
      </c>
      <c r="H456" s="0" t="s">
        <v>1358</v>
      </c>
      <c r="I456" s="0" t="s">
        <v>1359</v>
      </c>
      <c r="J456" s="0" t="s">
        <v>1360</v>
      </c>
      <c r="M456" s="0" t="s">
        <v>1361</v>
      </c>
      <c r="N456" s="0" t="n">
        <v>1927</v>
      </c>
      <c r="O456" s="0" t="s">
        <v>1297</v>
      </c>
      <c r="P456" s="0" t="n">
        <v>1927</v>
      </c>
      <c r="Q456" s="0" t="s">
        <v>39</v>
      </c>
      <c r="R456" s="0" t="s">
        <v>1362</v>
      </c>
      <c r="S456" s="0" t="s">
        <v>1363</v>
      </c>
      <c r="V456" s="0" t="n">
        <v>1</v>
      </c>
      <c r="W456" s="0" t="n">
        <v>1</v>
      </c>
      <c r="X456" s="0" t="str">
        <f aca="false">"31811010343641"</f>
        <v>31811010343641</v>
      </c>
      <c r="Y456" s="0" t="s">
        <v>39</v>
      </c>
      <c r="Z456" s="0" t="s">
        <v>42</v>
      </c>
      <c r="AA456" s="0" t="s">
        <v>43</v>
      </c>
      <c r="AE456" s="1" t="s">
        <v>52</v>
      </c>
    </row>
    <row r="457" customFormat="false" ht="12.8" hidden="false" customHeight="false" outlineLevel="0" collapsed="false">
      <c r="A457" s="0" t="n">
        <v>155611</v>
      </c>
      <c r="B457" s="0" t="n">
        <v>169043</v>
      </c>
      <c r="C457" s="0" t="n">
        <v>189511</v>
      </c>
      <c r="D457" s="0" t="s">
        <v>35</v>
      </c>
      <c r="E457" s="0" t="s">
        <v>35</v>
      </c>
      <c r="F457" s="0" t="s">
        <v>36</v>
      </c>
      <c r="G457" s="0" t="s">
        <v>37</v>
      </c>
      <c r="H457" s="0" t="s">
        <v>1364</v>
      </c>
      <c r="I457" s="0" t="s">
        <v>1365</v>
      </c>
      <c r="J457" s="0" t="s">
        <v>1364</v>
      </c>
      <c r="M457" s="0" t="s">
        <v>1366</v>
      </c>
      <c r="N457" s="0" t="n">
        <v>1963</v>
      </c>
      <c r="P457" s="0" t="n">
        <v>1963</v>
      </c>
      <c r="Q457" s="0" t="s">
        <v>39</v>
      </c>
      <c r="R457" s="0" t="s">
        <v>1367</v>
      </c>
      <c r="S457" s="0" t="s">
        <v>1368</v>
      </c>
      <c r="V457" s="0" t="n">
        <v>1</v>
      </c>
      <c r="W457" s="0" t="n">
        <v>1</v>
      </c>
      <c r="X457" s="0" t="str">
        <f aca="false">"31811010343583"</f>
        <v>31811010343583</v>
      </c>
      <c r="Y457" s="0" t="s">
        <v>39</v>
      </c>
      <c r="Z457" s="0" t="s">
        <v>42</v>
      </c>
      <c r="AA457" s="0" t="s">
        <v>43</v>
      </c>
      <c r="AE457" s="1" t="s">
        <v>52</v>
      </c>
    </row>
    <row r="458" customFormat="false" ht="12.8" hidden="false" customHeight="false" outlineLevel="0" collapsed="false">
      <c r="A458" s="0" t="n">
        <v>171083</v>
      </c>
      <c r="B458" s="0" t="n">
        <v>186811</v>
      </c>
      <c r="C458" s="0" t="n">
        <v>209786</v>
      </c>
      <c r="D458" s="0" t="s">
        <v>35</v>
      </c>
      <c r="E458" s="0" t="s">
        <v>35</v>
      </c>
      <c r="F458" s="0" t="s">
        <v>36</v>
      </c>
      <c r="G458" s="0" t="s">
        <v>37</v>
      </c>
      <c r="H458" s="0" t="s">
        <v>1369</v>
      </c>
      <c r="I458" s="0" t="s">
        <v>1294</v>
      </c>
      <c r="J458" s="0" t="s">
        <v>1370</v>
      </c>
      <c r="M458" s="0" t="s">
        <v>1371</v>
      </c>
      <c r="N458" s="0" t="n">
        <v>1974</v>
      </c>
      <c r="O458" s="0" t="s">
        <v>1372</v>
      </c>
      <c r="P458" s="0" t="n">
        <v>1974</v>
      </c>
      <c r="Q458" s="0" t="s">
        <v>39</v>
      </c>
      <c r="R458" s="0" t="s">
        <v>1373</v>
      </c>
      <c r="S458" s="0" t="s">
        <v>1374</v>
      </c>
      <c r="V458" s="0" t="n">
        <v>1</v>
      </c>
      <c r="W458" s="0" t="n">
        <v>1</v>
      </c>
      <c r="X458" s="0" t="str">
        <f aca="false">"31811010343591"</f>
        <v>31811010343591</v>
      </c>
      <c r="Y458" s="0" t="s">
        <v>39</v>
      </c>
      <c r="Z458" s="0" t="s">
        <v>42</v>
      </c>
      <c r="AA458" s="0" t="s">
        <v>43</v>
      </c>
      <c r="AE458" s="1" t="s">
        <v>52</v>
      </c>
    </row>
    <row r="459" customFormat="false" ht="12.8" hidden="false" customHeight="false" outlineLevel="0" collapsed="false">
      <c r="A459" s="0" t="n">
        <v>143011</v>
      </c>
      <c r="B459" s="0" t="n">
        <v>154653</v>
      </c>
      <c r="C459" s="0" t="n">
        <v>172889</v>
      </c>
      <c r="D459" s="0" t="s">
        <v>35</v>
      </c>
      <c r="E459" s="0" t="s">
        <v>35</v>
      </c>
      <c r="F459" s="0" t="s">
        <v>36</v>
      </c>
      <c r="G459" s="0" t="s">
        <v>37</v>
      </c>
      <c r="H459" s="0" t="s">
        <v>1375</v>
      </c>
      <c r="I459" s="0" t="s">
        <v>1376</v>
      </c>
      <c r="J459" s="0" t="s">
        <v>1377</v>
      </c>
      <c r="L459" s="0" t="n">
        <v>897920759</v>
      </c>
      <c r="M459" s="0" t="s">
        <v>1378</v>
      </c>
      <c r="N459" s="0" t="n">
        <v>1978</v>
      </c>
      <c r="O459" s="0" t="s">
        <v>1297</v>
      </c>
      <c r="P459" s="0" t="n">
        <v>1978</v>
      </c>
      <c r="Q459" s="0" t="s">
        <v>39</v>
      </c>
      <c r="R459" s="0" t="s">
        <v>1379</v>
      </c>
      <c r="S459" s="0" t="s">
        <v>1380</v>
      </c>
      <c r="V459" s="0" t="n">
        <v>1</v>
      </c>
      <c r="W459" s="0" t="n">
        <v>1</v>
      </c>
      <c r="X459" s="0" t="str">
        <f aca="false">"31811010343609"</f>
        <v>31811010343609</v>
      </c>
      <c r="Y459" s="0" t="s">
        <v>39</v>
      </c>
      <c r="Z459" s="0" t="s">
        <v>42</v>
      </c>
      <c r="AA459" s="0" t="s">
        <v>43</v>
      </c>
      <c r="AE459" s="1" t="s">
        <v>52</v>
      </c>
    </row>
    <row r="460" customFormat="false" ht="12.8" hidden="false" customHeight="false" outlineLevel="0" collapsed="false">
      <c r="A460" s="0" t="n">
        <v>180535</v>
      </c>
      <c r="B460" s="0" t="n">
        <v>197422</v>
      </c>
      <c r="C460" s="0" t="n">
        <v>221819</v>
      </c>
      <c r="D460" s="0" t="s">
        <v>35</v>
      </c>
      <c r="E460" s="0" t="s">
        <v>35</v>
      </c>
      <c r="F460" s="0" t="s">
        <v>36</v>
      </c>
      <c r="G460" s="0" t="s">
        <v>37</v>
      </c>
      <c r="H460" s="0" t="s">
        <v>1381</v>
      </c>
      <c r="I460" s="0" t="s">
        <v>1294</v>
      </c>
      <c r="J460" s="0" t="s">
        <v>1382</v>
      </c>
      <c r="L460" s="0" t="s">
        <v>1383</v>
      </c>
      <c r="M460" s="0" t="s">
        <v>1384</v>
      </c>
      <c r="N460" s="0" t="n">
        <v>1983</v>
      </c>
      <c r="O460" s="0" t="s">
        <v>1297</v>
      </c>
      <c r="P460" s="0" t="n">
        <v>1983</v>
      </c>
      <c r="Q460" s="0" t="s">
        <v>39</v>
      </c>
      <c r="R460" s="0" t="s">
        <v>1385</v>
      </c>
      <c r="S460" s="0" t="s">
        <v>1386</v>
      </c>
      <c r="V460" s="0" t="n">
        <v>1</v>
      </c>
      <c r="W460" s="0" t="n">
        <v>1</v>
      </c>
      <c r="X460" s="0" t="str">
        <f aca="false">"31811010343534"</f>
        <v>31811010343534</v>
      </c>
      <c r="Y460" s="0" t="s">
        <v>39</v>
      </c>
      <c r="Z460" s="0" t="s">
        <v>42</v>
      </c>
      <c r="AA460" s="0" t="s">
        <v>43</v>
      </c>
      <c r="AE460" s="1" t="s">
        <v>52</v>
      </c>
    </row>
    <row r="461" customFormat="false" ht="12.8" hidden="false" customHeight="false" outlineLevel="0" collapsed="false">
      <c r="A461" s="0" t="n">
        <v>367813</v>
      </c>
      <c r="B461" s="0" t="n">
        <v>397628</v>
      </c>
      <c r="C461" s="0" t="n">
        <v>442124</v>
      </c>
      <c r="D461" s="0" t="s">
        <v>35</v>
      </c>
      <c r="E461" s="0" t="s">
        <v>35</v>
      </c>
      <c r="F461" s="0" t="s">
        <v>36</v>
      </c>
      <c r="G461" s="0" t="s">
        <v>37</v>
      </c>
      <c r="H461" s="0" t="s">
        <v>1387</v>
      </c>
      <c r="I461" s="0" t="s">
        <v>1388</v>
      </c>
      <c r="J461" s="0" t="s">
        <v>1389</v>
      </c>
      <c r="L461" s="1" t="s">
        <v>1390</v>
      </c>
      <c r="M461" s="0" t="s">
        <v>1391</v>
      </c>
      <c r="N461" s="0" t="n">
        <v>1988</v>
      </c>
      <c r="O461" s="0" t="s">
        <v>1372</v>
      </c>
      <c r="P461" s="0" t="n">
        <v>1988</v>
      </c>
      <c r="Q461" s="0" t="s">
        <v>39</v>
      </c>
      <c r="R461" s="0" t="s">
        <v>1392</v>
      </c>
      <c r="S461" s="0" t="s">
        <v>1393</v>
      </c>
      <c r="V461" s="0" t="n">
        <v>1</v>
      </c>
      <c r="W461" s="0" t="n">
        <v>1</v>
      </c>
      <c r="X461" s="0" t="str">
        <f aca="false">"31811010343542"</f>
        <v>31811010343542</v>
      </c>
      <c r="Y461" s="0" t="s">
        <v>39</v>
      </c>
      <c r="Z461" s="0" t="s">
        <v>42</v>
      </c>
      <c r="AA461" s="0" t="s">
        <v>43</v>
      </c>
      <c r="AE461" s="1" t="s">
        <v>52</v>
      </c>
    </row>
    <row r="462" customFormat="false" ht="12.8" hidden="false" customHeight="false" outlineLevel="0" collapsed="false">
      <c r="A462" s="0" t="n">
        <v>350421</v>
      </c>
      <c r="B462" s="0" t="n">
        <v>379650</v>
      </c>
      <c r="C462" s="0" t="n">
        <v>422504</v>
      </c>
      <c r="D462" s="0" t="s">
        <v>35</v>
      </c>
      <c r="E462" s="0" t="s">
        <v>35</v>
      </c>
      <c r="F462" s="0" t="s">
        <v>36</v>
      </c>
      <c r="G462" s="0" t="s">
        <v>37</v>
      </c>
      <c r="H462" s="0" t="s">
        <v>1394</v>
      </c>
      <c r="I462" s="0" t="s">
        <v>1395</v>
      </c>
      <c r="J462" s="0" t="s">
        <v>1394</v>
      </c>
      <c r="M462" s="0" t="s">
        <v>1396</v>
      </c>
      <c r="N462" s="0" t="s">
        <v>1397</v>
      </c>
      <c r="O462" s="0" t="s">
        <v>1398</v>
      </c>
      <c r="P462" s="0" t="n">
        <v>1964</v>
      </c>
      <c r="Q462" s="0" t="s">
        <v>39</v>
      </c>
      <c r="R462" s="0" t="s">
        <v>1399</v>
      </c>
      <c r="S462" s="0" t="s">
        <v>1400</v>
      </c>
      <c r="V462" s="0" t="n">
        <v>1</v>
      </c>
      <c r="W462" s="0" t="n">
        <v>1</v>
      </c>
      <c r="X462" s="0" t="str">
        <f aca="false">"31811010343377"</f>
        <v>31811010343377</v>
      </c>
      <c r="Y462" s="0" t="s">
        <v>39</v>
      </c>
      <c r="Z462" s="0" t="s">
        <v>42</v>
      </c>
      <c r="AA462" s="0" t="s">
        <v>43</v>
      </c>
      <c r="AE462" s="1" t="s">
        <v>52</v>
      </c>
    </row>
    <row r="463" customFormat="false" ht="12.8" hidden="false" customHeight="false" outlineLevel="0" collapsed="false">
      <c r="A463" s="0" t="n">
        <v>498850</v>
      </c>
      <c r="B463" s="0" t="n">
        <v>480015</v>
      </c>
      <c r="C463" s="0" t="n">
        <v>537910</v>
      </c>
      <c r="D463" s="0" t="s">
        <v>35</v>
      </c>
      <c r="E463" s="0" t="s">
        <v>35</v>
      </c>
      <c r="F463" s="0" t="s">
        <v>36</v>
      </c>
      <c r="G463" s="0" t="s">
        <v>37</v>
      </c>
      <c r="H463" s="0" t="s">
        <v>1401</v>
      </c>
      <c r="I463" s="0" t="s">
        <v>1402</v>
      </c>
      <c r="J463" s="0" t="s">
        <v>1401</v>
      </c>
      <c r="M463" s="0" t="s">
        <v>1403</v>
      </c>
      <c r="N463" s="0" t="n">
        <v>1963</v>
      </c>
      <c r="O463" s="0" t="s">
        <v>1404</v>
      </c>
      <c r="P463" s="0" t="n">
        <v>1963</v>
      </c>
      <c r="Q463" s="0" t="s">
        <v>39</v>
      </c>
      <c r="R463" s="0" t="s">
        <v>1405</v>
      </c>
      <c r="S463" s="0" t="s">
        <v>1406</v>
      </c>
      <c r="V463" s="0" t="n">
        <v>1</v>
      </c>
      <c r="W463" s="0" t="n">
        <v>1</v>
      </c>
      <c r="X463" s="0" t="str">
        <f aca="false">"31811010343385"</f>
        <v>31811010343385</v>
      </c>
      <c r="Y463" s="0" t="s">
        <v>39</v>
      </c>
      <c r="Z463" s="0" t="s">
        <v>42</v>
      </c>
      <c r="AA463" s="0" t="s">
        <v>43</v>
      </c>
      <c r="AE463" s="1" t="s">
        <v>52</v>
      </c>
      <c r="AH463" s="1" t="s">
        <v>1407</v>
      </c>
    </row>
    <row r="464" customFormat="false" ht="12.8" hidden="false" customHeight="false" outlineLevel="0" collapsed="false">
      <c r="A464" s="0" t="n">
        <v>497628</v>
      </c>
      <c r="B464" s="0" t="n">
        <v>478774</v>
      </c>
      <c r="C464" s="0" t="n">
        <v>536573</v>
      </c>
      <c r="D464" s="0" t="s">
        <v>35</v>
      </c>
      <c r="E464" s="0" t="s">
        <v>35</v>
      </c>
      <c r="F464" s="0" t="s">
        <v>36</v>
      </c>
      <c r="G464" s="0" t="s">
        <v>37</v>
      </c>
      <c r="H464" s="0" t="s">
        <v>1408</v>
      </c>
      <c r="I464" s="0" t="s">
        <v>1409</v>
      </c>
      <c r="J464" s="0" t="s">
        <v>1410</v>
      </c>
      <c r="M464" s="0" t="s">
        <v>1411</v>
      </c>
      <c r="N464" s="0" t="n">
        <v>1958</v>
      </c>
      <c r="P464" s="0" t="n">
        <v>1958</v>
      </c>
      <c r="Q464" s="0" t="s">
        <v>39</v>
      </c>
      <c r="R464" s="0" t="s">
        <v>1412</v>
      </c>
      <c r="S464" s="0" t="s">
        <v>1413</v>
      </c>
      <c r="V464" s="0" t="n">
        <v>1</v>
      </c>
      <c r="W464" s="0" t="n">
        <v>1</v>
      </c>
      <c r="X464" s="0" t="str">
        <f aca="false">"31811010343393"</f>
        <v>31811010343393</v>
      </c>
      <c r="Y464" s="0" t="s">
        <v>39</v>
      </c>
      <c r="Z464" s="0" t="s">
        <v>42</v>
      </c>
      <c r="AA464" s="0" t="s">
        <v>43</v>
      </c>
      <c r="AE464" s="1" t="s">
        <v>52</v>
      </c>
      <c r="AH464" s="1" t="s">
        <v>1414</v>
      </c>
    </row>
    <row r="465" customFormat="false" ht="12.8" hidden="false" customHeight="false" outlineLevel="0" collapsed="false">
      <c r="A465" s="0" t="n">
        <v>575181</v>
      </c>
      <c r="B465" s="0" t="n">
        <v>614805</v>
      </c>
      <c r="C465" s="0" t="n">
        <v>697279</v>
      </c>
      <c r="D465" s="0" t="s">
        <v>35</v>
      </c>
      <c r="E465" s="0" t="s">
        <v>35</v>
      </c>
      <c r="F465" s="0" t="s">
        <v>36</v>
      </c>
      <c r="G465" s="0" t="s">
        <v>37</v>
      </c>
      <c r="H465" s="0" t="s">
        <v>1415</v>
      </c>
      <c r="J465" s="0" t="s">
        <v>1416</v>
      </c>
      <c r="L465" s="0" t="s">
        <v>1417</v>
      </c>
      <c r="M465" s="0" t="s">
        <v>1418</v>
      </c>
      <c r="N465" s="0" t="s">
        <v>1419</v>
      </c>
      <c r="O465" s="0" t="s">
        <v>1420</v>
      </c>
      <c r="P465" s="0" t="n">
        <v>2002</v>
      </c>
      <c r="Q465" s="0" t="s">
        <v>39</v>
      </c>
      <c r="R465" s="0" t="s">
        <v>1421</v>
      </c>
      <c r="S465" s="0" t="s">
        <v>1422</v>
      </c>
      <c r="V465" s="0" t="n">
        <v>1</v>
      </c>
      <c r="W465" s="0" t="n">
        <v>1</v>
      </c>
      <c r="X465" s="0" t="str">
        <f aca="false">"31811012838549"</f>
        <v>31811012838549</v>
      </c>
      <c r="Y465" s="0" t="s">
        <v>39</v>
      </c>
      <c r="Z465" s="0" t="s">
        <v>42</v>
      </c>
      <c r="AA465" s="0" t="s">
        <v>43</v>
      </c>
      <c r="AE465" s="1" t="s">
        <v>1423</v>
      </c>
      <c r="AF465" s="1" t="s">
        <v>1424</v>
      </c>
      <c r="AG465" s="0" t="n">
        <v>4573</v>
      </c>
      <c r="AH465" s="1" t="s">
        <v>1425</v>
      </c>
    </row>
    <row r="466" customFormat="false" ht="12.8" hidden="false" customHeight="false" outlineLevel="0" collapsed="false">
      <c r="A466" s="0" t="n">
        <v>67571</v>
      </c>
      <c r="B466" s="0" t="n">
        <v>73275</v>
      </c>
      <c r="C466" s="0" t="n">
        <v>81034</v>
      </c>
      <c r="D466" s="0" t="s">
        <v>35</v>
      </c>
      <c r="E466" s="0" t="s">
        <v>35</v>
      </c>
      <c r="F466" s="0" t="s">
        <v>36</v>
      </c>
      <c r="G466" s="0" t="s">
        <v>37</v>
      </c>
      <c r="H466" s="0" t="s">
        <v>1426</v>
      </c>
      <c r="I466" s="0" t="s">
        <v>1427</v>
      </c>
      <c r="J466" s="0" t="s">
        <v>1426</v>
      </c>
      <c r="M466" s="0" t="s">
        <v>1428</v>
      </c>
      <c r="N466" s="0" t="s">
        <v>1429</v>
      </c>
      <c r="P466" s="0" t="n">
        <v>1969</v>
      </c>
      <c r="Q466" s="0" t="s">
        <v>39</v>
      </c>
      <c r="R466" s="0" t="s">
        <v>1430</v>
      </c>
      <c r="S466" s="0" t="s">
        <v>1431</v>
      </c>
      <c r="V466" s="0" t="n">
        <v>1</v>
      </c>
      <c r="W466" s="0" t="n">
        <v>1</v>
      </c>
      <c r="X466" s="0" t="str">
        <f aca="false">"31811010343955"</f>
        <v>31811010343955</v>
      </c>
      <c r="Y466" s="0" t="s">
        <v>39</v>
      </c>
      <c r="Z466" s="0" t="s">
        <v>42</v>
      </c>
      <c r="AA466" s="0" t="s">
        <v>43</v>
      </c>
      <c r="AE466" s="1" t="s">
        <v>52</v>
      </c>
    </row>
    <row r="467" customFormat="false" ht="12.8" hidden="false" customHeight="false" outlineLevel="0" collapsed="false">
      <c r="A467" s="0" t="n">
        <v>214380</v>
      </c>
      <c r="B467" s="0" t="n">
        <v>235218</v>
      </c>
      <c r="C467" s="0" t="n">
        <v>264816</v>
      </c>
      <c r="D467" s="0" t="s">
        <v>35</v>
      </c>
      <c r="E467" s="0" t="s">
        <v>35</v>
      </c>
      <c r="F467" s="0" t="s">
        <v>36</v>
      </c>
      <c r="G467" s="0" t="s">
        <v>37</v>
      </c>
      <c r="H467" s="0" t="s">
        <v>1432</v>
      </c>
      <c r="I467" s="0" t="s">
        <v>1427</v>
      </c>
      <c r="J467" s="0" t="s">
        <v>1432</v>
      </c>
      <c r="M467" s="0" t="s">
        <v>1433</v>
      </c>
      <c r="N467" s="0" t="n">
        <v>1972</v>
      </c>
      <c r="P467" s="0" t="n">
        <v>1972</v>
      </c>
      <c r="Q467" s="0" t="s">
        <v>39</v>
      </c>
      <c r="R467" s="0" t="s">
        <v>1434</v>
      </c>
      <c r="S467" s="0" t="s">
        <v>1435</v>
      </c>
      <c r="V467" s="0" t="n">
        <v>1</v>
      </c>
      <c r="W467" s="0" t="n">
        <v>1</v>
      </c>
      <c r="X467" s="0" t="str">
        <f aca="false">"31811010344003"</f>
        <v>31811010344003</v>
      </c>
      <c r="Y467" s="0" t="s">
        <v>39</v>
      </c>
      <c r="Z467" s="0" t="s">
        <v>42</v>
      </c>
      <c r="AA467" s="0" t="s">
        <v>43</v>
      </c>
      <c r="AE467" s="1" t="s">
        <v>52</v>
      </c>
    </row>
    <row r="468" customFormat="false" ht="12.8" hidden="false" customHeight="false" outlineLevel="0" collapsed="false">
      <c r="A468" s="0" t="n">
        <v>54569</v>
      </c>
      <c r="B468" s="0" t="n">
        <v>59213</v>
      </c>
      <c r="C468" s="0" t="n">
        <v>65347</v>
      </c>
      <c r="D468" s="0" t="s">
        <v>35</v>
      </c>
      <c r="E468" s="0" t="s">
        <v>35</v>
      </c>
      <c r="F468" s="0" t="s">
        <v>36</v>
      </c>
      <c r="G468" s="0" t="s">
        <v>37</v>
      </c>
      <c r="H468" s="0" t="s">
        <v>1436</v>
      </c>
      <c r="I468" s="0" t="s">
        <v>1437</v>
      </c>
      <c r="J468" s="0" t="s">
        <v>1438</v>
      </c>
      <c r="L468" s="1" t="s">
        <v>1439</v>
      </c>
      <c r="M468" s="0" t="s">
        <v>1440</v>
      </c>
      <c r="N468" s="0" t="s">
        <v>349</v>
      </c>
      <c r="O468" s="0" t="s">
        <v>1441</v>
      </c>
      <c r="P468" s="0" t="n">
        <v>1979</v>
      </c>
      <c r="Q468" s="0" t="s">
        <v>39</v>
      </c>
      <c r="R468" s="0" t="s">
        <v>1442</v>
      </c>
      <c r="S468" s="0" t="s">
        <v>1443</v>
      </c>
      <c r="V468" s="0" t="n">
        <v>1</v>
      </c>
      <c r="W468" s="0" t="n">
        <v>1</v>
      </c>
      <c r="X468" s="0" t="str">
        <f aca="false">"31811010343963"</f>
        <v>31811010343963</v>
      </c>
      <c r="Y468" s="0" t="s">
        <v>39</v>
      </c>
      <c r="Z468" s="0" t="s">
        <v>42</v>
      </c>
      <c r="AA468" s="0" t="s">
        <v>43</v>
      </c>
      <c r="AE468" s="1" t="s">
        <v>52</v>
      </c>
    </row>
    <row r="469" customFormat="false" ht="12.8" hidden="false" customHeight="false" outlineLevel="0" collapsed="false">
      <c r="A469" s="0" t="n">
        <v>535175</v>
      </c>
      <c r="B469" s="0" t="n">
        <v>573324</v>
      </c>
      <c r="C469" s="0" t="n">
        <v>648035</v>
      </c>
      <c r="D469" s="0" t="s">
        <v>35</v>
      </c>
      <c r="E469" s="0" t="s">
        <v>35</v>
      </c>
      <c r="F469" s="0" t="s">
        <v>36</v>
      </c>
      <c r="G469" s="0" t="s">
        <v>37</v>
      </c>
      <c r="H469" s="0" t="s">
        <v>1444</v>
      </c>
      <c r="J469" s="0" t="s">
        <v>1445</v>
      </c>
      <c r="K469" s="0" t="s">
        <v>1446</v>
      </c>
      <c r="L469" s="0" t="s">
        <v>1447</v>
      </c>
      <c r="M469" s="0" t="s">
        <v>1448</v>
      </c>
      <c r="N469" s="0" t="s">
        <v>612</v>
      </c>
      <c r="O469" s="0" t="s">
        <v>1449</v>
      </c>
      <c r="P469" s="0" t="n">
        <v>1998</v>
      </c>
      <c r="Q469" s="0" t="s">
        <v>39</v>
      </c>
      <c r="R469" s="0" t="s">
        <v>1450</v>
      </c>
      <c r="S469" s="0" t="s">
        <v>1451</v>
      </c>
      <c r="V469" s="0" t="n">
        <v>1</v>
      </c>
      <c r="W469" s="0" t="n">
        <v>1</v>
      </c>
      <c r="X469" s="0" t="str">
        <f aca="false">"31811011442400"</f>
        <v>31811011442400</v>
      </c>
      <c r="Y469" s="0" t="s">
        <v>39</v>
      </c>
      <c r="Z469" s="0" t="s">
        <v>42</v>
      </c>
      <c r="AA469" s="0" t="s">
        <v>43</v>
      </c>
      <c r="AE469" s="1" t="s">
        <v>52</v>
      </c>
      <c r="AH469" s="1" t="s">
        <v>1452</v>
      </c>
    </row>
    <row r="470" customFormat="false" ht="12.8" hidden="false" customHeight="false" outlineLevel="0" collapsed="false">
      <c r="A470" s="0" t="n">
        <v>108742</v>
      </c>
      <c r="B470" s="0" t="n">
        <v>117036</v>
      </c>
      <c r="C470" s="0" t="n">
        <v>130573</v>
      </c>
      <c r="D470" s="0" t="s">
        <v>35</v>
      </c>
      <c r="E470" s="0" t="s">
        <v>35</v>
      </c>
      <c r="F470" s="0" t="s">
        <v>36</v>
      </c>
      <c r="G470" s="0" t="s">
        <v>37</v>
      </c>
      <c r="H470" s="0" t="s">
        <v>1453</v>
      </c>
      <c r="J470" s="0" t="s">
        <v>1454</v>
      </c>
      <c r="L470" s="0" t="s">
        <v>1455</v>
      </c>
      <c r="M470" s="0" t="s">
        <v>1456</v>
      </c>
      <c r="N470" s="0" t="n">
        <v>1985</v>
      </c>
      <c r="O470" s="0" t="s">
        <v>430</v>
      </c>
      <c r="P470" s="0" t="n">
        <v>1985</v>
      </c>
      <c r="Q470" s="0" t="s">
        <v>39</v>
      </c>
      <c r="R470" s="0" t="s">
        <v>1457</v>
      </c>
      <c r="S470" s="0" t="s">
        <v>1458</v>
      </c>
      <c r="V470" s="0" t="n">
        <v>1</v>
      </c>
      <c r="W470" s="0" t="n">
        <v>1</v>
      </c>
      <c r="X470" s="0" t="str">
        <f aca="false">"31811010639303"</f>
        <v>31811010639303</v>
      </c>
      <c r="Y470" s="0" t="s">
        <v>39</v>
      </c>
      <c r="Z470" s="0" t="s">
        <v>42</v>
      </c>
      <c r="AA470" s="0" t="s">
        <v>622</v>
      </c>
      <c r="AE470" s="1" t="s">
        <v>52</v>
      </c>
      <c r="AF470" s="1" t="s">
        <v>433</v>
      </c>
    </row>
    <row r="471" customFormat="false" ht="12.8" hidden="false" customHeight="false" outlineLevel="0" collapsed="false">
      <c r="A471" s="0" t="n">
        <v>423082</v>
      </c>
      <c r="B471" s="0" t="n">
        <v>456126</v>
      </c>
      <c r="C471" s="0" t="n">
        <v>509254</v>
      </c>
      <c r="D471" s="0" t="s">
        <v>35</v>
      </c>
      <c r="E471" s="0" t="s">
        <v>35</v>
      </c>
      <c r="F471" s="0" t="s">
        <v>36</v>
      </c>
      <c r="G471" s="0" t="s">
        <v>37</v>
      </c>
      <c r="H471" s="0" t="s">
        <v>1459</v>
      </c>
      <c r="I471" s="0" t="s">
        <v>1460</v>
      </c>
      <c r="J471" s="0" t="s">
        <v>1461</v>
      </c>
      <c r="M471" s="0" t="s">
        <v>1462</v>
      </c>
      <c r="N471" s="0" t="n">
        <v>1988</v>
      </c>
      <c r="O471" s="0" t="s">
        <v>1244</v>
      </c>
      <c r="P471" s="0" t="n">
        <v>1988</v>
      </c>
      <c r="Q471" s="0" t="s">
        <v>39</v>
      </c>
      <c r="R471" s="0" t="s">
        <v>1463</v>
      </c>
      <c r="S471" s="0" t="s">
        <v>1464</v>
      </c>
      <c r="V471" s="0" t="n">
        <v>1</v>
      </c>
      <c r="W471" s="0" t="n">
        <v>1</v>
      </c>
      <c r="X471" s="0" t="str">
        <f aca="false">"31811010343427"</f>
        <v>31811010343427</v>
      </c>
      <c r="Y471" s="0" t="s">
        <v>39</v>
      </c>
      <c r="Z471" s="0" t="s">
        <v>42</v>
      </c>
      <c r="AA471" s="0" t="s">
        <v>43</v>
      </c>
      <c r="AE471" s="1" t="s">
        <v>52</v>
      </c>
    </row>
    <row r="472" customFormat="false" ht="12.8" hidden="false" customHeight="false" outlineLevel="0" collapsed="false">
      <c r="A472" s="0" t="n">
        <v>201234</v>
      </c>
      <c r="B472" s="0" t="n">
        <v>220757</v>
      </c>
      <c r="C472" s="0" t="n">
        <v>248293</v>
      </c>
      <c r="D472" s="0" t="s">
        <v>35</v>
      </c>
      <c r="E472" s="0" t="s">
        <v>35</v>
      </c>
      <c r="F472" s="0" t="s">
        <v>36</v>
      </c>
      <c r="G472" s="0" t="s">
        <v>37</v>
      </c>
      <c r="H472" s="0" t="s">
        <v>1465</v>
      </c>
      <c r="I472" s="0" t="s">
        <v>1466</v>
      </c>
      <c r="J472" s="0" t="s">
        <v>1467</v>
      </c>
      <c r="M472" s="0" t="s">
        <v>1468</v>
      </c>
      <c r="N472" s="0" t="s">
        <v>1469</v>
      </c>
      <c r="O472" s="0" t="s">
        <v>1244</v>
      </c>
      <c r="P472" s="0" t="n">
        <v>1978</v>
      </c>
      <c r="Q472" s="0" t="s">
        <v>39</v>
      </c>
      <c r="R472" s="0" t="s">
        <v>1470</v>
      </c>
      <c r="S472" s="0" t="s">
        <v>1471</v>
      </c>
      <c r="V472" s="0" t="n">
        <v>1</v>
      </c>
      <c r="W472" s="0" t="n">
        <v>1</v>
      </c>
      <c r="X472" s="0" t="str">
        <f aca="false">"31811010343435"</f>
        <v>31811010343435</v>
      </c>
      <c r="Y472" s="0" t="s">
        <v>39</v>
      </c>
      <c r="Z472" s="0" t="s">
        <v>42</v>
      </c>
      <c r="AA472" s="0" t="s">
        <v>43</v>
      </c>
      <c r="AE472" s="1" t="s">
        <v>52</v>
      </c>
    </row>
    <row r="473" customFormat="false" ht="12.8" hidden="false" customHeight="false" outlineLevel="0" collapsed="false">
      <c r="A473" s="0" t="n">
        <v>581719</v>
      </c>
      <c r="B473" s="0" t="n">
        <v>621726</v>
      </c>
      <c r="C473" s="0" t="n">
        <v>698552</v>
      </c>
      <c r="D473" s="0" t="s">
        <v>35</v>
      </c>
      <c r="E473" s="0" t="s">
        <v>35</v>
      </c>
      <c r="F473" s="0" t="s">
        <v>36</v>
      </c>
      <c r="G473" s="0" t="s">
        <v>37</v>
      </c>
      <c r="H473" s="0" t="s">
        <v>1472</v>
      </c>
      <c r="I473" s="0" t="s">
        <v>1473</v>
      </c>
      <c r="J473" s="0" t="s">
        <v>1474</v>
      </c>
      <c r="L473" s="0" t="s">
        <v>1475</v>
      </c>
      <c r="M473" s="0" t="s">
        <v>1476</v>
      </c>
      <c r="N473" s="0" t="s">
        <v>1477</v>
      </c>
      <c r="O473" s="0" t="s">
        <v>1478</v>
      </c>
      <c r="P473" s="0" t="n">
        <v>1994</v>
      </c>
      <c r="Q473" s="0" t="s">
        <v>39</v>
      </c>
      <c r="R473" s="0" t="s">
        <v>1479</v>
      </c>
      <c r="S473" s="0" t="s">
        <v>1480</v>
      </c>
      <c r="V473" s="0" t="n">
        <v>1</v>
      </c>
      <c r="W473" s="0" t="n">
        <v>1</v>
      </c>
      <c r="X473" s="0" t="str">
        <f aca="false">"31811012834449"</f>
        <v>31811012834449</v>
      </c>
      <c r="Y473" s="0" t="s">
        <v>39</v>
      </c>
      <c r="Z473" s="0" t="s">
        <v>42</v>
      </c>
      <c r="AA473" s="0" t="s">
        <v>1481</v>
      </c>
      <c r="AE473" s="1" t="s">
        <v>1482</v>
      </c>
      <c r="AF473" s="1" t="s">
        <v>1483</v>
      </c>
      <c r="AG473" s="0" t="n">
        <v>5476</v>
      </c>
      <c r="AH473" s="1" t="s">
        <v>1484</v>
      </c>
    </row>
    <row r="474" customFormat="false" ht="12.8" hidden="false" customHeight="false" outlineLevel="0" collapsed="false">
      <c r="A474" s="0" t="n">
        <v>288863</v>
      </c>
      <c r="B474" s="0" t="n">
        <v>315572</v>
      </c>
      <c r="C474" s="0" t="n">
        <v>353118</v>
      </c>
      <c r="D474" s="0" t="s">
        <v>35</v>
      </c>
      <c r="E474" s="0" t="s">
        <v>35</v>
      </c>
      <c r="F474" s="0" t="s">
        <v>36</v>
      </c>
      <c r="G474" s="0" t="s">
        <v>37</v>
      </c>
      <c r="H474" s="0" t="s">
        <v>1485</v>
      </c>
      <c r="I474" s="0" t="s">
        <v>1486</v>
      </c>
      <c r="J474" s="0" t="s">
        <v>1487</v>
      </c>
      <c r="L474" s="0" t="n">
        <v>896644405</v>
      </c>
      <c r="M474" s="0" t="s">
        <v>1488</v>
      </c>
      <c r="N474" s="0" t="n">
        <v>1980</v>
      </c>
      <c r="O474" s="0" t="s">
        <v>1489</v>
      </c>
      <c r="P474" s="0" t="n">
        <v>1980</v>
      </c>
      <c r="Q474" s="0" t="s">
        <v>39</v>
      </c>
      <c r="R474" s="0" t="s">
        <v>1490</v>
      </c>
      <c r="S474" s="0" t="s">
        <v>1491</v>
      </c>
      <c r="V474" s="0" t="n">
        <v>1</v>
      </c>
      <c r="W474" s="0" t="n">
        <v>1</v>
      </c>
      <c r="X474" s="0" t="str">
        <f aca="false">"31811010343450"</f>
        <v>31811010343450</v>
      </c>
      <c r="Y474" s="0" t="s">
        <v>39</v>
      </c>
      <c r="Z474" s="0" t="s">
        <v>42</v>
      </c>
      <c r="AA474" s="0" t="s">
        <v>43</v>
      </c>
      <c r="AE474" s="1" t="s">
        <v>52</v>
      </c>
    </row>
    <row r="475" customFormat="false" ht="12.8" hidden="false" customHeight="false" outlineLevel="0" collapsed="false">
      <c r="A475" s="0" t="n">
        <v>215032</v>
      </c>
      <c r="B475" s="0" t="n">
        <v>235899</v>
      </c>
      <c r="C475" s="0" t="n">
        <v>265575</v>
      </c>
      <c r="D475" s="0" t="s">
        <v>35</v>
      </c>
      <c r="E475" s="0" t="s">
        <v>35</v>
      </c>
      <c r="F475" s="0" t="s">
        <v>36</v>
      </c>
      <c r="G475" s="0" t="s">
        <v>37</v>
      </c>
      <c r="H475" s="0" t="s">
        <v>1492</v>
      </c>
      <c r="J475" s="0" t="s">
        <v>1492</v>
      </c>
      <c r="K475" s="0" t="s">
        <v>1493</v>
      </c>
      <c r="L475" s="0" t="s">
        <v>1494</v>
      </c>
      <c r="M475" s="0" t="s">
        <v>1495</v>
      </c>
      <c r="N475" s="0" t="n">
        <v>1985</v>
      </c>
      <c r="O475" s="0" t="s">
        <v>1496</v>
      </c>
      <c r="P475" s="0" t="n">
        <v>1985</v>
      </c>
      <c r="Q475" s="0" t="s">
        <v>39</v>
      </c>
      <c r="R475" s="0" t="s">
        <v>1497</v>
      </c>
      <c r="S475" s="0" t="s">
        <v>1498</v>
      </c>
      <c r="V475" s="0" t="n">
        <v>1</v>
      </c>
      <c r="W475" s="0" t="n">
        <v>1</v>
      </c>
      <c r="X475" s="0" t="str">
        <f aca="false">"31811010343468"</f>
        <v>31811010343468</v>
      </c>
      <c r="Y475" s="0" t="s">
        <v>39</v>
      </c>
      <c r="Z475" s="0" t="s">
        <v>42</v>
      </c>
      <c r="AA475" s="0" t="s">
        <v>43</v>
      </c>
      <c r="AE475" s="1" t="s">
        <v>52</v>
      </c>
    </row>
    <row r="476" customFormat="false" ht="12.8" hidden="false" customHeight="false" outlineLevel="0" collapsed="false">
      <c r="A476" s="0" t="n">
        <v>187390</v>
      </c>
      <c r="B476" s="0" t="n">
        <v>205147</v>
      </c>
      <c r="C476" s="0" t="n">
        <v>230554</v>
      </c>
      <c r="D476" s="0" t="s">
        <v>35</v>
      </c>
      <c r="E476" s="0" t="s">
        <v>35</v>
      </c>
      <c r="F476" s="0" t="s">
        <v>36</v>
      </c>
      <c r="G476" s="0" t="s">
        <v>37</v>
      </c>
      <c r="H476" s="0" t="s">
        <v>1499</v>
      </c>
      <c r="I476" s="0" t="s">
        <v>1473</v>
      </c>
      <c r="J476" s="0" t="s">
        <v>1500</v>
      </c>
      <c r="M476" s="0" t="s">
        <v>1501</v>
      </c>
      <c r="N476" s="0" t="s">
        <v>1502</v>
      </c>
      <c r="O476" s="0" t="s">
        <v>1244</v>
      </c>
      <c r="P476" s="0" t="n">
        <v>1979</v>
      </c>
      <c r="Q476" s="0" t="s">
        <v>39</v>
      </c>
      <c r="R476" s="0" t="s">
        <v>1503</v>
      </c>
      <c r="S476" s="0" t="s">
        <v>1504</v>
      </c>
      <c r="V476" s="0" t="n">
        <v>1</v>
      </c>
      <c r="W476" s="0" t="n">
        <v>1</v>
      </c>
      <c r="X476" s="0" t="str">
        <f aca="false">"31811010343484"</f>
        <v>31811010343484</v>
      </c>
      <c r="Y476" s="0" t="s">
        <v>39</v>
      </c>
      <c r="Z476" s="0" t="s">
        <v>42</v>
      </c>
      <c r="AA476" s="0" t="s">
        <v>43</v>
      </c>
      <c r="AE476" s="1" t="s">
        <v>52</v>
      </c>
      <c r="AH476" s="1" t="s">
        <v>1505</v>
      </c>
    </row>
    <row r="477" customFormat="false" ht="12.8" hidden="false" customHeight="false" outlineLevel="0" collapsed="false">
      <c r="A477" s="0" t="n">
        <v>445365</v>
      </c>
      <c r="B477" s="0" t="n">
        <v>531087</v>
      </c>
      <c r="C477" s="0" t="n">
        <v>596542</v>
      </c>
      <c r="D477" s="0" t="s">
        <v>35</v>
      </c>
      <c r="E477" s="0" t="s">
        <v>35</v>
      </c>
      <c r="F477" s="0" t="s">
        <v>36</v>
      </c>
      <c r="G477" s="0" t="s">
        <v>37</v>
      </c>
      <c r="H477" s="0" t="s">
        <v>1506</v>
      </c>
      <c r="J477" s="0" t="s">
        <v>1507</v>
      </c>
      <c r="L477" s="0" t="s">
        <v>1508</v>
      </c>
      <c r="M477" s="0" t="s">
        <v>1509</v>
      </c>
      <c r="N477" s="0" t="s">
        <v>1000</v>
      </c>
      <c r="O477" s="0" t="s">
        <v>1510</v>
      </c>
      <c r="P477" s="0" t="n">
        <v>1992</v>
      </c>
      <c r="Q477" s="0" t="s">
        <v>39</v>
      </c>
      <c r="R477" s="0" t="s">
        <v>1511</v>
      </c>
      <c r="S477" s="0" t="s">
        <v>1512</v>
      </c>
      <c r="V477" s="0" t="n">
        <v>1</v>
      </c>
      <c r="W477" s="0" t="n">
        <v>1</v>
      </c>
      <c r="X477" s="0" t="str">
        <f aca="false">"31811003178558"</f>
        <v>31811003178558</v>
      </c>
      <c r="Y477" s="0" t="s">
        <v>39</v>
      </c>
      <c r="Z477" s="0" t="s">
        <v>42</v>
      </c>
      <c r="AA477" s="0" t="s">
        <v>43</v>
      </c>
      <c r="AE477" s="1" t="s">
        <v>52</v>
      </c>
      <c r="AF477" s="1" t="s">
        <v>1513</v>
      </c>
      <c r="AH477" s="1" t="s">
        <v>1514</v>
      </c>
    </row>
    <row r="478" customFormat="false" ht="12.8" hidden="false" customHeight="false" outlineLevel="0" collapsed="false">
      <c r="A478" s="0" t="n">
        <v>395591</v>
      </c>
      <c r="B478" s="0" t="n">
        <v>427316</v>
      </c>
      <c r="C478" s="0" t="n">
        <v>476447</v>
      </c>
      <c r="D478" s="0" t="s">
        <v>35</v>
      </c>
      <c r="E478" s="0" t="s">
        <v>35</v>
      </c>
      <c r="F478" s="0" t="s">
        <v>36</v>
      </c>
      <c r="G478" s="0" t="s">
        <v>412</v>
      </c>
      <c r="H478" s="0" t="s">
        <v>1515</v>
      </c>
      <c r="I478" s="0" t="s">
        <v>1516</v>
      </c>
      <c r="J478" s="0" t="s">
        <v>1515</v>
      </c>
      <c r="M478" s="0" t="s">
        <v>1517</v>
      </c>
      <c r="N478" s="0" t="n">
        <v>1968</v>
      </c>
      <c r="P478" s="0" t="n">
        <v>1968</v>
      </c>
      <c r="Q478" s="0" t="s">
        <v>39</v>
      </c>
      <c r="R478" s="0" t="s">
        <v>1518</v>
      </c>
      <c r="S478" s="0" t="s">
        <v>1519</v>
      </c>
      <c r="V478" s="0" t="n">
        <v>1</v>
      </c>
      <c r="W478" s="0" t="n">
        <v>1</v>
      </c>
      <c r="X478" s="0" t="str">
        <f aca="false">"31811010343500"</f>
        <v>31811010343500</v>
      </c>
      <c r="Y478" s="0" t="s">
        <v>39</v>
      </c>
      <c r="Z478" s="0" t="s">
        <v>42</v>
      </c>
      <c r="AA478" s="0" t="s">
        <v>43</v>
      </c>
      <c r="AE478" s="1" t="s">
        <v>52</v>
      </c>
    </row>
    <row r="479" customFormat="false" ht="12.8" hidden="false" customHeight="false" outlineLevel="0" collapsed="false">
      <c r="A479" s="0" t="n">
        <v>14028</v>
      </c>
      <c r="B479" s="0" t="n">
        <v>15994</v>
      </c>
      <c r="C479" s="0" t="n">
        <v>18688</v>
      </c>
      <c r="D479" s="0" t="s">
        <v>35</v>
      </c>
      <c r="E479" s="0" t="s">
        <v>35</v>
      </c>
      <c r="F479" s="0" t="s">
        <v>36</v>
      </c>
      <c r="G479" s="0" t="s">
        <v>37</v>
      </c>
      <c r="H479" s="0" t="s">
        <v>1520</v>
      </c>
      <c r="J479" s="0" t="s">
        <v>1521</v>
      </c>
      <c r="M479" s="0" t="s">
        <v>1522</v>
      </c>
      <c r="N479" s="0" t="s">
        <v>408</v>
      </c>
      <c r="O479" s="0" t="s">
        <v>1523</v>
      </c>
      <c r="P479" s="0" t="n">
        <v>1981</v>
      </c>
      <c r="Q479" s="0" t="s">
        <v>39</v>
      </c>
      <c r="R479" s="0" t="s">
        <v>1524</v>
      </c>
      <c r="S479" s="0" t="s">
        <v>1525</v>
      </c>
      <c r="V479" s="0" t="n">
        <v>1</v>
      </c>
      <c r="W479" s="0" t="n">
        <v>1</v>
      </c>
      <c r="X479" s="0" t="str">
        <f aca="false">"31811010343518"</f>
        <v>31811010343518</v>
      </c>
      <c r="Y479" s="0" t="s">
        <v>39</v>
      </c>
      <c r="Z479" s="0" t="s">
        <v>42</v>
      </c>
      <c r="AA479" s="0" t="s">
        <v>43</v>
      </c>
      <c r="AE479" s="1" t="s">
        <v>52</v>
      </c>
    </row>
    <row r="480" customFormat="false" ht="12.8" hidden="false" customHeight="false" outlineLevel="0" collapsed="false">
      <c r="A480" s="0" t="n">
        <v>99501</v>
      </c>
      <c r="B480" s="0" t="n">
        <v>107313</v>
      </c>
      <c r="C480" s="0" t="n">
        <v>119999</v>
      </c>
      <c r="D480" s="0" t="s">
        <v>35</v>
      </c>
      <c r="E480" s="0" t="s">
        <v>35</v>
      </c>
      <c r="F480" s="0" t="s">
        <v>36</v>
      </c>
      <c r="G480" s="0" t="s">
        <v>37</v>
      </c>
      <c r="H480" s="0" t="s">
        <v>1526</v>
      </c>
      <c r="I480" s="0" t="s">
        <v>1527</v>
      </c>
      <c r="J480" s="0" t="s">
        <v>1526</v>
      </c>
      <c r="M480" s="0" t="s">
        <v>1528</v>
      </c>
      <c r="N480" s="0" t="s">
        <v>1529</v>
      </c>
      <c r="P480" s="0" t="n">
        <v>1963</v>
      </c>
      <c r="Q480" s="0" t="s">
        <v>39</v>
      </c>
      <c r="R480" s="0" t="s">
        <v>1530</v>
      </c>
      <c r="S480" s="0" t="s">
        <v>1531</v>
      </c>
      <c r="V480" s="0" t="n">
        <v>1</v>
      </c>
      <c r="W480" s="0" t="n">
        <v>1</v>
      </c>
      <c r="X480" s="0" t="str">
        <f aca="false">"31811010343526"</f>
        <v>31811010343526</v>
      </c>
      <c r="Y480" s="0" t="s">
        <v>39</v>
      </c>
      <c r="Z480" s="0" t="s">
        <v>42</v>
      </c>
      <c r="AA480" s="0" t="s">
        <v>43</v>
      </c>
      <c r="AE480" s="1" t="s">
        <v>52</v>
      </c>
    </row>
    <row r="481" customFormat="false" ht="12.8" hidden="false" customHeight="false" outlineLevel="0" collapsed="false">
      <c r="A481" s="0" t="n">
        <v>139059</v>
      </c>
      <c r="B481" s="0" t="n">
        <v>150111</v>
      </c>
      <c r="C481" s="0" t="n">
        <v>167778</v>
      </c>
      <c r="D481" s="0" t="s">
        <v>35</v>
      </c>
      <c r="E481" s="0" t="s">
        <v>35</v>
      </c>
      <c r="F481" s="0" t="s">
        <v>36</v>
      </c>
      <c r="G481" s="0" t="s">
        <v>37</v>
      </c>
      <c r="H481" s="0" t="s">
        <v>1532</v>
      </c>
      <c r="I481" s="0" t="s">
        <v>1533</v>
      </c>
      <c r="J481" s="0" t="s">
        <v>1534</v>
      </c>
      <c r="M481" s="0" t="s">
        <v>1535</v>
      </c>
      <c r="N481" s="0" t="n">
        <v>1966</v>
      </c>
      <c r="O481" s="0" t="s">
        <v>1536</v>
      </c>
      <c r="P481" s="0" t="n">
        <v>1966</v>
      </c>
      <c r="Q481" s="0" t="s">
        <v>39</v>
      </c>
      <c r="R481" s="0" t="s">
        <v>1537</v>
      </c>
      <c r="S481" s="0" t="s">
        <v>1538</v>
      </c>
      <c r="V481" s="0" t="n">
        <v>1</v>
      </c>
      <c r="W481" s="0" t="n">
        <v>1</v>
      </c>
      <c r="X481" s="0" t="str">
        <f aca="false">"31811010343336"</f>
        <v>31811010343336</v>
      </c>
      <c r="Y481" s="0" t="s">
        <v>39</v>
      </c>
      <c r="Z481" s="0" t="s">
        <v>42</v>
      </c>
      <c r="AA481" s="0" t="s">
        <v>43</v>
      </c>
      <c r="AE481" s="1" t="s">
        <v>52</v>
      </c>
    </row>
    <row r="482" customFormat="false" ht="12.8" hidden="false" customHeight="false" outlineLevel="0" collapsed="false">
      <c r="A482" s="0" t="n">
        <v>540616</v>
      </c>
      <c r="B482" s="0" t="n">
        <v>578913</v>
      </c>
      <c r="C482" s="0" t="n">
        <v>654994</v>
      </c>
      <c r="D482" s="0" t="s">
        <v>35</v>
      </c>
      <c r="E482" s="0" t="s">
        <v>35</v>
      </c>
      <c r="F482" s="0" t="s">
        <v>36</v>
      </c>
      <c r="G482" s="0" t="s">
        <v>37</v>
      </c>
      <c r="H482" s="0" t="s">
        <v>1539</v>
      </c>
      <c r="I482" s="0" t="s">
        <v>1540</v>
      </c>
      <c r="J482" s="0" t="s">
        <v>1541</v>
      </c>
      <c r="L482" s="0" t="s">
        <v>1542</v>
      </c>
      <c r="M482" s="0" t="s">
        <v>1543</v>
      </c>
      <c r="N482" s="0" t="s">
        <v>1544</v>
      </c>
      <c r="O482" s="0" t="s">
        <v>1420</v>
      </c>
      <c r="P482" s="0" t="n">
        <v>1999</v>
      </c>
      <c r="Q482" s="0" t="s">
        <v>39</v>
      </c>
      <c r="R482" s="0" t="s">
        <v>1545</v>
      </c>
      <c r="S482" s="0" t="s">
        <v>1546</v>
      </c>
      <c r="V482" s="0" t="n">
        <v>1</v>
      </c>
      <c r="W482" s="0" t="n">
        <v>1</v>
      </c>
      <c r="X482" s="0" t="str">
        <f aca="false">"31811011722769"</f>
        <v>31811011722769</v>
      </c>
      <c r="Y482" s="0" t="s">
        <v>39</v>
      </c>
      <c r="Z482" s="0" t="s">
        <v>42</v>
      </c>
      <c r="AA482" s="0" t="s">
        <v>43</v>
      </c>
      <c r="AE482" s="1" t="s">
        <v>52</v>
      </c>
      <c r="AH482" s="1" t="s">
        <v>1547</v>
      </c>
    </row>
    <row r="483" customFormat="false" ht="12.8" hidden="false" customHeight="false" outlineLevel="0" collapsed="false">
      <c r="A483" s="0" t="n">
        <v>443770</v>
      </c>
      <c r="B483" s="0" t="n">
        <v>529434</v>
      </c>
      <c r="C483" s="0" t="n">
        <v>594732</v>
      </c>
      <c r="D483" s="0" t="s">
        <v>35</v>
      </c>
      <c r="E483" s="0" t="s">
        <v>35</v>
      </c>
      <c r="F483" s="0" t="s">
        <v>36</v>
      </c>
      <c r="G483" s="0" t="s">
        <v>37</v>
      </c>
      <c r="H483" s="0" t="s">
        <v>1548</v>
      </c>
      <c r="J483" s="0" t="s">
        <v>1549</v>
      </c>
      <c r="L483" s="0" t="n">
        <v>9290121130</v>
      </c>
      <c r="M483" s="0" t="s">
        <v>1550</v>
      </c>
      <c r="N483" s="0" t="s">
        <v>1000</v>
      </c>
      <c r="O483" s="0" t="s">
        <v>1551</v>
      </c>
      <c r="P483" s="0" t="n">
        <v>1992</v>
      </c>
      <c r="Q483" s="0" t="s">
        <v>39</v>
      </c>
      <c r="R483" s="0" t="s">
        <v>1552</v>
      </c>
      <c r="S483" s="0" t="s">
        <v>1553</v>
      </c>
      <c r="V483" s="0" t="n">
        <v>1</v>
      </c>
      <c r="W483" s="0" t="n">
        <v>1</v>
      </c>
      <c r="X483" s="0" t="str">
        <f aca="false">"31811010343302"</f>
        <v>31811010343302</v>
      </c>
      <c r="Y483" s="0" t="s">
        <v>39</v>
      </c>
      <c r="Z483" s="0" t="s">
        <v>42</v>
      </c>
      <c r="AA483" s="0" t="s">
        <v>43</v>
      </c>
      <c r="AE483" s="1" t="s">
        <v>52</v>
      </c>
      <c r="AH483" s="1" t="s">
        <v>1554</v>
      </c>
    </row>
    <row r="484" customFormat="false" ht="12.8" hidden="false" customHeight="false" outlineLevel="0" collapsed="false">
      <c r="A484" s="0" t="n">
        <v>32589</v>
      </c>
      <c r="B484" s="0" t="n">
        <v>35664</v>
      </c>
      <c r="C484" s="0" t="n">
        <v>39754</v>
      </c>
      <c r="D484" s="0" t="s">
        <v>35</v>
      </c>
      <c r="E484" s="0" t="s">
        <v>35</v>
      </c>
      <c r="F484" s="0" t="s">
        <v>36</v>
      </c>
      <c r="G484" s="0" t="s">
        <v>37</v>
      </c>
      <c r="H484" s="0" t="s">
        <v>1555</v>
      </c>
      <c r="I484" s="0" t="s">
        <v>1556</v>
      </c>
      <c r="J484" s="0" t="s">
        <v>1555</v>
      </c>
      <c r="M484" s="0" t="s">
        <v>1557</v>
      </c>
      <c r="N484" s="0" t="s">
        <v>148</v>
      </c>
      <c r="O484" s="0" t="s">
        <v>1558</v>
      </c>
      <c r="P484" s="0" t="n">
        <v>1969</v>
      </c>
      <c r="Q484" s="0" t="s">
        <v>39</v>
      </c>
      <c r="R484" s="0" t="s">
        <v>1559</v>
      </c>
      <c r="S484" s="0" t="s">
        <v>1560</v>
      </c>
      <c r="V484" s="0" t="n">
        <v>1</v>
      </c>
      <c r="W484" s="0" t="n">
        <v>1</v>
      </c>
      <c r="X484" s="0" t="str">
        <f aca="false">"31811010343369"</f>
        <v>31811010343369</v>
      </c>
      <c r="Y484" s="0" t="s">
        <v>39</v>
      </c>
      <c r="Z484" s="0" t="s">
        <v>42</v>
      </c>
      <c r="AA484" s="0" t="s">
        <v>43</v>
      </c>
      <c r="AE484" s="1" t="s">
        <v>52</v>
      </c>
    </row>
    <row r="485" customFormat="false" ht="12.8" hidden="false" customHeight="false" outlineLevel="0" collapsed="false">
      <c r="A485" s="0" t="n">
        <v>138047</v>
      </c>
      <c r="B485" s="0" t="n">
        <v>148955</v>
      </c>
      <c r="C485" s="0" t="n">
        <v>166147</v>
      </c>
      <c r="D485" s="0" t="s">
        <v>35</v>
      </c>
      <c r="E485" s="0" t="s">
        <v>35</v>
      </c>
      <c r="F485" s="0" t="s">
        <v>36</v>
      </c>
      <c r="G485" s="0" t="s">
        <v>37</v>
      </c>
      <c r="H485" s="0" t="s">
        <v>1561</v>
      </c>
      <c r="I485" s="0" t="s">
        <v>1562</v>
      </c>
      <c r="J485" s="0" t="s">
        <v>1563</v>
      </c>
      <c r="K485" s="0" t="s">
        <v>154</v>
      </c>
      <c r="L485" s="1" t="s">
        <v>1564</v>
      </c>
      <c r="M485" s="0" t="s">
        <v>1565</v>
      </c>
      <c r="N485" s="0" t="n">
        <v>1976</v>
      </c>
      <c r="O485" s="0" t="s">
        <v>1566</v>
      </c>
      <c r="P485" s="0" t="n">
        <v>1976</v>
      </c>
      <c r="Q485" s="0" t="s">
        <v>39</v>
      </c>
      <c r="R485" s="0" t="s">
        <v>1567</v>
      </c>
      <c r="S485" s="0" t="s">
        <v>1568</v>
      </c>
      <c r="V485" s="0" t="n">
        <v>1</v>
      </c>
      <c r="W485" s="0" t="n">
        <v>1</v>
      </c>
      <c r="X485" s="0" t="str">
        <f aca="false">"31811010343328"</f>
        <v>31811010343328</v>
      </c>
      <c r="Y485" s="0" t="s">
        <v>39</v>
      </c>
      <c r="Z485" s="0" t="s">
        <v>42</v>
      </c>
      <c r="AA485" s="0" t="s">
        <v>43</v>
      </c>
      <c r="AE485" s="1" t="s">
        <v>52</v>
      </c>
      <c r="AH485" s="1" t="s">
        <v>1569</v>
      </c>
    </row>
    <row r="486" customFormat="false" ht="12.8" hidden="false" customHeight="false" outlineLevel="0" collapsed="false">
      <c r="A486" s="0" t="n">
        <v>67780</v>
      </c>
      <c r="B486" s="0" t="n">
        <v>73510</v>
      </c>
      <c r="C486" s="0" t="n">
        <v>81309</v>
      </c>
      <c r="D486" s="0" t="s">
        <v>35</v>
      </c>
      <c r="E486" s="0" t="s">
        <v>35</v>
      </c>
      <c r="F486" s="0" t="s">
        <v>36</v>
      </c>
      <c r="G486" s="0" t="s">
        <v>37</v>
      </c>
      <c r="H486" s="0" t="s">
        <v>1570</v>
      </c>
      <c r="I486" s="0" t="s">
        <v>1571</v>
      </c>
      <c r="J486" s="0" t="s">
        <v>1572</v>
      </c>
      <c r="L486" s="0" t="n">
        <v>812908651</v>
      </c>
      <c r="M486" s="0" t="s">
        <v>1573</v>
      </c>
      <c r="N486" s="0" t="s">
        <v>1469</v>
      </c>
      <c r="O486" s="0" t="s">
        <v>1574</v>
      </c>
      <c r="P486" s="0" t="n">
        <v>1978</v>
      </c>
      <c r="Q486" s="0" t="s">
        <v>39</v>
      </c>
      <c r="R486" s="0" t="s">
        <v>1575</v>
      </c>
      <c r="S486" s="0" t="s">
        <v>1576</v>
      </c>
      <c r="V486" s="0" t="n">
        <v>1</v>
      </c>
      <c r="W486" s="0" t="n">
        <v>1</v>
      </c>
      <c r="X486" s="0" t="str">
        <f aca="false">"31811010343799"</f>
        <v>31811010343799</v>
      </c>
      <c r="Y486" s="0" t="s">
        <v>39</v>
      </c>
      <c r="Z486" s="0" t="s">
        <v>42</v>
      </c>
      <c r="AA486" s="0" t="s">
        <v>43</v>
      </c>
      <c r="AE486" s="1" t="s">
        <v>52</v>
      </c>
    </row>
    <row r="487" customFormat="false" ht="12.8" hidden="false" customHeight="false" outlineLevel="0" collapsed="false">
      <c r="A487" s="0" t="n">
        <v>138987</v>
      </c>
      <c r="B487" s="0" t="n">
        <v>150015</v>
      </c>
      <c r="C487" s="0" t="n">
        <v>167681</v>
      </c>
      <c r="D487" s="0" t="s">
        <v>35</v>
      </c>
      <c r="E487" s="0" t="s">
        <v>35</v>
      </c>
      <c r="F487" s="0" t="s">
        <v>36</v>
      </c>
      <c r="G487" s="0" t="s">
        <v>37</v>
      </c>
      <c r="H487" s="0" t="s">
        <v>1577</v>
      </c>
      <c r="I487" s="0" t="s">
        <v>1578</v>
      </c>
      <c r="J487" s="0" t="s">
        <v>1579</v>
      </c>
      <c r="M487" s="0" t="s">
        <v>1580</v>
      </c>
      <c r="N487" s="0" t="n">
        <v>1944</v>
      </c>
      <c r="O487" s="0" t="s">
        <v>1581</v>
      </c>
      <c r="P487" s="0" t="n">
        <v>1944</v>
      </c>
      <c r="Q487" s="0" t="s">
        <v>39</v>
      </c>
      <c r="R487" s="0" t="s">
        <v>1582</v>
      </c>
      <c r="S487" s="0" t="s">
        <v>1583</v>
      </c>
      <c r="V487" s="0" t="n">
        <v>1</v>
      </c>
      <c r="W487" s="0" t="n">
        <v>1</v>
      </c>
      <c r="X487" s="0" t="str">
        <f aca="false">"31811010343781"</f>
        <v>31811010343781</v>
      </c>
      <c r="Y487" s="0" t="s">
        <v>39</v>
      </c>
      <c r="Z487" s="0" t="s">
        <v>42</v>
      </c>
      <c r="AA487" s="0" t="s">
        <v>43</v>
      </c>
      <c r="AE487" s="1" t="s">
        <v>52</v>
      </c>
      <c r="AH487" s="1" t="s">
        <v>1584</v>
      </c>
    </row>
    <row r="488" customFormat="false" ht="12.8" hidden="false" customHeight="false" outlineLevel="0" collapsed="false">
      <c r="A488" s="0" t="n">
        <v>183311</v>
      </c>
      <c r="B488" s="0" t="n">
        <v>200597</v>
      </c>
      <c r="C488" s="0" t="n">
        <v>225421</v>
      </c>
      <c r="D488" s="0" t="s">
        <v>35</v>
      </c>
      <c r="E488" s="0" t="s">
        <v>35</v>
      </c>
      <c r="F488" s="0" t="s">
        <v>36</v>
      </c>
      <c r="G488" s="0" t="s">
        <v>37</v>
      </c>
      <c r="H488" s="0" t="s">
        <v>1585</v>
      </c>
      <c r="J488" s="0" t="s">
        <v>1586</v>
      </c>
      <c r="M488" s="0" t="s">
        <v>1587</v>
      </c>
      <c r="N488" s="0" t="n">
        <v>1955</v>
      </c>
      <c r="O488" s="0" t="s">
        <v>1588</v>
      </c>
      <c r="P488" s="0" t="n">
        <v>1955</v>
      </c>
      <c r="Q488" s="0" t="s">
        <v>39</v>
      </c>
      <c r="R488" s="0" t="s">
        <v>1589</v>
      </c>
      <c r="S488" s="0" t="s">
        <v>1590</v>
      </c>
      <c r="V488" s="0" t="n">
        <v>1</v>
      </c>
      <c r="W488" s="0" t="n">
        <v>1</v>
      </c>
      <c r="X488" s="0" t="str">
        <f aca="false">"31811010343773"</f>
        <v>31811010343773</v>
      </c>
      <c r="Y488" s="0" t="s">
        <v>39</v>
      </c>
      <c r="Z488" s="0" t="s">
        <v>42</v>
      </c>
      <c r="AA488" s="0" t="s">
        <v>43</v>
      </c>
      <c r="AE488" s="1" t="s">
        <v>52</v>
      </c>
    </row>
    <row r="489" customFormat="false" ht="12.8" hidden="false" customHeight="false" outlineLevel="0" collapsed="false">
      <c r="A489" s="0" t="n">
        <v>18641</v>
      </c>
      <c r="B489" s="0" t="n">
        <v>20927</v>
      </c>
      <c r="C489" s="0" t="n">
        <v>24549</v>
      </c>
      <c r="D489" s="0" t="s">
        <v>35</v>
      </c>
      <c r="E489" s="0" t="s">
        <v>35</v>
      </c>
      <c r="F489" s="0" t="s">
        <v>36</v>
      </c>
      <c r="G489" s="0" t="s">
        <v>37</v>
      </c>
      <c r="H489" s="0" t="s">
        <v>1591</v>
      </c>
      <c r="I489" s="0" t="s">
        <v>1592</v>
      </c>
      <c r="J489" s="0" t="s">
        <v>1593</v>
      </c>
      <c r="L489" s="1" t="s">
        <v>1594</v>
      </c>
      <c r="M489" s="0" t="s">
        <v>1595</v>
      </c>
      <c r="N489" s="0" t="s">
        <v>1596</v>
      </c>
      <c r="O489" s="0" t="s">
        <v>1597</v>
      </c>
      <c r="P489" s="0" t="n">
        <v>1982</v>
      </c>
      <c r="Q489" s="0" t="s">
        <v>39</v>
      </c>
      <c r="R489" s="0" t="s">
        <v>1598</v>
      </c>
      <c r="S489" s="0" t="s">
        <v>1599</v>
      </c>
      <c r="V489" s="0" t="n">
        <v>1</v>
      </c>
      <c r="W489" s="0" t="n">
        <v>1</v>
      </c>
      <c r="X489" s="0" t="str">
        <f aca="false">"31811010343765"</f>
        <v>31811010343765</v>
      </c>
      <c r="Y489" s="0" t="s">
        <v>39</v>
      </c>
      <c r="Z489" s="0" t="s">
        <v>42</v>
      </c>
      <c r="AA489" s="0" t="s">
        <v>43</v>
      </c>
      <c r="AE489" s="1" t="s">
        <v>52</v>
      </c>
    </row>
    <row r="490" customFormat="false" ht="12.8" hidden="false" customHeight="false" outlineLevel="0" collapsed="false">
      <c r="A490" s="0" t="n">
        <v>88319</v>
      </c>
      <c r="B490" s="0" t="n">
        <v>95559</v>
      </c>
      <c r="C490" s="0" t="n">
        <v>107252</v>
      </c>
      <c r="D490" s="0" t="s">
        <v>35</v>
      </c>
      <c r="E490" s="0" t="s">
        <v>35</v>
      </c>
      <c r="F490" s="0" t="s">
        <v>36</v>
      </c>
      <c r="G490" s="0" t="s">
        <v>37</v>
      </c>
      <c r="H490" s="0" t="s">
        <v>1600</v>
      </c>
      <c r="J490" s="0" t="s">
        <v>1601</v>
      </c>
      <c r="K490" s="0" t="s">
        <v>154</v>
      </c>
      <c r="L490" s="1" t="s">
        <v>1602</v>
      </c>
      <c r="M490" s="0" t="s">
        <v>1603</v>
      </c>
      <c r="N490" s="0" t="s">
        <v>880</v>
      </c>
      <c r="O490" s="0" t="s">
        <v>1604</v>
      </c>
      <c r="P490" s="0" t="n">
        <v>1984</v>
      </c>
      <c r="Q490" s="0" t="s">
        <v>39</v>
      </c>
      <c r="R490" s="0" t="s">
        <v>1605</v>
      </c>
      <c r="S490" s="0" t="s">
        <v>1606</v>
      </c>
      <c r="V490" s="0" t="n">
        <v>1</v>
      </c>
      <c r="W490" s="0" t="n">
        <v>1</v>
      </c>
      <c r="X490" s="0" t="str">
        <f aca="false">"31811010644535"</f>
        <v>31811010644535</v>
      </c>
      <c r="Y490" s="0" t="s">
        <v>39</v>
      </c>
      <c r="Z490" s="0" t="s">
        <v>42</v>
      </c>
      <c r="AA490" s="0" t="s">
        <v>622</v>
      </c>
      <c r="AE490" s="1" t="s">
        <v>52</v>
      </c>
      <c r="AF490" s="1" t="s">
        <v>433</v>
      </c>
      <c r="AH490" s="1" t="s">
        <v>1607</v>
      </c>
    </row>
    <row r="491" customFormat="false" ht="12.8" hidden="false" customHeight="false" outlineLevel="0" collapsed="false">
      <c r="A491" s="0" t="n">
        <v>496356</v>
      </c>
      <c r="B491" s="0" t="n">
        <v>477480</v>
      </c>
      <c r="C491" s="0" t="n">
        <v>535207</v>
      </c>
      <c r="D491" s="0" t="s">
        <v>35</v>
      </c>
      <c r="E491" s="0" t="s">
        <v>35</v>
      </c>
      <c r="F491" s="0" t="s">
        <v>36</v>
      </c>
      <c r="G491" s="0" t="s">
        <v>37</v>
      </c>
      <c r="H491" s="0" t="s">
        <v>1608</v>
      </c>
      <c r="I491" s="0" t="s">
        <v>1609</v>
      </c>
      <c r="J491" s="0" t="s">
        <v>1610</v>
      </c>
      <c r="M491" s="0" t="s">
        <v>1611</v>
      </c>
      <c r="N491" s="0" t="s">
        <v>1612</v>
      </c>
      <c r="O491" s="0" t="s">
        <v>1613</v>
      </c>
      <c r="P491" s="0" t="n">
        <v>1967</v>
      </c>
      <c r="Q491" s="0" t="s">
        <v>39</v>
      </c>
      <c r="R491" s="0" t="s">
        <v>1614</v>
      </c>
      <c r="S491" s="0" t="s">
        <v>1615</v>
      </c>
      <c r="V491" s="0" t="n">
        <v>1</v>
      </c>
      <c r="W491" s="0" t="n">
        <v>1</v>
      </c>
      <c r="X491" s="0" t="str">
        <f aca="false">"31811010343757"</f>
        <v>31811010343757</v>
      </c>
      <c r="Y491" s="0" t="s">
        <v>39</v>
      </c>
      <c r="Z491" s="0" t="s">
        <v>42</v>
      </c>
      <c r="AA491" s="0" t="s">
        <v>43</v>
      </c>
      <c r="AE491" s="1" t="s">
        <v>52</v>
      </c>
      <c r="AH491" s="1" t="s">
        <v>1569</v>
      </c>
    </row>
    <row r="492" customFormat="false" ht="12.8" hidden="false" customHeight="false" outlineLevel="0" collapsed="false">
      <c r="A492" s="0" t="n">
        <v>390293</v>
      </c>
      <c r="B492" s="0" t="n">
        <v>421922</v>
      </c>
      <c r="C492" s="0" t="n">
        <v>470845</v>
      </c>
      <c r="D492" s="0" t="s">
        <v>35</v>
      </c>
      <c r="E492" s="0" t="s">
        <v>35</v>
      </c>
      <c r="F492" s="0" t="s">
        <v>36</v>
      </c>
      <c r="G492" s="0" t="s">
        <v>37</v>
      </c>
      <c r="H492" s="0" t="s">
        <v>1616</v>
      </c>
      <c r="I492" s="0" t="s">
        <v>1617</v>
      </c>
      <c r="J492" s="0" t="s">
        <v>1618</v>
      </c>
      <c r="L492" s="1" t="s">
        <v>1619</v>
      </c>
      <c r="M492" s="0" t="s">
        <v>1620</v>
      </c>
      <c r="N492" s="0" t="n">
        <v>1991</v>
      </c>
      <c r="O492" s="0" t="s">
        <v>1621</v>
      </c>
      <c r="P492" s="0" t="n">
        <v>1991</v>
      </c>
      <c r="Q492" s="0" t="s">
        <v>39</v>
      </c>
      <c r="R492" s="0" t="s">
        <v>1622</v>
      </c>
      <c r="S492" s="0" t="s">
        <v>1623</v>
      </c>
      <c r="V492" s="0" t="n">
        <v>1</v>
      </c>
      <c r="W492" s="0" t="n">
        <v>1</v>
      </c>
      <c r="X492" s="0" t="str">
        <f aca="false">"31811010639220"</f>
        <v>31811010639220</v>
      </c>
      <c r="Y492" s="0" t="s">
        <v>39</v>
      </c>
      <c r="Z492" s="0" t="s">
        <v>42</v>
      </c>
      <c r="AA492" s="0" t="s">
        <v>622</v>
      </c>
      <c r="AE492" s="1" t="s">
        <v>52</v>
      </c>
      <c r="AF492" s="1" t="s">
        <v>433</v>
      </c>
    </row>
    <row r="493" customFormat="false" ht="12.8" hidden="false" customHeight="false" outlineLevel="0" collapsed="false">
      <c r="A493" s="0" t="n">
        <v>497311</v>
      </c>
      <c r="B493" s="0" t="n">
        <v>478446</v>
      </c>
      <c r="C493" s="0" t="n">
        <v>536237</v>
      </c>
      <c r="D493" s="0" t="s">
        <v>35</v>
      </c>
      <c r="E493" s="0" t="s">
        <v>35</v>
      </c>
      <c r="F493" s="0" t="s">
        <v>36</v>
      </c>
      <c r="G493" s="0" t="s">
        <v>500</v>
      </c>
      <c r="H493" s="0" t="s">
        <v>1624</v>
      </c>
      <c r="I493" s="0" t="s">
        <v>1625</v>
      </c>
      <c r="J493" s="0" t="s">
        <v>1626</v>
      </c>
      <c r="M493" s="0" t="s">
        <v>1627</v>
      </c>
      <c r="N493" s="0" t="s">
        <v>1628</v>
      </c>
      <c r="O493" s="0" t="s">
        <v>1629</v>
      </c>
      <c r="P493" s="0" t="n">
        <v>1966</v>
      </c>
      <c r="Q493" s="0" t="s">
        <v>39</v>
      </c>
      <c r="R493" s="0" t="s">
        <v>1630</v>
      </c>
      <c r="S493" s="0" t="s">
        <v>1631</v>
      </c>
      <c r="V493" s="0" t="n">
        <v>1</v>
      </c>
      <c r="W493" s="0" t="n">
        <v>1</v>
      </c>
      <c r="X493" s="0" t="str">
        <f aca="false">"31811010343732"</f>
        <v>31811010343732</v>
      </c>
      <c r="Y493" s="0" t="s">
        <v>39</v>
      </c>
      <c r="Z493" s="0" t="s">
        <v>42</v>
      </c>
      <c r="AA493" s="0" t="s">
        <v>43</v>
      </c>
      <c r="AE493" s="1" t="s">
        <v>52</v>
      </c>
    </row>
    <row r="494" customFormat="false" ht="12.8" hidden="false" customHeight="false" outlineLevel="0" collapsed="false">
      <c r="A494" s="0" t="n">
        <v>303833</v>
      </c>
      <c r="B494" s="0" t="n">
        <v>331342</v>
      </c>
      <c r="C494" s="0" t="n">
        <v>369989</v>
      </c>
      <c r="D494" s="0" t="s">
        <v>35</v>
      </c>
      <c r="E494" s="0" t="s">
        <v>35</v>
      </c>
      <c r="F494" s="0" t="s">
        <v>36</v>
      </c>
      <c r="G494" s="0" t="s">
        <v>37</v>
      </c>
      <c r="H494" s="0" t="s">
        <v>1632</v>
      </c>
      <c r="I494" s="0" t="s">
        <v>1633</v>
      </c>
      <c r="J494" s="0" t="s">
        <v>1632</v>
      </c>
      <c r="M494" s="0" t="s">
        <v>1634</v>
      </c>
      <c r="N494" s="0" t="n">
        <v>1963</v>
      </c>
      <c r="O494" s="0" t="s">
        <v>1635</v>
      </c>
      <c r="P494" s="0" t="n">
        <v>1963</v>
      </c>
      <c r="Q494" s="0" t="s">
        <v>39</v>
      </c>
      <c r="R494" s="0" t="s">
        <v>1636</v>
      </c>
      <c r="S494" s="0" t="s">
        <v>1637</v>
      </c>
      <c r="V494" s="0" t="n">
        <v>1</v>
      </c>
      <c r="W494" s="0" t="n">
        <v>1</v>
      </c>
      <c r="X494" s="0" t="str">
        <f aca="false">"31811010343914"</f>
        <v>31811010343914</v>
      </c>
      <c r="Y494" s="0" t="s">
        <v>39</v>
      </c>
      <c r="Z494" s="0" t="s">
        <v>42</v>
      </c>
      <c r="AA494" s="0" t="s">
        <v>43</v>
      </c>
      <c r="AE494" s="1" t="s">
        <v>52</v>
      </c>
    </row>
    <row r="495" customFormat="false" ht="12.8" hidden="false" customHeight="false" outlineLevel="0" collapsed="false">
      <c r="A495" s="0" t="n">
        <v>450105</v>
      </c>
      <c r="B495" s="0" t="n">
        <v>536124</v>
      </c>
      <c r="C495" s="0" t="n">
        <v>602877</v>
      </c>
      <c r="D495" s="0" t="s">
        <v>35</v>
      </c>
      <c r="E495" s="0" t="s">
        <v>35</v>
      </c>
      <c r="F495" s="0" t="s">
        <v>36</v>
      </c>
      <c r="G495" s="0" t="s">
        <v>37</v>
      </c>
      <c r="H495" s="0" t="s">
        <v>1638</v>
      </c>
      <c r="I495" s="0" t="s">
        <v>1639</v>
      </c>
      <c r="J495" s="0" t="s">
        <v>1640</v>
      </c>
      <c r="M495" s="0" t="s">
        <v>1641</v>
      </c>
      <c r="N495" s="0" t="s">
        <v>1642</v>
      </c>
      <c r="O495" s="0" t="s">
        <v>1643</v>
      </c>
      <c r="P495" s="0" t="n">
        <v>1964</v>
      </c>
      <c r="Q495" s="0" t="s">
        <v>39</v>
      </c>
      <c r="R495" s="0" t="s">
        <v>1644</v>
      </c>
      <c r="S495" s="0" t="s">
        <v>1645</v>
      </c>
      <c r="V495" s="0" t="n">
        <v>1</v>
      </c>
      <c r="W495" s="0" t="n">
        <v>1</v>
      </c>
      <c r="X495" s="0" t="str">
        <f aca="false">"31811010343922"</f>
        <v>31811010343922</v>
      </c>
      <c r="Y495" s="0" t="s">
        <v>39</v>
      </c>
      <c r="Z495" s="0" t="s">
        <v>42</v>
      </c>
      <c r="AA495" s="0" t="s">
        <v>43</v>
      </c>
      <c r="AE495" s="1" t="s">
        <v>52</v>
      </c>
    </row>
    <row r="496" customFormat="false" ht="12.8" hidden="false" customHeight="false" outlineLevel="0" collapsed="false">
      <c r="A496" s="0" t="n">
        <v>389206</v>
      </c>
      <c r="B496" s="0" t="n">
        <v>420840</v>
      </c>
      <c r="C496" s="0" t="n">
        <v>469695</v>
      </c>
      <c r="D496" s="0" t="s">
        <v>35</v>
      </c>
      <c r="E496" s="0" t="s">
        <v>35</v>
      </c>
      <c r="F496" s="0" t="s">
        <v>36</v>
      </c>
      <c r="G496" s="0" t="s">
        <v>37</v>
      </c>
      <c r="H496" s="0" t="s">
        <v>1646</v>
      </c>
      <c r="J496" s="0" t="s">
        <v>1647</v>
      </c>
      <c r="M496" s="0" t="s">
        <v>1648</v>
      </c>
      <c r="N496" s="0" t="s">
        <v>1612</v>
      </c>
      <c r="O496" s="0" t="s">
        <v>1649</v>
      </c>
      <c r="P496" s="0" t="n">
        <v>1967</v>
      </c>
      <c r="Q496" s="0" t="s">
        <v>39</v>
      </c>
      <c r="R496" s="0" t="s">
        <v>1650</v>
      </c>
      <c r="S496" s="0" t="s">
        <v>1651</v>
      </c>
      <c r="V496" s="0" t="n">
        <v>1</v>
      </c>
      <c r="W496" s="0" t="n">
        <v>1</v>
      </c>
      <c r="X496" s="0" t="str">
        <f aca="false">"31811010343856"</f>
        <v>31811010343856</v>
      </c>
      <c r="Y496" s="0" t="s">
        <v>39</v>
      </c>
      <c r="Z496" s="0" t="s">
        <v>42</v>
      </c>
      <c r="AA496" s="0" t="s">
        <v>43</v>
      </c>
      <c r="AE496" s="1" t="s">
        <v>52</v>
      </c>
    </row>
    <row r="497" customFormat="false" ht="12.8" hidden="false" customHeight="false" outlineLevel="0" collapsed="false">
      <c r="A497" s="0" t="n">
        <v>495793</v>
      </c>
      <c r="B497" s="0" t="n">
        <v>476912</v>
      </c>
      <c r="C497" s="0" t="n">
        <v>534485</v>
      </c>
      <c r="D497" s="0" t="s">
        <v>35</v>
      </c>
      <c r="E497" s="0" t="s">
        <v>35</v>
      </c>
      <c r="F497" s="0" t="s">
        <v>36</v>
      </c>
      <c r="G497" s="0" t="s">
        <v>500</v>
      </c>
      <c r="H497" s="0" t="s">
        <v>1652</v>
      </c>
      <c r="I497" s="0" t="s">
        <v>1653</v>
      </c>
      <c r="J497" s="0" t="s">
        <v>1654</v>
      </c>
      <c r="M497" s="0" t="s">
        <v>1655</v>
      </c>
      <c r="N497" s="0" t="n">
        <v>1974</v>
      </c>
      <c r="O497" s="0" t="s">
        <v>1656</v>
      </c>
      <c r="P497" s="0" t="n">
        <v>1974</v>
      </c>
      <c r="Q497" s="0" t="s">
        <v>39</v>
      </c>
      <c r="R497" s="0" t="s">
        <v>1657</v>
      </c>
      <c r="S497" s="0" t="s">
        <v>1658</v>
      </c>
      <c r="T497" s="0" t="s">
        <v>1659</v>
      </c>
      <c r="V497" s="0" t="n">
        <v>1</v>
      </c>
      <c r="W497" s="0" t="n">
        <v>1</v>
      </c>
      <c r="X497" s="0" t="str">
        <f aca="false">"31811012013564"</f>
        <v>31811012013564</v>
      </c>
      <c r="Y497" s="0" t="s">
        <v>39</v>
      </c>
      <c r="Z497" s="0" t="s">
        <v>42</v>
      </c>
      <c r="AA497" s="0" t="s">
        <v>43</v>
      </c>
      <c r="AE497" s="1" t="s">
        <v>52</v>
      </c>
    </row>
    <row r="498" customFormat="false" ht="12.8" hidden="false" customHeight="false" outlineLevel="0" collapsed="false">
      <c r="A498" s="0" t="n">
        <v>39441</v>
      </c>
      <c r="B498" s="0" t="n">
        <v>42904</v>
      </c>
      <c r="C498" s="0" t="n">
        <v>47562</v>
      </c>
      <c r="D498" s="0" t="s">
        <v>35</v>
      </c>
      <c r="E498" s="0" t="s">
        <v>35</v>
      </c>
      <c r="F498" s="0" t="s">
        <v>36</v>
      </c>
      <c r="G498" s="0" t="s">
        <v>37</v>
      </c>
      <c r="H498" s="0" t="s">
        <v>1660</v>
      </c>
      <c r="I498" s="0" t="s">
        <v>1617</v>
      </c>
      <c r="J498" s="0" t="s">
        <v>1661</v>
      </c>
      <c r="L498" s="0" t="n">
        <v>841903271</v>
      </c>
      <c r="M498" s="0" t="s">
        <v>1662</v>
      </c>
      <c r="N498" s="0" t="n">
        <v>1977</v>
      </c>
      <c r="O498" s="0" t="s">
        <v>1663</v>
      </c>
      <c r="P498" s="0" t="n">
        <v>1977</v>
      </c>
      <c r="Q498" s="0" t="s">
        <v>39</v>
      </c>
      <c r="R498" s="0" t="s">
        <v>1664</v>
      </c>
      <c r="S498" s="0" t="s">
        <v>1665</v>
      </c>
      <c r="V498" s="0" t="n">
        <v>1</v>
      </c>
      <c r="W498" s="0" t="n">
        <v>1</v>
      </c>
      <c r="X498" s="0" t="str">
        <f aca="false">"31811010351693"</f>
        <v>31811010351693</v>
      </c>
      <c r="Y498" s="0" t="s">
        <v>39</v>
      </c>
      <c r="Z498" s="0" t="s">
        <v>42</v>
      </c>
      <c r="AA498" s="0" t="s">
        <v>43</v>
      </c>
      <c r="AE498" s="1" t="s">
        <v>52</v>
      </c>
    </row>
    <row r="499" customFormat="false" ht="12.8" hidden="false" customHeight="false" outlineLevel="0" collapsed="false">
      <c r="A499" s="0" t="n">
        <v>51825</v>
      </c>
      <c r="B499" s="0" t="n">
        <v>56121</v>
      </c>
      <c r="C499" s="0" t="n">
        <v>61865</v>
      </c>
      <c r="D499" s="0" t="s">
        <v>35</v>
      </c>
      <c r="E499" s="0" t="s">
        <v>35</v>
      </c>
      <c r="F499" s="0" t="s">
        <v>36</v>
      </c>
      <c r="G499" s="0" t="s">
        <v>37</v>
      </c>
      <c r="H499" s="0" t="s">
        <v>1666</v>
      </c>
      <c r="J499" s="0" t="s">
        <v>1666</v>
      </c>
      <c r="L499" s="0" t="n">
        <v>9231010360</v>
      </c>
      <c r="M499" s="0" t="s">
        <v>1667</v>
      </c>
      <c r="N499" s="0" t="n">
        <v>1973</v>
      </c>
      <c r="O499" s="0" t="s">
        <v>1668</v>
      </c>
      <c r="P499" s="0" t="n">
        <v>1973</v>
      </c>
      <c r="Q499" s="0" t="s">
        <v>39</v>
      </c>
      <c r="R499" s="0" t="s">
        <v>1669</v>
      </c>
      <c r="S499" s="0" t="s">
        <v>1670</v>
      </c>
      <c r="V499" s="0" t="n">
        <v>1</v>
      </c>
      <c r="W499" s="0" t="n">
        <v>1</v>
      </c>
      <c r="X499" s="0" t="str">
        <f aca="false">"31811010343807"</f>
        <v>31811010343807</v>
      </c>
      <c r="Y499" s="0" t="s">
        <v>39</v>
      </c>
      <c r="Z499" s="0" t="s">
        <v>42</v>
      </c>
      <c r="AA499" s="0" t="s">
        <v>43</v>
      </c>
      <c r="AE499" s="1" t="s">
        <v>52</v>
      </c>
      <c r="AH499" s="1" t="s">
        <v>1671</v>
      </c>
    </row>
    <row r="500" customFormat="false" ht="12.8" hidden="false" customHeight="false" outlineLevel="0" collapsed="false">
      <c r="A500" s="0" t="n">
        <v>296393</v>
      </c>
      <c r="B500" s="0" t="n">
        <v>323535</v>
      </c>
      <c r="C500" s="0" t="n">
        <v>361535</v>
      </c>
      <c r="D500" s="0" t="s">
        <v>35</v>
      </c>
      <c r="E500" s="0" t="s">
        <v>35</v>
      </c>
      <c r="F500" s="0" t="s">
        <v>36</v>
      </c>
      <c r="G500" s="0" t="s">
        <v>37</v>
      </c>
      <c r="H500" s="0" t="s">
        <v>1672</v>
      </c>
      <c r="I500" s="0" t="s">
        <v>1673</v>
      </c>
      <c r="J500" s="0" t="s">
        <v>1672</v>
      </c>
      <c r="M500" s="0" t="s">
        <v>1674</v>
      </c>
      <c r="N500" s="0" t="s">
        <v>1675</v>
      </c>
      <c r="O500" s="0" t="s">
        <v>1676</v>
      </c>
      <c r="P500" s="0" t="n">
        <v>1945</v>
      </c>
      <c r="Q500" s="0" t="s">
        <v>39</v>
      </c>
      <c r="R500" s="0" t="s">
        <v>1677</v>
      </c>
      <c r="S500" s="0" t="s">
        <v>1678</v>
      </c>
      <c r="V500" s="0" t="n">
        <v>1</v>
      </c>
      <c r="W500" s="0" t="n">
        <v>1</v>
      </c>
      <c r="X500" s="0" t="str">
        <f aca="false">"31811010343815"</f>
        <v>31811010343815</v>
      </c>
      <c r="Y500" s="0" t="s">
        <v>39</v>
      </c>
      <c r="Z500" s="0" t="s">
        <v>42</v>
      </c>
      <c r="AA500" s="0" t="s">
        <v>43</v>
      </c>
      <c r="AE500" s="1" t="s">
        <v>52</v>
      </c>
    </row>
    <row r="501" customFormat="false" ht="12.8" hidden="false" customHeight="false" outlineLevel="0" collapsed="false">
      <c r="A501" s="0" t="n">
        <v>173713</v>
      </c>
      <c r="B501" s="0" t="n">
        <v>189789</v>
      </c>
      <c r="C501" s="0" t="n">
        <v>213023</v>
      </c>
      <c r="D501" s="0" t="s">
        <v>35</v>
      </c>
      <c r="E501" s="0" t="s">
        <v>35</v>
      </c>
      <c r="F501" s="0" t="s">
        <v>36</v>
      </c>
      <c r="G501" s="0" t="s">
        <v>37</v>
      </c>
      <c r="H501" s="0" t="s">
        <v>1679</v>
      </c>
      <c r="I501" s="0" t="s">
        <v>1427</v>
      </c>
      <c r="J501" s="0" t="s">
        <v>1680</v>
      </c>
      <c r="M501" s="0" t="s">
        <v>1681</v>
      </c>
      <c r="N501" s="0" t="s">
        <v>1469</v>
      </c>
      <c r="O501" s="0" t="s">
        <v>1682</v>
      </c>
      <c r="P501" s="0" t="n">
        <v>1978</v>
      </c>
      <c r="Q501" s="0" t="s">
        <v>39</v>
      </c>
      <c r="R501" s="0" t="s">
        <v>1683</v>
      </c>
      <c r="S501" s="0" t="s">
        <v>1684</v>
      </c>
      <c r="V501" s="0" t="n">
        <v>1</v>
      </c>
      <c r="W501" s="0" t="n">
        <v>1</v>
      </c>
      <c r="X501" s="0" t="str">
        <f aca="false">"31811010343831"</f>
        <v>31811010343831</v>
      </c>
      <c r="Y501" s="0" t="s">
        <v>39</v>
      </c>
      <c r="Z501" s="0" t="s">
        <v>42</v>
      </c>
      <c r="AA501" s="0" t="s">
        <v>43</v>
      </c>
      <c r="AE501" s="1" t="s">
        <v>52</v>
      </c>
    </row>
    <row r="502" customFormat="false" ht="12.8" hidden="false" customHeight="false" outlineLevel="0" collapsed="false">
      <c r="A502" s="0" t="n">
        <v>236163</v>
      </c>
      <c r="B502" s="0" t="n">
        <v>258817</v>
      </c>
      <c r="C502" s="0" t="n">
        <v>291206</v>
      </c>
      <c r="D502" s="0" t="s">
        <v>35</v>
      </c>
      <c r="E502" s="0" t="s">
        <v>35</v>
      </c>
      <c r="F502" s="0" t="s">
        <v>36</v>
      </c>
      <c r="G502" s="0" t="s">
        <v>37</v>
      </c>
      <c r="H502" s="0" t="s">
        <v>1685</v>
      </c>
      <c r="I502" s="0" t="s">
        <v>1686</v>
      </c>
      <c r="J502" s="0" t="s">
        <v>1687</v>
      </c>
      <c r="M502" s="0" t="s">
        <v>1688</v>
      </c>
      <c r="N502" s="0" t="n">
        <v>1942</v>
      </c>
      <c r="O502" s="0" t="s">
        <v>1689</v>
      </c>
      <c r="P502" s="0" t="n">
        <v>1942</v>
      </c>
      <c r="Q502" s="0" t="s">
        <v>39</v>
      </c>
      <c r="R502" s="0" t="s">
        <v>1690</v>
      </c>
      <c r="S502" s="0" t="s">
        <v>1691</v>
      </c>
      <c r="V502" s="0" t="n">
        <v>1</v>
      </c>
      <c r="W502" s="0" t="n">
        <v>1</v>
      </c>
      <c r="X502" s="0" t="str">
        <f aca="false">"31811010343849"</f>
        <v>31811010343849</v>
      </c>
      <c r="Y502" s="0" t="s">
        <v>39</v>
      </c>
      <c r="Z502" s="0" t="s">
        <v>42</v>
      </c>
      <c r="AA502" s="0" t="s">
        <v>43</v>
      </c>
      <c r="AE502" s="1" t="s">
        <v>52</v>
      </c>
      <c r="AH502" s="1" t="s">
        <v>1692</v>
      </c>
    </row>
    <row r="503" customFormat="false" ht="12.8" hidden="false" customHeight="false" outlineLevel="0" collapsed="false">
      <c r="A503" s="0" t="n">
        <v>538905</v>
      </c>
      <c r="B503" s="0" t="n">
        <v>577162</v>
      </c>
      <c r="C503" s="0" t="n">
        <v>653170</v>
      </c>
      <c r="D503" s="0" t="s">
        <v>35</v>
      </c>
      <c r="E503" s="0" t="s">
        <v>35</v>
      </c>
      <c r="F503" s="0" t="s">
        <v>36</v>
      </c>
      <c r="G503" s="0" t="s">
        <v>37</v>
      </c>
      <c r="H503" s="0" t="s">
        <v>1693</v>
      </c>
      <c r="J503" s="0" t="s">
        <v>1694</v>
      </c>
      <c r="L503" s="0" t="s">
        <v>1695</v>
      </c>
      <c r="M503" s="0" t="s">
        <v>1696</v>
      </c>
      <c r="N503" s="0" t="n">
        <v>1999</v>
      </c>
      <c r="O503" s="0" t="s">
        <v>1697</v>
      </c>
      <c r="P503" s="0" t="n">
        <v>1999</v>
      </c>
      <c r="Q503" s="0" t="s">
        <v>39</v>
      </c>
      <c r="R503" s="0" t="s">
        <v>1698</v>
      </c>
      <c r="S503" s="0" t="s">
        <v>1699</v>
      </c>
      <c r="V503" s="0" t="n">
        <v>1</v>
      </c>
      <c r="W503" s="0" t="n">
        <v>1</v>
      </c>
      <c r="X503" s="0" t="str">
        <f aca="false">"31811011766725"</f>
        <v>31811011766725</v>
      </c>
      <c r="Y503" s="0" t="s">
        <v>39</v>
      </c>
      <c r="Z503" s="0" t="s">
        <v>42</v>
      </c>
      <c r="AA503" s="0" t="s">
        <v>43</v>
      </c>
      <c r="AE503" s="1" t="s">
        <v>52</v>
      </c>
      <c r="AF503" s="1" t="s">
        <v>1700</v>
      </c>
      <c r="AH503" s="1" t="s">
        <v>1701</v>
      </c>
    </row>
    <row r="504" customFormat="false" ht="12.8" hidden="false" customHeight="false" outlineLevel="0" collapsed="false">
      <c r="A504" s="0" t="n">
        <v>655901</v>
      </c>
      <c r="B504" s="0" t="n">
        <v>700132</v>
      </c>
      <c r="C504" s="0" t="n">
        <v>774333</v>
      </c>
      <c r="D504" s="0" t="s">
        <v>35</v>
      </c>
      <c r="E504" s="0" t="s">
        <v>35</v>
      </c>
      <c r="F504" s="0" t="s">
        <v>36</v>
      </c>
      <c r="G504" s="0" t="s">
        <v>37</v>
      </c>
      <c r="H504" s="0" t="s">
        <v>1702</v>
      </c>
      <c r="J504" s="0" t="s">
        <v>1703</v>
      </c>
      <c r="L504" s="0" t="s">
        <v>1704</v>
      </c>
      <c r="M504" s="0" t="s">
        <v>1705</v>
      </c>
      <c r="N504" s="0" t="s">
        <v>1706</v>
      </c>
      <c r="O504" s="0" t="s">
        <v>1707</v>
      </c>
      <c r="P504" s="0" t="n">
        <v>2007</v>
      </c>
      <c r="Q504" s="0" t="s">
        <v>39</v>
      </c>
      <c r="R504" s="0" t="s">
        <v>1708</v>
      </c>
      <c r="S504" s="0" t="s">
        <v>1709</v>
      </c>
      <c r="V504" s="0" t="n">
        <v>1</v>
      </c>
      <c r="W504" s="0" t="n">
        <v>1</v>
      </c>
      <c r="X504" s="0" t="str">
        <f aca="false">"31811012381219"</f>
        <v>31811012381219</v>
      </c>
      <c r="Y504" s="0" t="s">
        <v>39</v>
      </c>
      <c r="Z504" s="0" t="s">
        <v>42</v>
      </c>
      <c r="AA504" s="0" t="s">
        <v>43</v>
      </c>
      <c r="AE504" s="1" t="s">
        <v>1710</v>
      </c>
      <c r="AF504" s="1" t="s">
        <v>1711</v>
      </c>
      <c r="AG504" s="0" t="n">
        <v>11983</v>
      </c>
      <c r="AH504" s="1" t="s">
        <v>1712</v>
      </c>
    </row>
    <row r="505" customFormat="false" ht="12.8" hidden="false" customHeight="false" outlineLevel="0" collapsed="false">
      <c r="A505" s="0" t="n">
        <v>189396</v>
      </c>
      <c r="B505" s="0" t="n">
        <v>207467</v>
      </c>
      <c r="C505" s="0" t="n">
        <v>233530</v>
      </c>
      <c r="D505" s="0" t="s">
        <v>35</v>
      </c>
      <c r="E505" s="0" t="s">
        <v>35</v>
      </c>
      <c r="F505" s="0" t="s">
        <v>36</v>
      </c>
      <c r="G505" s="0" t="s">
        <v>37</v>
      </c>
      <c r="H505" s="0" t="s">
        <v>1713</v>
      </c>
      <c r="J505" s="0" t="s">
        <v>1714</v>
      </c>
      <c r="M505" s="0" t="s">
        <v>1715</v>
      </c>
      <c r="N505" s="0" t="s">
        <v>880</v>
      </c>
      <c r="O505" s="0" t="s">
        <v>1716</v>
      </c>
      <c r="P505" s="0" t="n">
        <v>1984</v>
      </c>
      <c r="Q505" s="0" t="s">
        <v>39</v>
      </c>
      <c r="R505" s="0" t="s">
        <v>1717</v>
      </c>
      <c r="S505" s="0" t="s">
        <v>1718</v>
      </c>
      <c r="V505" s="0" t="n">
        <v>1</v>
      </c>
      <c r="W505" s="0" t="n">
        <v>1</v>
      </c>
      <c r="X505" s="0" t="str">
        <f aca="false">"31811010343971"</f>
        <v>31811010343971</v>
      </c>
      <c r="Y505" s="0" t="s">
        <v>39</v>
      </c>
      <c r="Z505" s="0" t="s">
        <v>42</v>
      </c>
      <c r="AA505" s="0" t="s">
        <v>43</v>
      </c>
      <c r="AE505" s="1" t="s">
        <v>52</v>
      </c>
      <c r="AH505" s="1" t="s">
        <v>1719</v>
      </c>
    </row>
    <row r="506" customFormat="false" ht="12.8" hidden="false" customHeight="false" outlineLevel="0" collapsed="false">
      <c r="A506" s="0" t="n">
        <v>255048</v>
      </c>
      <c r="B506" s="0" t="n">
        <v>279410</v>
      </c>
      <c r="C506" s="0" t="n">
        <v>313900</v>
      </c>
      <c r="D506" s="0" t="s">
        <v>35</v>
      </c>
      <c r="E506" s="0" t="s">
        <v>35</v>
      </c>
      <c r="F506" s="0" t="s">
        <v>36</v>
      </c>
      <c r="G506" s="0" t="s">
        <v>37</v>
      </c>
      <c r="H506" s="0" t="s">
        <v>1720</v>
      </c>
      <c r="J506" s="0" t="s">
        <v>1721</v>
      </c>
      <c r="L506" s="0" t="n">
        <v>405025688</v>
      </c>
      <c r="M506" s="0" t="s">
        <v>1722</v>
      </c>
      <c r="N506" s="0" t="n">
        <v>1971</v>
      </c>
      <c r="O506" s="0" t="s">
        <v>393</v>
      </c>
      <c r="P506" s="0" t="n">
        <v>1971</v>
      </c>
      <c r="Q506" s="0" t="s">
        <v>39</v>
      </c>
      <c r="R506" s="0" t="s">
        <v>1723</v>
      </c>
      <c r="S506" s="0" t="s">
        <v>1724</v>
      </c>
      <c r="V506" s="0" t="n">
        <v>1</v>
      </c>
      <c r="W506" s="0" t="n">
        <v>1</v>
      </c>
      <c r="X506" s="0" t="str">
        <f aca="false">"31811010343930"</f>
        <v>31811010343930</v>
      </c>
      <c r="Y506" s="0" t="s">
        <v>39</v>
      </c>
      <c r="Z506" s="0" t="s">
        <v>42</v>
      </c>
      <c r="AA506" s="0" t="s">
        <v>43</v>
      </c>
      <c r="AE506" s="1" t="s">
        <v>52</v>
      </c>
    </row>
    <row r="507" customFormat="false" ht="12.8" hidden="false" customHeight="false" outlineLevel="0" collapsed="false">
      <c r="A507" s="0" t="n">
        <v>66106</v>
      </c>
      <c r="B507" s="0" t="n">
        <v>71712</v>
      </c>
      <c r="C507" s="0" t="n">
        <v>79121</v>
      </c>
      <c r="D507" s="0" t="s">
        <v>35</v>
      </c>
      <c r="E507" s="0" t="s">
        <v>35</v>
      </c>
      <c r="F507" s="0" t="s">
        <v>36</v>
      </c>
      <c r="G507" s="0" t="s">
        <v>37</v>
      </c>
      <c r="H507" s="0" t="s">
        <v>1725</v>
      </c>
      <c r="J507" s="0" t="s">
        <v>1726</v>
      </c>
      <c r="L507" s="0" t="s">
        <v>1727</v>
      </c>
      <c r="M507" s="0" t="s">
        <v>1728</v>
      </c>
      <c r="N507" s="0" t="n">
        <v>1979</v>
      </c>
      <c r="O507" s="0" t="s">
        <v>1668</v>
      </c>
      <c r="P507" s="0" t="n">
        <v>1979</v>
      </c>
      <c r="Q507" s="0" t="s">
        <v>39</v>
      </c>
      <c r="R507" s="0" t="s">
        <v>1729</v>
      </c>
      <c r="S507" s="0" t="s">
        <v>1730</v>
      </c>
      <c r="V507" s="0" t="n">
        <v>1</v>
      </c>
      <c r="W507" s="0" t="n">
        <v>1</v>
      </c>
      <c r="X507" s="0" t="str">
        <f aca="false">"31811010343948"</f>
        <v>31811010343948</v>
      </c>
      <c r="Y507" s="0" t="s">
        <v>39</v>
      </c>
      <c r="Z507" s="0" t="s">
        <v>42</v>
      </c>
      <c r="AA507" s="0" t="s">
        <v>43</v>
      </c>
      <c r="AE507" s="1" t="s">
        <v>52</v>
      </c>
    </row>
    <row r="508" customFormat="false" ht="12.8" hidden="false" customHeight="false" outlineLevel="0" collapsed="false">
      <c r="A508" s="0" t="n">
        <v>453858</v>
      </c>
      <c r="B508" s="0" t="n">
        <v>540129</v>
      </c>
      <c r="C508" s="0" t="n">
        <v>607632</v>
      </c>
      <c r="D508" s="0" t="s">
        <v>35</v>
      </c>
      <c r="E508" s="0" t="s">
        <v>35</v>
      </c>
      <c r="F508" s="0" t="s">
        <v>36</v>
      </c>
      <c r="G508" s="0" t="s">
        <v>37</v>
      </c>
      <c r="H508" s="0" t="s">
        <v>1731</v>
      </c>
      <c r="I508" s="0" t="s">
        <v>1732</v>
      </c>
      <c r="J508" s="0" t="s">
        <v>1733</v>
      </c>
      <c r="M508" s="0" t="s">
        <v>1734</v>
      </c>
      <c r="N508" s="0" t="n">
        <v>1969</v>
      </c>
      <c r="O508" s="0" t="s">
        <v>1735</v>
      </c>
      <c r="P508" s="0" t="n">
        <v>1969</v>
      </c>
      <c r="Q508" s="0" t="s">
        <v>39</v>
      </c>
      <c r="R508" s="0" t="s">
        <v>1736</v>
      </c>
      <c r="S508" s="0" t="s">
        <v>1737</v>
      </c>
      <c r="V508" s="0" t="n">
        <v>1</v>
      </c>
      <c r="W508" s="0" t="n">
        <v>1</v>
      </c>
      <c r="X508" s="0" t="str">
        <f aca="false">"31811010343872"</f>
        <v>31811010343872</v>
      </c>
      <c r="Y508" s="0" t="s">
        <v>39</v>
      </c>
      <c r="Z508" s="0" t="s">
        <v>42</v>
      </c>
      <c r="AA508" s="0" t="s">
        <v>43</v>
      </c>
      <c r="AE508" s="1" t="s">
        <v>52</v>
      </c>
    </row>
    <row r="509" customFormat="false" ht="12.8" hidden="false" customHeight="false" outlineLevel="0" collapsed="false">
      <c r="A509" s="0" t="n">
        <v>314364</v>
      </c>
      <c r="B509" s="0" t="n">
        <v>342420</v>
      </c>
      <c r="C509" s="0" t="n">
        <v>382437</v>
      </c>
      <c r="D509" s="0" t="s">
        <v>35</v>
      </c>
      <c r="E509" s="0" t="s">
        <v>35</v>
      </c>
      <c r="F509" s="0" t="s">
        <v>36</v>
      </c>
      <c r="G509" s="0" t="s">
        <v>37</v>
      </c>
      <c r="H509" s="0" t="s">
        <v>1738</v>
      </c>
      <c r="J509" s="0" t="s">
        <v>1739</v>
      </c>
      <c r="M509" s="0" t="s">
        <v>1740</v>
      </c>
      <c r="N509" s="0" t="n">
        <v>1957</v>
      </c>
      <c r="O509" s="0" t="s">
        <v>1741</v>
      </c>
      <c r="P509" s="0" t="n">
        <v>1849</v>
      </c>
      <c r="Q509" s="0" t="s">
        <v>39</v>
      </c>
      <c r="R509" s="0" t="s">
        <v>1742</v>
      </c>
      <c r="S509" s="0" t="s">
        <v>1743</v>
      </c>
      <c r="V509" s="0" t="n">
        <v>1</v>
      </c>
      <c r="W509" s="0" t="n">
        <v>1</v>
      </c>
      <c r="X509" s="0" t="str">
        <f aca="false">"31811010343716"</f>
        <v>31811010343716</v>
      </c>
      <c r="Y509" s="0" t="s">
        <v>39</v>
      </c>
      <c r="Z509" s="0" t="s">
        <v>42</v>
      </c>
      <c r="AA509" s="0" t="s">
        <v>43</v>
      </c>
      <c r="AE509" s="1" t="s">
        <v>52</v>
      </c>
    </row>
    <row r="510" customFormat="false" ht="12.8" hidden="false" customHeight="false" outlineLevel="0" collapsed="false">
      <c r="A510" s="0" t="n">
        <v>140594</v>
      </c>
      <c r="B510" s="0" t="n">
        <v>151859</v>
      </c>
      <c r="C510" s="0" t="n">
        <v>169854</v>
      </c>
      <c r="D510" s="0" t="s">
        <v>35</v>
      </c>
      <c r="E510" s="0" t="s">
        <v>35</v>
      </c>
      <c r="F510" s="0" t="s">
        <v>480</v>
      </c>
      <c r="G510" s="0" t="s">
        <v>37</v>
      </c>
      <c r="H510" s="0" t="s">
        <v>1744</v>
      </c>
      <c r="J510" s="0" t="s">
        <v>1744</v>
      </c>
      <c r="M510" s="0" t="s">
        <v>1745</v>
      </c>
      <c r="O510" s="0" t="s">
        <v>1746</v>
      </c>
      <c r="P510" s="0" t="n">
        <v>1926</v>
      </c>
      <c r="Q510" s="0" t="s">
        <v>39</v>
      </c>
      <c r="R510" s="0" t="s">
        <v>1747</v>
      </c>
      <c r="S510" s="0" t="s">
        <v>1748</v>
      </c>
      <c r="T510" s="0" t="s">
        <v>1749</v>
      </c>
      <c r="V510" s="0" t="n">
        <v>1</v>
      </c>
      <c r="W510" s="0" t="n">
        <v>1</v>
      </c>
      <c r="X510" s="0" t="str">
        <f aca="false">"31811003178566"</f>
        <v>31811003178566</v>
      </c>
      <c r="Y510" s="0" t="s">
        <v>39</v>
      </c>
      <c r="Z510" s="0" t="s">
        <v>42</v>
      </c>
      <c r="AA510" s="0" t="s">
        <v>43</v>
      </c>
      <c r="AE510" s="1" t="s">
        <v>52</v>
      </c>
    </row>
    <row r="511" customFormat="false" ht="12.8" hidden="false" customHeight="false" outlineLevel="0" collapsed="false">
      <c r="A511" s="0" t="n">
        <v>133120</v>
      </c>
      <c r="B511" s="0" t="n">
        <v>143373</v>
      </c>
      <c r="C511" s="0" t="n">
        <v>159226</v>
      </c>
      <c r="D511" s="0" t="s">
        <v>35</v>
      </c>
      <c r="E511" s="0" t="s">
        <v>35</v>
      </c>
      <c r="F511" s="0" t="s">
        <v>480</v>
      </c>
      <c r="G511" s="0" t="s">
        <v>37</v>
      </c>
      <c r="H511" s="0" t="s">
        <v>1750</v>
      </c>
      <c r="J511" s="0" t="s">
        <v>1750</v>
      </c>
      <c r="M511" s="0" t="s">
        <v>1751</v>
      </c>
      <c r="O511" s="0" t="s">
        <v>1752</v>
      </c>
      <c r="P511" s="0" t="n">
        <v>1955</v>
      </c>
      <c r="Q511" s="0" t="s">
        <v>39</v>
      </c>
      <c r="R511" s="0" t="s">
        <v>1753</v>
      </c>
      <c r="S511" s="0" t="s">
        <v>1754</v>
      </c>
      <c r="T511" s="0" t="s">
        <v>1755</v>
      </c>
      <c r="V511" s="0" t="n">
        <v>1</v>
      </c>
      <c r="W511" s="0" t="n">
        <v>1</v>
      </c>
      <c r="X511" s="0" t="str">
        <f aca="false">"31811012013531"</f>
        <v>31811012013531</v>
      </c>
      <c r="Y511" s="0" t="s">
        <v>39</v>
      </c>
      <c r="Z511" s="0" t="s">
        <v>42</v>
      </c>
      <c r="AA511" s="0" t="s">
        <v>622</v>
      </c>
      <c r="AE511" s="1" t="s">
        <v>52</v>
      </c>
    </row>
    <row r="512" customFormat="false" ht="12.8" hidden="false" customHeight="false" outlineLevel="0" collapsed="false">
      <c r="A512" s="0" t="n">
        <v>237507</v>
      </c>
      <c r="B512" s="0" t="n">
        <v>260308</v>
      </c>
      <c r="C512" s="0" t="n">
        <v>292764</v>
      </c>
      <c r="D512" s="0" t="s">
        <v>35</v>
      </c>
      <c r="E512" s="0" t="s">
        <v>35</v>
      </c>
      <c r="F512" s="0" t="s">
        <v>480</v>
      </c>
      <c r="G512" s="0" t="s">
        <v>37</v>
      </c>
      <c r="H512" s="0" t="s">
        <v>1756</v>
      </c>
      <c r="J512" s="0" t="s">
        <v>1756</v>
      </c>
      <c r="K512" s="0" t="s">
        <v>1757</v>
      </c>
      <c r="M512" s="0" t="s">
        <v>1758</v>
      </c>
      <c r="N512" s="0" t="s">
        <v>1759</v>
      </c>
      <c r="O512" s="0" t="s">
        <v>1760</v>
      </c>
      <c r="P512" s="0" t="n">
        <v>1895</v>
      </c>
      <c r="Q512" s="0" t="s">
        <v>39</v>
      </c>
      <c r="R512" s="0" t="s">
        <v>1761</v>
      </c>
      <c r="S512" s="0" t="s">
        <v>1762</v>
      </c>
      <c r="T512" s="0" t="s">
        <v>1763</v>
      </c>
      <c r="V512" s="0" t="n">
        <v>1</v>
      </c>
      <c r="W512" s="0" t="n">
        <v>1</v>
      </c>
      <c r="X512" s="0" t="str">
        <f aca="false">"31811010344243"</f>
        <v>31811010344243</v>
      </c>
      <c r="Y512" s="0" t="s">
        <v>39</v>
      </c>
      <c r="Z512" s="0" t="s">
        <v>42</v>
      </c>
      <c r="AA512" s="0" t="s">
        <v>43</v>
      </c>
      <c r="AE512" s="1" t="s">
        <v>52</v>
      </c>
    </row>
    <row r="513" customFormat="false" ht="12.8" hidden="false" customHeight="false" outlineLevel="0" collapsed="false">
      <c r="A513" s="0" t="n">
        <v>237507</v>
      </c>
      <c r="B513" s="0" t="n">
        <v>260308</v>
      </c>
      <c r="C513" s="0" t="n">
        <v>292765</v>
      </c>
      <c r="D513" s="0" t="s">
        <v>35</v>
      </c>
      <c r="E513" s="0" t="s">
        <v>35</v>
      </c>
      <c r="F513" s="0" t="s">
        <v>480</v>
      </c>
      <c r="G513" s="0" t="s">
        <v>37</v>
      </c>
      <c r="H513" s="0" t="s">
        <v>1756</v>
      </c>
      <c r="J513" s="0" t="s">
        <v>1756</v>
      </c>
      <c r="K513" s="0" t="s">
        <v>1757</v>
      </c>
      <c r="M513" s="0" t="s">
        <v>1758</v>
      </c>
      <c r="N513" s="0" t="s">
        <v>1759</v>
      </c>
      <c r="O513" s="0" t="s">
        <v>1760</v>
      </c>
      <c r="P513" s="0" t="n">
        <v>1895</v>
      </c>
      <c r="Q513" s="0" t="s">
        <v>39</v>
      </c>
      <c r="R513" s="0" t="s">
        <v>1761</v>
      </c>
      <c r="S513" s="0" t="s">
        <v>1762</v>
      </c>
      <c r="T513" s="0" t="s">
        <v>68</v>
      </c>
      <c r="V513" s="0" t="n">
        <v>1</v>
      </c>
      <c r="W513" s="0" t="n">
        <v>1</v>
      </c>
      <c r="X513" s="0" t="str">
        <f aca="false">"31811010344177"</f>
        <v>31811010344177</v>
      </c>
      <c r="Y513" s="0" t="s">
        <v>39</v>
      </c>
      <c r="Z513" s="0" t="s">
        <v>42</v>
      </c>
      <c r="AA513" s="0" t="s">
        <v>43</v>
      </c>
      <c r="AE513" s="1" t="s">
        <v>52</v>
      </c>
    </row>
    <row r="514" customFormat="false" ht="12.8" hidden="false" customHeight="false" outlineLevel="0" collapsed="false">
      <c r="A514" s="0" t="n">
        <v>237507</v>
      </c>
      <c r="B514" s="0" t="n">
        <v>260308</v>
      </c>
      <c r="C514" s="0" t="n">
        <v>292766</v>
      </c>
      <c r="D514" s="0" t="s">
        <v>35</v>
      </c>
      <c r="E514" s="0" t="s">
        <v>35</v>
      </c>
      <c r="F514" s="0" t="s">
        <v>480</v>
      </c>
      <c r="G514" s="0" t="s">
        <v>37</v>
      </c>
      <c r="H514" s="0" t="s">
        <v>1756</v>
      </c>
      <c r="J514" s="0" t="s">
        <v>1756</v>
      </c>
      <c r="K514" s="0" t="s">
        <v>1757</v>
      </c>
      <c r="M514" s="0" t="s">
        <v>1758</v>
      </c>
      <c r="N514" s="0" t="s">
        <v>1759</v>
      </c>
      <c r="O514" s="0" t="s">
        <v>1760</v>
      </c>
      <c r="P514" s="0" t="n">
        <v>1895</v>
      </c>
      <c r="Q514" s="0" t="s">
        <v>39</v>
      </c>
      <c r="R514" s="0" t="s">
        <v>1761</v>
      </c>
      <c r="S514" s="0" t="s">
        <v>1762</v>
      </c>
      <c r="T514" s="0" t="s">
        <v>67</v>
      </c>
      <c r="V514" s="0" t="n">
        <v>1</v>
      </c>
      <c r="W514" s="0" t="n">
        <v>1</v>
      </c>
      <c r="X514" s="0" t="str">
        <f aca="false">"31811010344185"</f>
        <v>31811010344185</v>
      </c>
      <c r="Y514" s="0" t="s">
        <v>39</v>
      </c>
      <c r="Z514" s="0" t="s">
        <v>42</v>
      </c>
      <c r="AA514" s="0" t="s">
        <v>43</v>
      </c>
      <c r="AE514" s="1" t="s">
        <v>52</v>
      </c>
    </row>
    <row r="515" customFormat="false" ht="12.8" hidden="false" customHeight="false" outlineLevel="0" collapsed="false">
      <c r="A515" s="0" t="n">
        <v>237507</v>
      </c>
      <c r="B515" s="0" t="n">
        <v>260308</v>
      </c>
      <c r="C515" s="0" t="n">
        <v>292767</v>
      </c>
      <c r="D515" s="0" t="s">
        <v>35</v>
      </c>
      <c r="E515" s="0" t="s">
        <v>35</v>
      </c>
      <c r="F515" s="0" t="s">
        <v>480</v>
      </c>
      <c r="G515" s="0" t="s">
        <v>37</v>
      </c>
      <c r="H515" s="0" t="s">
        <v>1756</v>
      </c>
      <c r="J515" s="0" t="s">
        <v>1756</v>
      </c>
      <c r="K515" s="0" t="s">
        <v>1757</v>
      </c>
      <c r="M515" s="0" t="s">
        <v>1758</v>
      </c>
      <c r="N515" s="0" t="s">
        <v>1759</v>
      </c>
      <c r="O515" s="0" t="s">
        <v>1760</v>
      </c>
      <c r="P515" s="0" t="n">
        <v>1895</v>
      </c>
      <c r="Q515" s="0" t="s">
        <v>39</v>
      </c>
      <c r="R515" s="0" t="s">
        <v>1761</v>
      </c>
      <c r="S515" s="0" t="s">
        <v>1762</v>
      </c>
      <c r="T515" s="0" t="s">
        <v>66</v>
      </c>
      <c r="V515" s="0" t="n">
        <v>1</v>
      </c>
      <c r="W515" s="0" t="n">
        <v>1</v>
      </c>
      <c r="X515" s="0" t="str">
        <f aca="false">"31811010344193"</f>
        <v>31811010344193</v>
      </c>
      <c r="Y515" s="0" t="s">
        <v>39</v>
      </c>
      <c r="Z515" s="0" t="s">
        <v>42</v>
      </c>
      <c r="AA515" s="0" t="s">
        <v>43</v>
      </c>
      <c r="AE515" s="1" t="s">
        <v>52</v>
      </c>
    </row>
    <row r="516" customFormat="false" ht="12.8" hidden="false" customHeight="false" outlineLevel="0" collapsed="false">
      <c r="A516" s="0" t="n">
        <v>237507</v>
      </c>
      <c r="B516" s="0" t="n">
        <v>260308</v>
      </c>
      <c r="C516" s="0" t="n">
        <v>292768</v>
      </c>
      <c r="D516" s="0" t="s">
        <v>35</v>
      </c>
      <c r="E516" s="0" t="s">
        <v>35</v>
      </c>
      <c r="F516" s="0" t="s">
        <v>480</v>
      </c>
      <c r="G516" s="0" t="s">
        <v>37</v>
      </c>
      <c r="H516" s="0" t="s">
        <v>1756</v>
      </c>
      <c r="J516" s="0" t="s">
        <v>1756</v>
      </c>
      <c r="K516" s="0" t="s">
        <v>1757</v>
      </c>
      <c r="M516" s="0" t="s">
        <v>1758</v>
      </c>
      <c r="N516" s="0" t="s">
        <v>1759</v>
      </c>
      <c r="O516" s="0" t="s">
        <v>1760</v>
      </c>
      <c r="P516" s="0" t="n">
        <v>1895</v>
      </c>
      <c r="Q516" s="0" t="s">
        <v>39</v>
      </c>
      <c r="R516" s="0" t="s">
        <v>1761</v>
      </c>
      <c r="S516" s="0" t="s">
        <v>1762</v>
      </c>
      <c r="T516" s="0" t="s">
        <v>65</v>
      </c>
      <c r="V516" s="0" t="n">
        <v>1</v>
      </c>
      <c r="W516" s="0" t="n">
        <v>1</v>
      </c>
      <c r="X516" s="0" t="str">
        <f aca="false">"31811010344201"</f>
        <v>31811010344201</v>
      </c>
      <c r="Y516" s="0" t="s">
        <v>39</v>
      </c>
      <c r="Z516" s="0" t="s">
        <v>42</v>
      </c>
      <c r="AA516" s="0" t="s">
        <v>43</v>
      </c>
      <c r="AE516" s="1" t="s">
        <v>52</v>
      </c>
    </row>
    <row r="517" customFormat="false" ht="12.8" hidden="false" customHeight="false" outlineLevel="0" collapsed="false">
      <c r="A517" s="0" t="n">
        <v>237507</v>
      </c>
      <c r="B517" s="0" t="n">
        <v>260308</v>
      </c>
      <c r="C517" s="0" t="n">
        <v>292769</v>
      </c>
      <c r="D517" s="0" t="s">
        <v>35</v>
      </c>
      <c r="E517" s="0" t="s">
        <v>35</v>
      </c>
      <c r="F517" s="0" t="s">
        <v>480</v>
      </c>
      <c r="G517" s="0" t="s">
        <v>37</v>
      </c>
      <c r="H517" s="0" t="s">
        <v>1756</v>
      </c>
      <c r="J517" s="0" t="s">
        <v>1756</v>
      </c>
      <c r="K517" s="0" t="s">
        <v>1757</v>
      </c>
      <c r="M517" s="0" t="s">
        <v>1758</v>
      </c>
      <c r="N517" s="0" t="s">
        <v>1759</v>
      </c>
      <c r="O517" s="0" t="s">
        <v>1760</v>
      </c>
      <c r="P517" s="0" t="n">
        <v>1895</v>
      </c>
      <c r="Q517" s="0" t="s">
        <v>39</v>
      </c>
      <c r="R517" s="0" t="s">
        <v>1761</v>
      </c>
      <c r="S517" s="0" t="s">
        <v>1762</v>
      </c>
      <c r="T517" s="0" t="s">
        <v>64</v>
      </c>
      <c r="V517" s="0" t="n">
        <v>1</v>
      </c>
      <c r="W517" s="0" t="n">
        <v>1</v>
      </c>
      <c r="X517" s="0" t="str">
        <f aca="false">"31811010344136"</f>
        <v>31811010344136</v>
      </c>
      <c r="Y517" s="0" t="s">
        <v>39</v>
      </c>
      <c r="Z517" s="0" t="s">
        <v>42</v>
      </c>
      <c r="AA517" s="0" t="s">
        <v>43</v>
      </c>
      <c r="AE517" s="1" t="s">
        <v>52</v>
      </c>
    </row>
    <row r="518" customFormat="false" ht="12.8" hidden="false" customHeight="false" outlineLevel="0" collapsed="false">
      <c r="A518" s="0" t="n">
        <v>237507</v>
      </c>
      <c r="B518" s="0" t="n">
        <v>260308</v>
      </c>
      <c r="C518" s="0" t="n">
        <v>292770</v>
      </c>
      <c r="D518" s="0" t="s">
        <v>35</v>
      </c>
      <c r="E518" s="0" t="s">
        <v>35</v>
      </c>
      <c r="F518" s="0" t="s">
        <v>480</v>
      </c>
      <c r="G518" s="0" t="s">
        <v>37</v>
      </c>
      <c r="H518" s="0" t="s">
        <v>1756</v>
      </c>
      <c r="J518" s="0" t="s">
        <v>1756</v>
      </c>
      <c r="K518" s="0" t="s">
        <v>1757</v>
      </c>
      <c r="M518" s="0" t="s">
        <v>1758</v>
      </c>
      <c r="N518" s="0" t="s">
        <v>1759</v>
      </c>
      <c r="O518" s="0" t="s">
        <v>1760</v>
      </c>
      <c r="P518" s="0" t="n">
        <v>1895</v>
      </c>
      <c r="Q518" s="0" t="s">
        <v>39</v>
      </c>
      <c r="R518" s="0" t="s">
        <v>1761</v>
      </c>
      <c r="S518" s="0" t="s">
        <v>1762</v>
      </c>
      <c r="T518" s="0" t="s">
        <v>63</v>
      </c>
      <c r="V518" s="0" t="n">
        <v>1</v>
      </c>
      <c r="W518" s="0" t="n">
        <v>1</v>
      </c>
      <c r="X518" s="0" t="str">
        <f aca="false">"31811010344144"</f>
        <v>31811010344144</v>
      </c>
      <c r="Y518" s="0" t="s">
        <v>39</v>
      </c>
      <c r="Z518" s="0" t="s">
        <v>42</v>
      </c>
      <c r="AA518" s="0" t="s">
        <v>43</v>
      </c>
      <c r="AE518" s="1" t="s">
        <v>52</v>
      </c>
    </row>
    <row r="519" customFormat="false" ht="12.8" hidden="false" customHeight="false" outlineLevel="0" collapsed="false">
      <c r="A519" s="0" t="n">
        <v>237507</v>
      </c>
      <c r="B519" s="0" t="n">
        <v>260308</v>
      </c>
      <c r="C519" s="0" t="n">
        <v>292771</v>
      </c>
      <c r="D519" s="0" t="s">
        <v>35</v>
      </c>
      <c r="E519" s="0" t="s">
        <v>35</v>
      </c>
      <c r="F519" s="0" t="s">
        <v>480</v>
      </c>
      <c r="G519" s="0" t="s">
        <v>37</v>
      </c>
      <c r="H519" s="0" t="s">
        <v>1756</v>
      </c>
      <c r="J519" s="0" t="s">
        <v>1756</v>
      </c>
      <c r="K519" s="0" t="s">
        <v>1757</v>
      </c>
      <c r="M519" s="0" t="s">
        <v>1758</v>
      </c>
      <c r="N519" s="0" t="s">
        <v>1759</v>
      </c>
      <c r="O519" s="0" t="s">
        <v>1760</v>
      </c>
      <c r="P519" s="0" t="n">
        <v>1895</v>
      </c>
      <c r="Q519" s="0" t="s">
        <v>39</v>
      </c>
      <c r="R519" s="0" t="s">
        <v>1761</v>
      </c>
      <c r="S519" s="0" t="s">
        <v>1762</v>
      </c>
      <c r="T519" s="0" t="s">
        <v>539</v>
      </c>
      <c r="V519" s="0" t="n">
        <v>1</v>
      </c>
      <c r="W519" s="0" t="n">
        <v>1</v>
      </c>
      <c r="X519" s="0" t="str">
        <f aca="false">"31811010344169"</f>
        <v>31811010344169</v>
      </c>
      <c r="Y519" s="0" t="s">
        <v>39</v>
      </c>
      <c r="Z519" s="0" t="s">
        <v>42</v>
      </c>
      <c r="AA519" s="0" t="s">
        <v>43</v>
      </c>
      <c r="AE519" s="1" t="s">
        <v>52</v>
      </c>
    </row>
    <row r="520" customFormat="false" ht="12.8" hidden="false" customHeight="false" outlineLevel="0" collapsed="false">
      <c r="A520" s="0" t="n">
        <v>237507</v>
      </c>
      <c r="B520" s="0" t="n">
        <v>260308</v>
      </c>
      <c r="C520" s="0" t="n">
        <v>292772</v>
      </c>
      <c r="D520" s="0" t="s">
        <v>35</v>
      </c>
      <c r="E520" s="0" t="s">
        <v>35</v>
      </c>
      <c r="F520" s="0" t="s">
        <v>480</v>
      </c>
      <c r="G520" s="0" t="s">
        <v>37</v>
      </c>
      <c r="H520" s="0" t="s">
        <v>1756</v>
      </c>
      <c r="J520" s="0" t="s">
        <v>1756</v>
      </c>
      <c r="K520" s="0" t="s">
        <v>1757</v>
      </c>
      <c r="M520" s="0" t="s">
        <v>1758</v>
      </c>
      <c r="N520" s="0" t="s">
        <v>1759</v>
      </c>
      <c r="O520" s="0" t="s">
        <v>1760</v>
      </c>
      <c r="P520" s="0" t="n">
        <v>1895</v>
      </c>
      <c r="Q520" s="0" t="s">
        <v>39</v>
      </c>
      <c r="R520" s="0" t="s">
        <v>1761</v>
      </c>
      <c r="S520" s="0" t="s">
        <v>1762</v>
      </c>
      <c r="T520" s="0" t="s">
        <v>62</v>
      </c>
      <c r="V520" s="0" t="n">
        <v>1</v>
      </c>
      <c r="W520" s="0" t="n">
        <v>1</v>
      </c>
      <c r="X520" s="0" t="str">
        <f aca="false">"31811010344151"</f>
        <v>31811010344151</v>
      </c>
      <c r="Y520" s="0" t="s">
        <v>39</v>
      </c>
      <c r="Z520" s="0" t="s">
        <v>42</v>
      </c>
      <c r="AA520" s="0" t="s">
        <v>43</v>
      </c>
      <c r="AE520" s="1" t="s">
        <v>52</v>
      </c>
    </row>
    <row r="521" customFormat="false" ht="12.8" hidden="false" customHeight="false" outlineLevel="0" collapsed="false">
      <c r="A521" s="0" t="n">
        <v>237507</v>
      </c>
      <c r="B521" s="0" t="n">
        <v>260308</v>
      </c>
      <c r="C521" s="0" t="n">
        <v>292773</v>
      </c>
      <c r="D521" s="0" t="s">
        <v>35</v>
      </c>
      <c r="E521" s="0" t="s">
        <v>35</v>
      </c>
      <c r="F521" s="0" t="s">
        <v>480</v>
      </c>
      <c r="G521" s="0" t="s">
        <v>37</v>
      </c>
      <c r="H521" s="0" t="s">
        <v>1756</v>
      </c>
      <c r="J521" s="0" t="s">
        <v>1756</v>
      </c>
      <c r="K521" s="0" t="s">
        <v>1757</v>
      </c>
      <c r="M521" s="0" t="s">
        <v>1758</v>
      </c>
      <c r="N521" s="0" t="s">
        <v>1759</v>
      </c>
      <c r="O521" s="0" t="s">
        <v>1760</v>
      </c>
      <c r="P521" s="0" t="n">
        <v>1895</v>
      </c>
      <c r="Q521" s="0" t="s">
        <v>39</v>
      </c>
      <c r="R521" s="0" t="s">
        <v>1761</v>
      </c>
      <c r="S521" s="0" t="s">
        <v>1762</v>
      </c>
      <c r="T521" s="0" t="s">
        <v>61</v>
      </c>
      <c r="V521" s="0" t="n">
        <v>1</v>
      </c>
      <c r="W521" s="0" t="n">
        <v>1</v>
      </c>
      <c r="X521" s="0" t="str">
        <f aca="false">"31811010344094"</f>
        <v>31811010344094</v>
      </c>
      <c r="Y521" s="0" t="s">
        <v>39</v>
      </c>
      <c r="Z521" s="0" t="s">
        <v>42</v>
      </c>
      <c r="AA521" s="0" t="s">
        <v>43</v>
      </c>
      <c r="AE521" s="1" t="s">
        <v>52</v>
      </c>
    </row>
    <row r="522" customFormat="false" ht="12.8" hidden="false" customHeight="false" outlineLevel="0" collapsed="false">
      <c r="A522" s="0" t="n">
        <v>237507</v>
      </c>
      <c r="B522" s="0" t="n">
        <v>260308</v>
      </c>
      <c r="C522" s="0" t="n">
        <v>292774</v>
      </c>
      <c r="D522" s="0" t="s">
        <v>35</v>
      </c>
      <c r="E522" s="0" t="s">
        <v>35</v>
      </c>
      <c r="F522" s="0" t="s">
        <v>480</v>
      </c>
      <c r="G522" s="0" t="s">
        <v>37</v>
      </c>
      <c r="H522" s="0" t="s">
        <v>1756</v>
      </c>
      <c r="J522" s="0" t="s">
        <v>1756</v>
      </c>
      <c r="K522" s="0" t="s">
        <v>1757</v>
      </c>
      <c r="M522" s="0" t="s">
        <v>1758</v>
      </c>
      <c r="N522" s="0" t="s">
        <v>1759</v>
      </c>
      <c r="O522" s="0" t="s">
        <v>1760</v>
      </c>
      <c r="P522" s="0" t="n">
        <v>1895</v>
      </c>
      <c r="Q522" s="0" t="s">
        <v>39</v>
      </c>
      <c r="R522" s="0" t="s">
        <v>1761</v>
      </c>
      <c r="S522" s="0" t="s">
        <v>1762</v>
      </c>
      <c r="T522" s="0" t="s">
        <v>60</v>
      </c>
      <c r="V522" s="0" t="n">
        <v>1</v>
      </c>
      <c r="W522" s="0" t="n">
        <v>1</v>
      </c>
      <c r="X522" s="0" t="str">
        <f aca="false">"31811010344102"</f>
        <v>31811010344102</v>
      </c>
      <c r="Y522" s="0" t="s">
        <v>39</v>
      </c>
      <c r="Z522" s="0" t="s">
        <v>42</v>
      </c>
      <c r="AA522" s="0" t="s">
        <v>43</v>
      </c>
      <c r="AE522" s="1" t="s">
        <v>52</v>
      </c>
    </row>
    <row r="523" customFormat="false" ht="12.8" hidden="false" customHeight="false" outlineLevel="0" collapsed="false">
      <c r="A523" s="0" t="n">
        <v>237507</v>
      </c>
      <c r="B523" s="0" t="n">
        <v>260308</v>
      </c>
      <c r="C523" s="0" t="n">
        <v>292775</v>
      </c>
      <c r="D523" s="0" t="s">
        <v>35</v>
      </c>
      <c r="E523" s="0" t="s">
        <v>35</v>
      </c>
      <c r="F523" s="0" t="s">
        <v>480</v>
      </c>
      <c r="G523" s="0" t="s">
        <v>37</v>
      </c>
      <c r="H523" s="0" t="s">
        <v>1756</v>
      </c>
      <c r="J523" s="0" t="s">
        <v>1756</v>
      </c>
      <c r="K523" s="0" t="s">
        <v>1757</v>
      </c>
      <c r="M523" s="0" t="s">
        <v>1758</v>
      </c>
      <c r="N523" s="0" t="s">
        <v>1759</v>
      </c>
      <c r="O523" s="0" t="s">
        <v>1760</v>
      </c>
      <c r="P523" s="0" t="n">
        <v>1895</v>
      </c>
      <c r="Q523" s="0" t="s">
        <v>39</v>
      </c>
      <c r="R523" s="0" t="s">
        <v>1761</v>
      </c>
      <c r="S523" s="0" t="s">
        <v>1762</v>
      </c>
      <c r="T523" s="0" t="s">
        <v>58</v>
      </c>
      <c r="V523" s="0" t="n">
        <v>1</v>
      </c>
      <c r="W523" s="0" t="n">
        <v>1</v>
      </c>
      <c r="X523" s="0" t="str">
        <f aca="false">"31811010344110"</f>
        <v>31811010344110</v>
      </c>
      <c r="Y523" s="0" t="s">
        <v>39</v>
      </c>
      <c r="Z523" s="0" t="s">
        <v>42</v>
      </c>
      <c r="AA523" s="0" t="s">
        <v>43</v>
      </c>
      <c r="AE523" s="1" t="s">
        <v>52</v>
      </c>
    </row>
    <row r="524" customFormat="false" ht="12.8" hidden="false" customHeight="false" outlineLevel="0" collapsed="false">
      <c r="A524" s="0" t="n">
        <v>237507</v>
      </c>
      <c r="B524" s="0" t="n">
        <v>260308</v>
      </c>
      <c r="C524" s="0" t="n">
        <v>292776</v>
      </c>
      <c r="D524" s="0" t="s">
        <v>35</v>
      </c>
      <c r="E524" s="0" t="s">
        <v>35</v>
      </c>
      <c r="F524" s="0" t="s">
        <v>480</v>
      </c>
      <c r="G524" s="0" t="s">
        <v>37</v>
      </c>
      <c r="H524" s="0" t="s">
        <v>1756</v>
      </c>
      <c r="J524" s="0" t="s">
        <v>1756</v>
      </c>
      <c r="K524" s="0" t="s">
        <v>1757</v>
      </c>
      <c r="M524" s="0" t="s">
        <v>1758</v>
      </c>
      <c r="N524" s="0" t="s">
        <v>1759</v>
      </c>
      <c r="O524" s="0" t="s">
        <v>1760</v>
      </c>
      <c r="P524" s="0" t="n">
        <v>1895</v>
      </c>
      <c r="Q524" s="0" t="s">
        <v>39</v>
      </c>
      <c r="R524" s="0" t="s">
        <v>1761</v>
      </c>
      <c r="S524" s="0" t="s">
        <v>1762</v>
      </c>
      <c r="T524" s="0" t="s">
        <v>57</v>
      </c>
      <c r="V524" s="0" t="n">
        <v>1</v>
      </c>
      <c r="W524" s="0" t="n">
        <v>1</v>
      </c>
      <c r="X524" s="0" t="str">
        <f aca="false">"31811010344128"</f>
        <v>31811010344128</v>
      </c>
      <c r="Y524" s="0" t="s">
        <v>39</v>
      </c>
      <c r="Z524" s="0" t="s">
        <v>42</v>
      </c>
      <c r="AA524" s="0" t="s">
        <v>43</v>
      </c>
      <c r="AE524" s="1" t="s">
        <v>52</v>
      </c>
    </row>
    <row r="525" customFormat="false" ht="12.8" hidden="false" customHeight="false" outlineLevel="0" collapsed="false">
      <c r="A525" s="0" t="n">
        <v>237507</v>
      </c>
      <c r="B525" s="0" t="n">
        <v>260308</v>
      </c>
      <c r="C525" s="0" t="n">
        <v>292777</v>
      </c>
      <c r="D525" s="0" t="s">
        <v>35</v>
      </c>
      <c r="E525" s="0" t="s">
        <v>35</v>
      </c>
      <c r="F525" s="0" t="s">
        <v>480</v>
      </c>
      <c r="G525" s="0" t="s">
        <v>37</v>
      </c>
      <c r="H525" s="0" t="s">
        <v>1756</v>
      </c>
      <c r="J525" s="0" t="s">
        <v>1756</v>
      </c>
      <c r="K525" s="0" t="s">
        <v>1757</v>
      </c>
      <c r="M525" s="0" t="s">
        <v>1758</v>
      </c>
      <c r="N525" s="0" t="s">
        <v>1759</v>
      </c>
      <c r="O525" s="0" t="s">
        <v>1760</v>
      </c>
      <c r="P525" s="0" t="n">
        <v>1895</v>
      </c>
      <c r="Q525" s="0" t="s">
        <v>39</v>
      </c>
      <c r="R525" s="0" t="s">
        <v>1761</v>
      </c>
      <c r="S525" s="0" t="s">
        <v>1762</v>
      </c>
      <c r="T525" s="0" t="s">
        <v>56</v>
      </c>
      <c r="V525" s="0" t="n">
        <v>1</v>
      </c>
      <c r="W525" s="0" t="n">
        <v>1</v>
      </c>
      <c r="X525" s="0" t="str">
        <f aca="false">"31811010344052"</f>
        <v>31811010344052</v>
      </c>
      <c r="Y525" s="0" t="s">
        <v>39</v>
      </c>
      <c r="Z525" s="0" t="s">
        <v>42</v>
      </c>
      <c r="AA525" s="0" t="s">
        <v>43</v>
      </c>
      <c r="AE525" s="1" t="s">
        <v>52</v>
      </c>
    </row>
    <row r="526" customFormat="false" ht="12.8" hidden="false" customHeight="false" outlineLevel="0" collapsed="false">
      <c r="A526" s="0" t="n">
        <v>237507</v>
      </c>
      <c r="B526" s="0" t="n">
        <v>260308</v>
      </c>
      <c r="C526" s="0" t="n">
        <v>292778</v>
      </c>
      <c r="D526" s="0" t="s">
        <v>35</v>
      </c>
      <c r="E526" s="0" t="s">
        <v>35</v>
      </c>
      <c r="F526" s="0" t="s">
        <v>480</v>
      </c>
      <c r="G526" s="0" t="s">
        <v>37</v>
      </c>
      <c r="H526" s="0" t="s">
        <v>1756</v>
      </c>
      <c r="J526" s="0" t="s">
        <v>1756</v>
      </c>
      <c r="K526" s="0" t="s">
        <v>1757</v>
      </c>
      <c r="M526" s="0" t="s">
        <v>1758</v>
      </c>
      <c r="N526" s="0" t="s">
        <v>1759</v>
      </c>
      <c r="O526" s="0" t="s">
        <v>1760</v>
      </c>
      <c r="P526" s="0" t="n">
        <v>1895</v>
      </c>
      <c r="Q526" s="0" t="s">
        <v>39</v>
      </c>
      <c r="R526" s="0" t="s">
        <v>1761</v>
      </c>
      <c r="S526" s="0" t="s">
        <v>1762</v>
      </c>
      <c r="T526" s="0" t="s">
        <v>511</v>
      </c>
      <c r="V526" s="0" t="n">
        <v>1</v>
      </c>
      <c r="W526" s="0" t="n">
        <v>1</v>
      </c>
      <c r="X526" s="0" t="str">
        <f aca="false">"31811010344060"</f>
        <v>31811010344060</v>
      </c>
      <c r="Y526" s="0" t="s">
        <v>39</v>
      </c>
      <c r="Z526" s="0" t="s">
        <v>42</v>
      </c>
      <c r="AA526" s="0" t="s">
        <v>43</v>
      </c>
      <c r="AE526" s="1" t="s">
        <v>52</v>
      </c>
    </row>
    <row r="527" customFormat="false" ht="12.8" hidden="false" customHeight="false" outlineLevel="0" collapsed="false">
      <c r="A527" s="0" t="n">
        <v>237507</v>
      </c>
      <c r="B527" s="0" t="n">
        <v>260308</v>
      </c>
      <c r="C527" s="0" t="n">
        <v>292779</v>
      </c>
      <c r="D527" s="0" t="s">
        <v>35</v>
      </c>
      <c r="E527" s="0" t="s">
        <v>35</v>
      </c>
      <c r="F527" s="0" t="s">
        <v>480</v>
      </c>
      <c r="G527" s="0" t="s">
        <v>37</v>
      </c>
      <c r="H527" s="0" t="s">
        <v>1756</v>
      </c>
      <c r="J527" s="0" t="s">
        <v>1756</v>
      </c>
      <c r="K527" s="0" t="s">
        <v>1757</v>
      </c>
      <c r="M527" s="0" t="s">
        <v>1758</v>
      </c>
      <c r="N527" s="0" t="s">
        <v>1759</v>
      </c>
      <c r="O527" s="0" t="s">
        <v>1760</v>
      </c>
      <c r="P527" s="0" t="n">
        <v>1895</v>
      </c>
      <c r="Q527" s="0" t="s">
        <v>39</v>
      </c>
      <c r="R527" s="0" t="s">
        <v>1761</v>
      </c>
      <c r="S527" s="0" t="s">
        <v>1762</v>
      </c>
      <c r="T527" s="0" t="s">
        <v>55</v>
      </c>
      <c r="V527" s="0" t="n">
        <v>1</v>
      </c>
      <c r="W527" s="0" t="n">
        <v>1</v>
      </c>
      <c r="X527" s="0" t="str">
        <f aca="false">"31811010344078"</f>
        <v>31811010344078</v>
      </c>
      <c r="Y527" s="0" t="s">
        <v>39</v>
      </c>
      <c r="Z527" s="0" t="s">
        <v>42</v>
      </c>
      <c r="AA527" s="0" t="s">
        <v>43</v>
      </c>
      <c r="AE527" s="1" t="s">
        <v>52</v>
      </c>
    </row>
    <row r="528" customFormat="false" ht="12.8" hidden="false" customHeight="false" outlineLevel="0" collapsed="false">
      <c r="A528" s="0" t="n">
        <v>237507</v>
      </c>
      <c r="B528" s="0" t="n">
        <v>260308</v>
      </c>
      <c r="C528" s="0" t="n">
        <v>292780</v>
      </c>
      <c r="D528" s="0" t="s">
        <v>35</v>
      </c>
      <c r="E528" s="0" t="s">
        <v>35</v>
      </c>
      <c r="F528" s="0" t="s">
        <v>480</v>
      </c>
      <c r="G528" s="0" t="s">
        <v>37</v>
      </c>
      <c r="H528" s="0" t="s">
        <v>1756</v>
      </c>
      <c r="J528" s="0" t="s">
        <v>1756</v>
      </c>
      <c r="K528" s="0" t="s">
        <v>1757</v>
      </c>
      <c r="M528" s="0" t="s">
        <v>1758</v>
      </c>
      <c r="N528" s="0" t="s">
        <v>1759</v>
      </c>
      <c r="O528" s="0" t="s">
        <v>1760</v>
      </c>
      <c r="P528" s="0" t="n">
        <v>1895</v>
      </c>
      <c r="Q528" s="0" t="s">
        <v>39</v>
      </c>
      <c r="R528" s="0" t="s">
        <v>1761</v>
      </c>
      <c r="S528" s="0" t="s">
        <v>1762</v>
      </c>
      <c r="T528" s="0" t="s">
        <v>510</v>
      </c>
      <c r="V528" s="0" t="n">
        <v>1</v>
      </c>
      <c r="W528" s="0" t="n">
        <v>1</v>
      </c>
      <c r="X528" s="0" t="str">
        <f aca="false">"31811010344086"</f>
        <v>31811010344086</v>
      </c>
      <c r="Y528" s="0" t="s">
        <v>39</v>
      </c>
      <c r="Z528" s="0" t="s">
        <v>42</v>
      </c>
      <c r="AA528" s="0" t="s">
        <v>43</v>
      </c>
      <c r="AE528" s="1" t="s">
        <v>52</v>
      </c>
    </row>
    <row r="529" customFormat="false" ht="12.8" hidden="false" customHeight="false" outlineLevel="0" collapsed="false">
      <c r="A529" s="0" t="n">
        <v>237507</v>
      </c>
      <c r="B529" s="0" t="n">
        <v>260308</v>
      </c>
      <c r="C529" s="0" t="n">
        <v>292781</v>
      </c>
      <c r="D529" s="0" t="s">
        <v>35</v>
      </c>
      <c r="E529" s="0" t="s">
        <v>35</v>
      </c>
      <c r="F529" s="0" t="s">
        <v>480</v>
      </c>
      <c r="G529" s="0" t="s">
        <v>37</v>
      </c>
      <c r="H529" s="0" t="s">
        <v>1756</v>
      </c>
      <c r="J529" s="0" t="s">
        <v>1756</v>
      </c>
      <c r="K529" s="0" t="s">
        <v>1757</v>
      </c>
      <c r="M529" s="0" t="s">
        <v>1758</v>
      </c>
      <c r="N529" s="0" t="s">
        <v>1759</v>
      </c>
      <c r="O529" s="0" t="s">
        <v>1760</v>
      </c>
      <c r="P529" s="0" t="n">
        <v>1895</v>
      </c>
      <c r="Q529" s="0" t="s">
        <v>39</v>
      </c>
      <c r="R529" s="0" t="s">
        <v>1761</v>
      </c>
      <c r="S529" s="0" t="s">
        <v>1762</v>
      </c>
      <c r="T529" s="0" t="s">
        <v>54</v>
      </c>
      <c r="V529" s="0" t="n">
        <v>1</v>
      </c>
      <c r="W529" s="0" t="n">
        <v>1</v>
      </c>
      <c r="X529" s="0" t="str">
        <f aca="false">"31811010344045"</f>
        <v>31811010344045</v>
      </c>
      <c r="Y529" s="0" t="s">
        <v>39</v>
      </c>
      <c r="Z529" s="0" t="s">
        <v>42</v>
      </c>
      <c r="AA529" s="0" t="s">
        <v>43</v>
      </c>
      <c r="AE529" s="1" t="s">
        <v>52</v>
      </c>
    </row>
    <row r="530" customFormat="false" ht="12.8" hidden="false" customHeight="false" outlineLevel="0" collapsed="false">
      <c r="A530" s="0" t="n">
        <v>237507</v>
      </c>
      <c r="B530" s="0" t="n">
        <v>260308</v>
      </c>
      <c r="C530" s="0" t="n">
        <v>292782</v>
      </c>
      <c r="D530" s="0" t="s">
        <v>35</v>
      </c>
      <c r="E530" s="0" t="s">
        <v>35</v>
      </c>
      <c r="F530" s="0" t="s">
        <v>480</v>
      </c>
      <c r="G530" s="0" t="s">
        <v>37</v>
      </c>
      <c r="H530" s="0" t="s">
        <v>1756</v>
      </c>
      <c r="J530" s="0" t="s">
        <v>1756</v>
      </c>
      <c r="K530" s="0" t="s">
        <v>1757</v>
      </c>
      <c r="M530" s="0" t="s">
        <v>1758</v>
      </c>
      <c r="N530" s="0" t="s">
        <v>1759</v>
      </c>
      <c r="O530" s="0" t="s">
        <v>1760</v>
      </c>
      <c r="P530" s="0" t="n">
        <v>1895</v>
      </c>
      <c r="Q530" s="0" t="s">
        <v>39</v>
      </c>
      <c r="R530" s="0" t="s">
        <v>1761</v>
      </c>
      <c r="S530" s="0" t="s">
        <v>1762</v>
      </c>
      <c r="T530" s="0" t="s">
        <v>243</v>
      </c>
      <c r="V530" s="0" t="n">
        <v>1</v>
      </c>
      <c r="W530" s="0" t="n">
        <v>1</v>
      </c>
      <c r="X530" s="0" t="str">
        <f aca="false">"31811010344037"</f>
        <v>31811010344037</v>
      </c>
      <c r="Y530" s="0" t="s">
        <v>39</v>
      </c>
      <c r="Z530" s="0" t="s">
        <v>42</v>
      </c>
      <c r="AA530" s="0" t="s">
        <v>43</v>
      </c>
      <c r="AE530" s="1" t="s">
        <v>52</v>
      </c>
    </row>
    <row r="531" customFormat="false" ht="12.8" hidden="false" customHeight="false" outlineLevel="0" collapsed="false">
      <c r="A531" s="0" t="n">
        <v>237507</v>
      </c>
      <c r="B531" s="0" t="n">
        <v>260308</v>
      </c>
      <c r="C531" s="0" t="n">
        <v>292783</v>
      </c>
      <c r="D531" s="0" t="s">
        <v>35</v>
      </c>
      <c r="E531" s="0" t="s">
        <v>35</v>
      </c>
      <c r="F531" s="0" t="s">
        <v>480</v>
      </c>
      <c r="G531" s="0" t="s">
        <v>37</v>
      </c>
      <c r="H531" s="0" t="s">
        <v>1756</v>
      </c>
      <c r="J531" s="0" t="s">
        <v>1756</v>
      </c>
      <c r="K531" s="0" t="s">
        <v>1757</v>
      </c>
      <c r="M531" s="0" t="s">
        <v>1758</v>
      </c>
      <c r="N531" s="0" t="s">
        <v>1759</v>
      </c>
      <c r="O531" s="0" t="s">
        <v>1760</v>
      </c>
      <c r="P531" s="0" t="n">
        <v>1895</v>
      </c>
      <c r="Q531" s="0" t="s">
        <v>39</v>
      </c>
      <c r="R531" s="0" t="s">
        <v>1761</v>
      </c>
      <c r="S531" s="0" t="s">
        <v>1762</v>
      </c>
      <c r="T531" s="0" t="s">
        <v>53</v>
      </c>
      <c r="V531" s="0" t="n">
        <v>1</v>
      </c>
      <c r="W531" s="0" t="n">
        <v>1</v>
      </c>
      <c r="X531" s="0" t="str">
        <f aca="false">"31811010344029"</f>
        <v>31811010344029</v>
      </c>
      <c r="Y531" s="0" t="s">
        <v>39</v>
      </c>
      <c r="Z531" s="0" t="s">
        <v>42</v>
      </c>
      <c r="AA531" s="0" t="s">
        <v>43</v>
      </c>
      <c r="AE531" s="1" t="s">
        <v>52</v>
      </c>
    </row>
    <row r="532" customFormat="false" ht="12.8" hidden="false" customHeight="false" outlineLevel="0" collapsed="false">
      <c r="A532" s="0" t="n">
        <v>237507</v>
      </c>
      <c r="B532" s="0" t="n">
        <v>260308</v>
      </c>
      <c r="C532" s="0" t="n">
        <v>292784</v>
      </c>
      <c r="D532" s="0" t="s">
        <v>35</v>
      </c>
      <c r="E532" s="0" t="s">
        <v>35</v>
      </c>
      <c r="F532" s="0" t="s">
        <v>480</v>
      </c>
      <c r="G532" s="0" t="s">
        <v>37</v>
      </c>
      <c r="H532" s="0" t="s">
        <v>1756</v>
      </c>
      <c r="J532" s="0" t="s">
        <v>1756</v>
      </c>
      <c r="K532" s="0" t="s">
        <v>1757</v>
      </c>
      <c r="M532" s="0" t="s">
        <v>1758</v>
      </c>
      <c r="N532" s="0" t="s">
        <v>1759</v>
      </c>
      <c r="O532" s="0" t="s">
        <v>1760</v>
      </c>
      <c r="P532" s="0" t="n">
        <v>1895</v>
      </c>
      <c r="Q532" s="0" t="s">
        <v>39</v>
      </c>
      <c r="R532" s="0" t="s">
        <v>1761</v>
      </c>
      <c r="S532" s="0" t="s">
        <v>1762</v>
      </c>
      <c r="T532" s="0" t="s">
        <v>51</v>
      </c>
      <c r="V532" s="0" t="n">
        <v>1</v>
      </c>
      <c r="W532" s="0" t="n">
        <v>1</v>
      </c>
      <c r="X532" s="0" t="str">
        <f aca="false">"31811010344011"</f>
        <v>31811010344011</v>
      </c>
      <c r="Y532" s="0" t="s">
        <v>39</v>
      </c>
      <c r="Z532" s="0" t="s">
        <v>42</v>
      </c>
      <c r="AA532" s="0" t="s">
        <v>43</v>
      </c>
      <c r="AE532" s="1" t="s">
        <v>52</v>
      </c>
    </row>
    <row r="533" customFormat="false" ht="12.8" hidden="false" customHeight="false" outlineLevel="0" collapsed="false">
      <c r="A533" s="0" t="n">
        <v>517212</v>
      </c>
      <c r="B533" s="0" t="n">
        <v>554543</v>
      </c>
      <c r="C533" s="0" t="n">
        <v>625835</v>
      </c>
      <c r="D533" s="0" t="s">
        <v>35</v>
      </c>
      <c r="E533" s="0" t="s">
        <v>35</v>
      </c>
      <c r="F533" s="0" t="s">
        <v>480</v>
      </c>
      <c r="G533" s="0" t="s">
        <v>37</v>
      </c>
      <c r="H533" s="0" t="s">
        <v>1764</v>
      </c>
      <c r="J533" s="0" t="s">
        <v>1764</v>
      </c>
      <c r="M533" s="0" t="s">
        <v>1765</v>
      </c>
      <c r="N533" s="0" t="n">
        <v>1967</v>
      </c>
      <c r="O533" s="0" t="s">
        <v>1766</v>
      </c>
      <c r="P533" s="0" t="n">
        <v>1929</v>
      </c>
      <c r="Q533" s="0" t="s">
        <v>39</v>
      </c>
      <c r="R533" s="0" t="s">
        <v>1767</v>
      </c>
      <c r="S533" s="0" t="s">
        <v>1768</v>
      </c>
      <c r="V533" s="0" t="n">
        <v>1</v>
      </c>
      <c r="W533" s="0" t="n">
        <v>1</v>
      </c>
      <c r="X533" s="0" t="str">
        <f aca="false">"31811010344235"</f>
        <v>31811010344235</v>
      </c>
      <c r="Y533" s="0" t="s">
        <v>39</v>
      </c>
      <c r="Z533" s="0" t="s">
        <v>42</v>
      </c>
      <c r="AA533" s="0" t="s">
        <v>43</v>
      </c>
      <c r="AE533" s="1" t="s">
        <v>52</v>
      </c>
      <c r="AH533" s="1" t="s">
        <v>1769</v>
      </c>
    </row>
    <row r="534" customFormat="false" ht="12.8" hidden="false" customHeight="false" outlineLevel="0" collapsed="false">
      <c r="A534" s="0" t="n">
        <v>175594</v>
      </c>
      <c r="B534" s="0" t="n">
        <v>191894</v>
      </c>
      <c r="C534" s="0" t="n">
        <v>215496</v>
      </c>
      <c r="D534" s="0" t="s">
        <v>35</v>
      </c>
      <c r="E534" s="0" t="s">
        <v>35</v>
      </c>
      <c r="F534" s="0" t="s">
        <v>480</v>
      </c>
      <c r="G534" s="0" t="s">
        <v>37</v>
      </c>
      <c r="H534" s="0" t="s">
        <v>1770</v>
      </c>
      <c r="J534" s="0" t="s">
        <v>1770</v>
      </c>
      <c r="M534" s="0" t="s">
        <v>1771</v>
      </c>
      <c r="N534" s="0" t="s">
        <v>1772</v>
      </c>
      <c r="O534" s="0" t="s">
        <v>1773</v>
      </c>
      <c r="P534" s="0" t="n">
        <v>1954</v>
      </c>
      <c r="Q534" s="0" t="s">
        <v>39</v>
      </c>
      <c r="R534" s="0" t="s">
        <v>1774</v>
      </c>
      <c r="S534" s="0" t="s">
        <v>1775</v>
      </c>
      <c r="T534" s="0" t="s">
        <v>1776</v>
      </c>
      <c r="V534" s="0" t="n">
        <v>1</v>
      </c>
      <c r="W534" s="0" t="n">
        <v>1</v>
      </c>
      <c r="X534" s="0" t="str">
        <f aca="false">"31811010356726"</f>
        <v>31811010356726</v>
      </c>
      <c r="Y534" s="0" t="s">
        <v>39</v>
      </c>
      <c r="Z534" s="0" t="s">
        <v>42</v>
      </c>
      <c r="AA534" s="0" t="s">
        <v>43</v>
      </c>
      <c r="AE534" s="1" t="s">
        <v>52</v>
      </c>
      <c r="AG534" s="0" t="n">
        <v>2401</v>
      </c>
    </row>
    <row r="535" customFormat="false" ht="12.8" hidden="false" customHeight="false" outlineLevel="0" collapsed="false">
      <c r="A535" s="0" t="n">
        <v>175594</v>
      </c>
      <c r="B535" s="0" t="n">
        <v>191894</v>
      </c>
      <c r="C535" s="0" t="n">
        <v>215497</v>
      </c>
      <c r="D535" s="0" t="s">
        <v>35</v>
      </c>
      <c r="E535" s="0" t="s">
        <v>35</v>
      </c>
      <c r="F535" s="0" t="s">
        <v>480</v>
      </c>
      <c r="G535" s="0" t="s">
        <v>37</v>
      </c>
      <c r="H535" s="0" t="s">
        <v>1770</v>
      </c>
      <c r="J535" s="0" t="s">
        <v>1770</v>
      </c>
      <c r="M535" s="0" t="s">
        <v>1771</v>
      </c>
      <c r="N535" s="0" t="s">
        <v>1772</v>
      </c>
      <c r="O535" s="0" t="s">
        <v>1773</v>
      </c>
      <c r="P535" s="0" t="n">
        <v>1954</v>
      </c>
      <c r="Q535" s="0" t="s">
        <v>39</v>
      </c>
      <c r="R535" s="0" t="s">
        <v>1774</v>
      </c>
      <c r="S535" s="0" t="s">
        <v>1775</v>
      </c>
      <c r="T535" s="0" t="s">
        <v>1777</v>
      </c>
      <c r="V535" s="0" t="n">
        <v>1</v>
      </c>
      <c r="W535" s="0" t="n">
        <v>1</v>
      </c>
      <c r="X535" s="0" t="str">
        <f aca="false">"31811010356650"</f>
        <v>31811010356650</v>
      </c>
      <c r="Y535" s="0" t="s">
        <v>39</v>
      </c>
      <c r="Z535" s="0" t="s">
        <v>42</v>
      </c>
      <c r="AA535" s="0" t="s">
        <v>43</v>
      </c>
      <c r="AE535" s="1" t="s">
        <v>52</v>
      </c>
      <c r="AG535" s="0" t="n">
        <v>2401</v>
      </c>
    </row>
    <row r="536" customFormat="false" ht="12.8" hidden="false" customHeight="false" outlineLevel="0" collapsed="false">
      <c r="A536" s="0" t="n">
        <v>175594</v>
      </c>
      <c r="B536" s="0" t="n">
        <v>191894</v>
      </c>
      <c r="C536" s="0" t="n">
        <v>215498</v>
      </c>
      <c r="D536" s="0" t="s">
        <v>35</v>
      </c>
      <c r="E536" s="0" t="s">
        <v>35</v>
      </c>
      <c r="F536" s="0" t="s">
        <v>480</v>
      </c>
      <c r="G536" s="0" t="s">
        <v>37</v>
      </c>
      <c r="H536" s="0" t="s">
        <v>1770</v>
      </c>
      <c r="J536" s="0" t="s">
        <v>1770</v>
      </c>
      <c r="M536" s="0" t="s">
        <v>1771</v>
      </c>
      <c r="N536" s="0" t="s">
        <v>1772</v>
      </c>
      <c r="O536" s="0" t="s">
        <v>1773</v>
      </c>
      <c r="P536" s="0" t="n">
        <v>1954</v>
      </c>
      <c r="Q536" s="0" t="s">
        <v>39</v>
      </c>
      <c r="R536" s="0" t="s">
        <v>1774</v>
      </c>
      <c r="S536" s="0" t="s">
        <v>1775</v>
      </c>
      <c r="T536" s="0" t="s">
        <v>1778</v>
      </c>
      <c r="V536" s="0" t="n">
        <v>1</v>
      </c>
      <c r="W536" s="0" t="n">
        <v>1</v>
      </c>
      <c r="X536" s="0" t="str">
        <f aca="false">"31811010356668"</f>
        <v>31811010356668</v>
      </c>
      <c r="Y536" s="0" t="s">
        <v>39</v>
      </c>
      <c r="Z536" s="0" t="s">
        <v>42</v>
      </c>
      <c r="AA536" s="0" t="s">
        <v>43</v>
      </c>
      <c r="AE536" s="1" t="s">
        <v>52</v>
      </c>
      <c r="AG536" s="0" t="n">
        <v>2401</v>
      </c>
    </row>
    <row r="537" customFormat="false" ht="12.8" hidden="false" customHeight="false" outlineLevel="0" collapsed="false">
      <c r="A537" s="0" t="n">
        <v>175594</v>
      </c>
      <c r="B537" s="0" t="n">
        <v>191894</v>
      </c>
      <c r="C537" s="0" t="n">
        <v>215499</v>
      </c>
      <c r="D537" s="0" t="s">
        <v>35</v>
      </c>
      <c r="E537" s="0" t="s">
        <v>35</v>
      </c>
      <c r="F537" s="0" t="s">
        <v>480</v>
      </c>
      <c r="G537" s="0" t="s">
        <v>37</v>
      </c>
      <c r="H537" s="0" t="s">
        <v>1770</v>
      </c>
      <c r="J537" s="0" t="s">
        <v>1770</v>
      </c>
      <c r="M537" s="0" t="s">
        <v>1771</v>
      </c>
      <c r="N537" s="0" t="s">
        <v>1772</v>
      </c>
      <c r="O537" s="0" t="s">
        <v>1773</v>
      </c>
      <c r="P537" s="0" t="n">
        <v>1954</v>
      </c>
      <c r="Q537" s="0" t="s">
        <v>39</v>
      </c>
      <c r="R537" s="0" t="s">
        <v>1774</v>
      </c>
      <c r="S537" s="0" t="s">
        <v>1775</v>
      </c>
      <c r="T537" s="0" t="s">
        <v>1779</v>
      </c>
      <c r="V537" s="0" t="n">
        <v>1</v>
      </c>
      <c r="W537" s="0" t="n">
        <v>1</v>
      </c>
      <c r="X537" s="0" t="str">
        <f aca="false">"31811010356676"</f>
        <v>31811010356676</v>
      </c>
      <c r="Y537" s="0" t="s">
        <v>39</v>
      </c>
      <c r="Z537" s="0" t="s">
        <v>42</v>
      </c>
      <c r="AA537" s="0" t="s">
        <v>43</v>
      </c>
      <c r="AE537" s="1" t="s">
        <v>52</v>
      </c>
      <c r="AG537" s="0" t="n">
        <v>2401</v>
      </c>
    </row>
    <row r="538" customFormat="false" ht="12.8" hidden="false" customHeight="false" outlineLevel="0" collapsed="false">
      <c r="A538" s="0" t="n">
        <v>175594</v>
      </c>
      <c r="B538" s="0" t="n">
        <v>191894</v>
      </c>
      <c r="C538" s="0" t="n">
        <v>215500</v>
      </c>
      <c r="D538" s="0" t="s">
        <v>35</v>
      </c>
      <c r="E538" s="0" t="s">
        <v>35</v>
      </c>
      <c r="F538" s="0" t="s">
        <v>480</v>
      </c>
      <c r="G538" s="0" t="s">
        <v>37</v>
      </c>
      <c r="H538" s="0" t="s">
        <v>1770</v>
      </c>
      <c r="J538" s="0" t="s">
        <v>1770</v>
      </c>
      <c r="M538" s="0" t="s">
        <v>1771</v>
      </c>
      <c r="N538" s="0" t="s">
        <v>1772</v>
      </c>
      <c r="O538" s="0" t="s">
        <v>1773</v>
      </c>
      <c r="P538" s="0" t="n">
        <v>1954</v>
      </c>
      <c r="Q538" s="0" t="s">
        <v>39</v>
      </c>
      <c r="R538" s="0" t="s">
        <v>1774</v>
      </c>
      <c r="S538" s="0" t="s">
        <v>1775</v>
      </c>
      <c r="T538" s="0" t="s">
        <v>1780</v>
      </c>
      <c r="V538" s="0" t="n">
        <v>1</v>
      </c>
      <c r="W538" s="0" t="n">
        <v>1</v>
      </c>
      <c r="X538" s="0" t="str">
        <f aca="false">"31811010356684"</f>
        <v>31811010356684</v>
      </c>
      <c r="Y538" s="0" t="s">
        <v>39</v>
      </c>
      <c r="Z538" s="0" t="s">
        <v>42</v>
      </c>
      <c r="AA538" s="0" t="s">
        <v>43</v>
      </c>
      <c r="AE538" s="1" t="s">
        <v>52</v>
      </c>
      <c r="AG538" s="0" t="n">
        <v>2401</v>
      </c>
      <c r="AH538" s="1" t="s">
        <v>1781</v>
      </c>
    </row>
    <row r="539" customFormat="false" ht="12.8" hidden="false" customHeight="false" outlineLevel="0" collapsed="false">
      <c r="A539" s="0" t="n">
        <v>175594</v>
      </c>
      <c r="B539" s="0" t="n">
        <v>191894</v>
      </c>
      <c r="C539" s="0" t="n">
        <v>215501</v>
      </c>
      <c r="D539" s="0" t="s">
        <v>35</v>
      </c>
      <c r="E539" s="0" t="s">
        <v>35</v>
      </c>
      <c r="F539" s="0" t="s">
        <v>480</v>
      </c>
      <c r="G539" s="0" t="s">
        <v>37</v>
      </c>
      <c r="H539" s="0" t="s">
        <v>1770</v>
      </c>
      <c r="J539" s="0" t="s">
        <v>1770</v>
      </c>
      <c r="M539" s="0" t="s">
        <v>1771</v>
      </c>
      <c r="N539" s="0" t="s">
        <v>1772</v>
      </c>
      <c r="O539" s="0" t="s">
        <v>1773</v>
      </c>
      <c r="P539" s="0" t="n">
        <v>1954</v>
      </c>
      <c r="Q539" s="0" t="s">
        <v>39</v>
      </c>
      <c r="R539" s="0" t="s">
        <v>1774</v>
      </c>
      <c r="S539" s="0" t="s">
        <v>1775</v>
      </c>
      <c r="T539" s="0" t="s">
        <v>1782</v>
      </c>
      <c r="V539" s="0" t="n">
        <v>1</v>
      </c>
      <c r="W539" s="0" t="n">
        <v>1</v>
      </c>
      <c r="X539" s="0" t="str">
        <f aca="false">"31811010344292"</f>
        <v>31811010344292</v>
      </c>
      <c r="Y539" s="0" t="s">
        <v>39</v>
      </c>
      <c r="Z539" s="0" t="s">
        <v>42</v>
      </c>
      <c r="AA539" s="0" t="s">
        <v>43</v>
      </c>
      <c r="AE539" s="1" t="s">
        <v>52</v>
      </c>
      <c r="AG539" s="0" t="n">
        <v>2401</v>
      </c>
    </row>
    <row r="540" customFormat="false" ht="12.8" hidden="false" customHeight="false" outlineLevel="0" collapsed="false">
      <c r="A540" s="0" t="n">
        <v>175594</v>
      </c>
      <c r="B540" s="0" t="n">
        <v>191894</v>
      </c>
      <c r="C540" s="0" t="n">
        <v>215502</v>
      </c>
      <c r="D540" s="0" t="s">
        <v>35</v>
      </c>
      <c r="E540" s="0" t="s">
        <v>35</v>
      </c>
      <c r="F540" s="0" t="s">
        <v>480</v>
      </c>
      <c r="G540" s="0" t="s">
        <v>37</v>
      </c>
      <c r="H540" s="0" t="s">
        <v>1770</v>
      </c>
      <c r="J540" s="0" t="s">
        <v>1770</v>
      </c>
      <c r="M540" s="0" t="s">
        <v>1771</v>
      </c>
      <c r="N540" s="0" t="s">
        <v>1772</v>
      </c>
      <c r="O540" s="0" t="s">
        <v>1773</v>
      </c>
      <c r="P540" s="0" t="n">
        <v>1954</v>
      </c>
      <c r="Q540" s="0" t="s">
        <v>39</v>
      </c>
      <c r="R540" s="0" t="s">
        <v>1774</v>
      </c>
      <c r="S540" s="0" t="s">
        <v>1775</v>
      </c>
      <c r="T540" s="0" t="s">
        <v>1783</v>
      </c>
      <c r="V540" s="0" t="n">
        <v>1</v>
      </c>
      <c r="W540" s="0" t="n">
        <v>1</v>
      </c>
      <c r="X540" s="0" t="str">
        <f aca="false">"31811010344300"</f>
        <v>31811010344300</v>
      </c>
      <c r="Y540" s="0" t="s">
        <v>39</v>
      </c>
      <c r="Z540" s="0" t="s">
        <v>42</v>
      </c>
      <c r="AA540" s="0" t="s">
        <v>43</v>
      </c>
      <c r="AE540" s="1" t="s">
        <v>52</v>
      </c>
      <c r="AG540" s="0" t="n">
        <v>2401</v>
      </c>
    </row>
    <row r="541" customFormat="false" ht="12.8" hidden="false" customHeight="false" outlineLevel="0" collapsed="false">
      <c r="A541" s="0" t="n">
        <v>175594</v>
      </c>
      <c r="B541" s="0" t="n">
        <v>191894</v>
      </c>
      <c r="C541" s="0" t="n">
        <v>215503</v>
      </c>
      <c r="D541" s="0" t="s">
        <v>35</v>
      </c>
      <c r="E541" s="0" t="s">
        <v>35</v>
      </c>
      <c r="F541" s="0" t="s">
        <v>480</v>
      </c>
      <c r="G541" s="0" t="s">
        <v>37</v>
      </c>
      <c r="H541" s="0" t="s">
        <v>1770</v>
      </c>
      <c r="J541" s="0" t="s">
        <v>1770</v>
      </c>
      <c r="M541" s="0" t="s">
        <v>1771</v>
      </c>
      <c r="N541" s="0" t="s">
        <v>1772</v>
      </c>
      <c r="O541" s="0" t="s">
        <v>1773</v>
      </c>
      <c r="P541" s="0" t="n">
        <v>1954</v>
      </c>
      <c r="Q541" s="0" t="s">
        <v>39</v>
      </c>
      <c r="R541" s="0" t="s">
        <v>1774</v>
      </c>
      <c r="S541" s="0" t="s">
        <v>1775</v>
      </c>
      <c r="T541" s="0" t="s">
        <v>1784</v>
      </c>
      <c r="V541" s="0" t="n">
        <v>1</v>
      </c>
      <c r="W541" s="0" t="n">
        <v>1</v>
      </c>
      <c r="X541" s="0" t="str">
        <f aca="false">"31811010344318"</f>
        <v>31811010344318</v>
      </c>
      <c r="Y541" s="0" t="s">
        <v>39</v>
      </c>
      <c r="Z541" s="0" t="s">
        <v>42</v>
      </c>
      <c r="AA541" s="0" t="s">
        <v>43</v>
      </c>
      <c r="AE541" s="1" t="s">
        <v>52</v>
      </c>
      <c r="AG541" s="0" t="n">
        <v>2401</v>
      </c>
    </row>
    <row r="542" customFormat="false" ht="12.8" hidden="false" customHeight="false" outlineLevel="0" collapsed="false">
      <c r="A542" s="0" t="n">
        <v>175594</v>
      </c>
      <c r="B542" s="0" t="n">
        <v>191894</v>
      </c>
      <c r="C542" s="0" t="n">
        <v>215504</v>
      </c>
      <c r="D542" s="0" t="s">
        <v>35</v>
      </c>
      <c r="E542" s="0" t="s">
        <v>35</v>
      </c>
      <c r="F542" s="0" t="s">
        <v>480</v>
      </c>
      <c r="G542" s="0" t="s">
        <v>37</v>
      </c>
      <c r="H542" s="0" t="s">
        <v>1770</v>
      </c>
      <c r="J542" s="0" t="s">
        <v>1770</v>
      </c>
      <c r="M542" s="0" t="s">
        <v>1771</v>
      </c>
      <c r="N542" s="0" t="s">
        <v>1772</v>
      </c>
      <c r="O542" s="0" t="s">
        <v>1773</v>
      </c>
      <c r="P542" s="0" t="n">
        <v>1954</v>
      </c>
      <c r="Q542" s="0" t="s">
        <v>39</v>
      </c>
      <c r="R542" s="0" t="s">
        <v>1774</v>
      </c>
      <c r="S542" s="0" t="s">
        <v>1775</v>
      </c>
      <c r="T542" s="0" t="s">
        <v>1785</v>
      </c>
      <c r="V542" s="0" t="n">
        <v>1</v>
      </c>
      <c r="W542" s="0" t="n">
        <v>1</v>
      </c>
      <c r="X542" s="0" t="str">
        <f aca="false">"31811010344326"</f>
        <v>31811010344326</v>
      </c>
      <c r="Y542" s="0" t="s">
        <v>39</v>
      </c>
      <c r="Z542" s="0" t="s">
        <v>42</v>
      </c>
      <c r="AA542" s="0" t="s">
        <v>43</v>
      </c>
      <c r="AE542" s="1" t="s">
        <v>52</v>
      </c>
      <c r="AG542" s="0" t="n">
        <v>2401</v>
      </c>
    </row>
    <row r="543" customFormat="false" ht="12.8" hidden="false" customHeight="false" outlineLevel="0" collapsed="false">
      <c r="A543" s="0" t="n">
        <v>175594</v>
      </c>
      <c r="B543" s="0" t="n">
        <v>191894</v>
      </c>
      <c r="C543" s="0" t="n">
        <v>215505</v>
      </c>
      <c r="D543" s="0" t="s">
        <v>35</v>
      </c>
      <c r="E543" s="0" t="s">
        <v>35</v>
      </c>
      <c r="F543" s="0" t="s">
        <v>480</v>
      </c>
      <c r="G543" s="0" t="s">
        <v>37</v>
      </c>
      <c r="H543" s="0" t="s">
        <v>1770</v>
      </c>
      <c r="J543" s="0" t="s">
        <v>1770</v>
      </c>
      <c r="M543" s="0" t="s">
        <v>1771</v>
      </c>
      <c r="N543" s="0" t="s">
        <v>1772</v>
      </c>
      <c r="O543" s="0" t="s">
        <v>1773</v>
      </c>
      <c r="P543" s="0" t="n">
        <v>1954</v>
      </c>
      <c r="Q543" s="0" t="s">
        <v>39</v>
      </c>
      <c r="R543" s="0" t="s">
        <v>1774</v>
      </c>
      <c r="S543" s="0" t="s">
        <v>1775</v>
      </c>
      <c r="T543" s="0" t="s">
        <v>1786</v>
      </c>
      <c r="V543" s="0" t="n">
        <v>1</v>
      </c>
      <c r="W543" s="0" t="n">
        <v>1</v>
      </c>
      <c r="X543" s="0" t="str">
        <f aca="false">"31811010344250"</f>
        <v>31811010344250</v>
      </c>
      <c r="Y543" s="0" t="s">
        <v>39</v>
      </c>
      <c r="Z543" s="0" t="s">
        <v>42</v>
      </c>
      <c r="AA543" s="0" t="s">
        <v>43</v>
      </c>
      <c r="AE543" s="1" t="s">
        <v>52</v>
      </c>
      <c r="AG543" s="0" t="n">
        <v>2401</v>
      </c>
      <c r="AH543" s="1" t="s">
        <v>1781</v>
      </c>
    </row>
    <row r="544" customFormat="false" ht="12.8" hidden="false" customHeight="false" outlineLevel="0" collapsed="false">
      <c r="A544" s="0" t="n">
        <v>175594</v>
      </c>
      <c r="B544" s="0" t="n">
        <v>191894</v>
      </c>
      <c r="C544" s="0" t="n">
        <v>215506</v>
      </c>
      <c r="D544" s="0" t="s">
        <v>35</v>
      </c>
      <c r="E544" s="0" t="s">
        <v>35</v>
      </c>
      <c r="F544" s="0" t="s">
        <v>480</v>
      </c>
      <c r="G544" s="0" t="s">
        <v>37</v>
      </c>
      <c r="H544" s="0" t="s">
        <v>1770</v>
      </c>
      <c r="J544" s="0" t="s">
        <v>1770</v>
      </c>
      <c r="M544" s="0" t="s">
        <v>1771</v>
      </c>
      <c r="N544" s="0" t="s">
        <v>1772</v>
      </c>
      <c r="O544" s="0" t="s">
        <v>1773</v>
      </c>
      <c r="P544" s="0" t="n">
        <v>1954</v>
      </c>
      <c r="Q544" s="0" t="s">
        <v>39</v>
      </c>
      <c r="R544" s="0" t="s">
        <v>1774</v>
      </c>
      <c r="S544" s="0" t="s">
        <v>1775</v>
      </c>
      <c r="T544" s="0" t="s">
        <v>1787</v>
      </c>
      <c r="V544" s="0" t="n">
        <v>1</v>
      </c>
      <c r="W544" s="0" t="n">
        <v>1</v>
      </c>
      <c r="X544" s="0" t="str">
        <f aca="false">"31811010344268"</f>
        <v>31811010344268</v>
      </c>
      <c r="Y544" s="0" t="s">
        <v>39</v>
      </c>
      <c r="Z544" s="0" t="s">
        <v>42</v>
      </c>
      <c r="AA544" s="0" t="s">
        <v>43</v>
      </c>
      <c r="AE544" s="1" t="s">
        <v>52</v>
      </c>
      <c r="AG544" s="0" t="n">
        <v>2401</v>
      </c>
      <c r="AH544" s="1" t="s">
        <v>1788</v>
      </c>
    </row>
    <row r="545" customFormat="false" ht="12.8" hidden="false" customHeight="false" outlineLevel="0" collapsed="false">
      <c r="A545" s="0" t="n">
        <v>175594</v>
      </c>
      <c r="B545" s="0" t="n">
        <v>191894</v>
      </c>
      <c r="C545" s="0" t="n">
        <v>215507</v>
      </c>
      <c r="D545" s="0" t="s">
        <v>35</v>
      </c>
      <c r="E545" s="0" t="s">
        <v>35</v>
      </c>
      <c r="F545" s="0" t="s">
        <v>480</v>
      </c>
      <c r="G545" s="0" t="s">
        <v>37</v>
      </c>
      <c r="H545" s="0" t="s">
        <v>1770</v>
      </c>
      <c r="J545" s="0" t="s">
        <v>1770</v>
      </c>
      <c r="M545" s="0" t="s">
        <v>1771</v>
      </c>
      <c r="N545" s="0" t="s">
        <v>1772</v>
      </c>
      <c r="O545" s="0" t="s">
        <v>1773</v>
      </c>
      <c r="P545" s="0" t="n">
        <v>1954</v>
      </c>
      <c r="Q545" s="0" t="s">
        <v>39</v>
      </c>
      <c r="R545" s="0" t="s">
        <v>1774</v>
      </c>
      <c r="S545" s="0" t="s">
        <v>1775</v>
      </c>
      <c r="T545" s="0" t="s">
        <v>1789</v>
      </c>
      <c r="V545" s="0" t="n">
        <v>1</v>
      </c>
      <c r="W545" s="0" t="n">
        <v>1</v>
      </c>
      <c r="X545" s="0" t="str">
        <f aca="false">"31811010344276"</f>
        <v>31811010344276</v>
      </c>
      <c r="Y545" s="0" t="s">
        <v>39</v>
      </c>
      <c r="Z545" s="0" t="s">
        <v>42</v>
      </c>
      <c r="AA545" s="0" t="s">
        <v>43</v>
      </c>
      <c r="AE545" s="1" t="s">
        <v>52</v>
      </c>
      <c r="AG545" s="0" t="n">
        <v>2401</v>
      </c>
    </row>
    <row r="546" customFormat="false" ht="12.8" hidden="false" customHeight="false" outlineLevel="0" collapsed="false">
      <c r="A546" s="0" t="n">
        <v>175594</v>
      </c>
      <c r="B546" s="0" t="n">
        <v>191894</v>
      </c>
      <c r="C546" s="0" t="n">
        <v>215508</v>
      </c>
      <c r="D546" s="0" t="s">
        <v>35</v>
      </c>
      <c r="E546" s="0" t="s">
        <v>35</v>
      </c>
      <c r="F546" s="0" t="s">
        <v>480</v>
      </c>
      <c r="G546" s="0" t="s">
        <v>37</v>
      </c>
      <c r="H546" s="0" t="s">
        <v>1770</v>
      </c>
      <c r="J546" s="0" t="s">
        <v>1770</v>
      </c>
      <c r="M546" s="0" t="s">
        <v>1771</v>
      </c>
      <c r="N546" s="0" t="s">
        <v>1772</v>
      </c>
      <c r="O546" s="0" t="s">
        <v>1773</v>
      </c>
      <c r="P546" s="0" t="n">
        <v>1954</v>
      </c>
      <c r="Q546" s="0" t="s">
        <v>39</v>
      </c>
      <c r="R546" s="0" t="s">
        <v>1774</v>
      </c>
      <c r="S546" s="0" t="s">
        <v>1775</v>
      </c>
      <c r="T546" s="0" t="s">
        <v>1790</v>
      </c>
      <c r="V546" s="0" t="n">
        <v>1</v>
      </c>
      <c r="W546" s="0" t="n">
        <v>1</v>
      </c>
      <c r="X546" s="0" t="str">
        <f aca="false">"31811010344284"</f>
        <v>31811010344284</v>
      </c>
      <c r="Y546" s="0" t="s">
        <v>39</v>
      </c>
      <c r="Z546" s="0" t="s">
        <v>42</v>
      </c>
      <c r="AA546" s="0" t="s">
        <v>43</v>
      </c>
      <c r="AE546" s="1" t="s">
        <v>52</v>
      </c>
      <c r="AG546" s="0" t="n">
        <v>2401</v>
      </c>
    </row>
    <row r="547" customFormat="false" ht="12.8" hidden="false" customHeight="false" outlineLevel="0" collapsed="false">
      <c r="A547" s="0" t="n">
        <v>175594</v>
      </c>
      <c r="B547" s="0" t="n">
        <v>191894</v>
      </c>
      <c r="C547" s="0" t="n">
        <v>215509</v>
      </c>
      <c r="D547" s="0" t="s">
        <v>35</v>
      </c>
      <c r="E547" s="0" t="s">
        <v>35</v>
      </c>
      <c r="F547" s="0" t="s">
        <v>480</v>
      </c>
      <c r="G547" s="0" t="s">
        <v>37</v>
      </c>
      <c r="H547" s="0" t="s">
        <v>1770</v>
      </c>
      <c r="J547" s="0" t="s">
        <v>1770</v>
      </c>
      <c r="M547" s="0" t="s">
        <v>1771</v>
      </c>
      <c r="N547" s="0" t="s">
        <v>1772</v>
      </c>
      <c r="O547" s="0" t="s">
        <v>1773</v>
      </c>
      <c r="P547" s="0" t="n">
        <v>1954</v>
      </c>
      <c r="Q547" s="0" t="s">
        <v>39</v>
      </c>
      <c r="R547" s="0" t="s">
        <v>1774</v>
      </c>
      <c r="S547" s="0" t="s">
        <v>1775</v>
      </c>
      <c r="T547" s="0" t="s">
        <v>1791</v>
      </c>
      <c r="V547" s="0" t="n">
        <v>1</v>
      </c>
      <c r="W547" s="0" t="n">
        <v>1</v>
      </c>
      <c r="X547" s="0" t="str">
        <f aca="false">"31811010344219"</f>
        <v>31811010344219</v>
      </c>
      <c r="Y547" s="0" t="s">
        <v>39</v>
      </c>
      <c r="Z547" s="0" t="s">
        <v>42</v>
      </c>
      <c r="AA547" s="0" t="s">
        <v>43</v>
      </c>
      <c r="AE547" s="1" t="s">
        <v>52</v>
      </c>
      <c r="AG547" s="0" t="n">
        <v>2401</v>
      </c>
    </row>
    <row r="548" customFormat="false" ht="12.8" hidden="false" customHeight="false" outlineLevel="0" collapsed="false">
      <c r="A548" s="0" t="n">
        <v>175594</v>
      </c>
      <c r="B548" s="0" t="n">
        <v>191894</v>
      </c>
      <c r="C548" s="0" t="n">
        <v>215510</v>
      </c>
      <c r="D548" s="0" t="s">
        <v>35</v>
      </c>
      <c r="E548" s="0" t="s">
        <v>35</v>
      </c>
      <c r="F548" s="0" t="s">
        <v>480</v>
      </c>
      <c r="G548" s="0" t="s">
        <v>37</v>
      </c>
      <c r="H548" s="0" t="s">
        <v>1770</v>
      </c>
      <c r="J548" s="0" t="s">
        <v>1770</v>
      </c>
      <c r="M548" s="0" t="s">
        <v>1771</v>
      </c>
      <c r="N548" s="0" t="s">
        <v>1772</v>
      </c>
      <c r="O548" s="0" t="s">
        <v>1773</v>
      </c>
      <c r="P548" s="0" t="n">
        <v>1954</v>
      </c>
      <c r="Q548" s="0" t="s">
        <v>39</v>
      </c>
      <c r="R548" s="0" t="s">
        <v>1774</v>
      </c>
      <c r="S548" s="0" t="s">
        <v>1775</v>
      </c>
      <c r="T548" s="0" t="s">
        <v>1792</v>
      </c>
      <c r="V548" s="0" t="n">
        <v>1</v>
      </c>
      <c r="W548" s="0" t="n">
        <v>1</v>
      </c>
      <c r="X548" s="0" t="str">
        <f aca="false">"31811010344227"</f>
        <v>31811010344227</v>
      </c>
      <c r="Y548" s="0" t="s">
        <v>39</v>
      </c>
      <c r="Z548" s="0" t="s">
        <v>42</v>
      </c>
      <c r="AA548" s="0" t="s">
        <v>43</v>
      </c>
      <c r="AE548" s="1" t="s">
        <v>52</v>
      </c>
      <c r="AG548" s="0" t="n">
        <v>2401</v>
      </c>
    </row>
    <row r="549" customFormat="false" ht="12.8" hidden="false" customHeight="false" outlineLevel="0" collapsed="false">
      <c r="A549" s="0" t="n">
        <v>598662</v>
      </c>
      <c r="B549" s="0" t="n">
        <v>639763</v>
      </c>
      <c r="C549" s="0" t="n">
        <v>716340</v>
      </c>
      <c r="D549" s="0" t="s">
        <v>35</v>
      </c>
      <c r="E549" s="0" t="s">
        <v>35</v>
      </c>
      <c r="F549" s="0" t="s">
        <v>36</v>
      </c>
      <c r="G549" s="0" t="s">
        <v>37</v>
      </c>
      <c r="H549" s="0" t="s">
        <v>1793</v>
      </c>
      <c r="J549" s="0" t="s">
        <v>1794</v>
      </c>
      <c r="L549" s="0" t="n">
        <v>838756026</v>
      </c>
      <c r="M549" s="0" t="s">
        <v>1795</v>
      </c>
      <c r="N549" s="0" t="n">
        <v>2004</v>
      </c>
      <c r="O549" s="0" t="s">
        <v>1796</v>
      </c>
      <c r="P549" s="0" t="n">
        <v>2004</v>
      </c>
      <c r="Q549" s="0" t="s">
        <v>39</v>
      </c>
      <c r="R549" s="0" t="s">
        <v>1797</v>
      </c>
      <c r="S549" s="0" t="s">
        <v>1798</v>
      </c>
      <c r="V549" s="0" t="n">
        <v>1</v>
      </c>
      <c r="W549" s="0" t="n">
        <v>1</v>
      </c>
      <c r="X549" s="0" t="str">
        <f aca="false">"31811012963628"</f>
        <v>31811012963628</v>
      </c>
      <c r="Y549" s="0" t="s">
        <v>39</v>
      </c>
      <c r="Z549" s="0" t="s">
        <v>42</v>
      </c>
      <c r="AA549" s="0" t="s">
        <v>43</v>
      </c>
      <c r="AE549" s="1" t="s">
        <v>1799</v>
      </c>
    </row>
    <row r="550" customFormat="false" ht="12.8" hidden="false" customHeight="false" outlineLevel="0" collapsed="false">
      <c r="A550" s="0" t="n">
        <v>562527</v>
      </c>
      <c r="B550" s="0" t="n">
        <v>601909</v>
      </c>
      <c r="C550" s="0" t="n">
        <v>679886</v>
      </c>
      <c r="D550" s="0" t="s">
        <v>35</v>
      </c>
      <c r="E550" s="0" t="s">
        <v>35</v>
      </c>
      <c r="F550" s="0" t="s">
        <v>36</v>
      </c>
      <c r="G550" s="0" t="s">
        <v>37</v>
      </c>
      <c r="H550" s="0" t="s">
        <v>1800</v>
      </c>
      <c r="J550" s="0" t="s">
        <v>1801</v>
      </c>
      <c r="L550" s="0" t="n">
        <v>838755348</v>
      </c>
      <c r="M550" s="0" t="s">
        <v>1802</v>
      </c>
      <c r="N550" s="0" t="s">
        <v>1419</v>
      </c>
      <c r="O550" s="0" t="s">
        <v>1773</v>
      </c>
      <c r="P550" s="0" t="n">
        <v>2002</v>
      </c>
      <c r="Q550" s="0" t="s">
        <v>39</v>
      </c>
      <c r="R550" s="0" t="s">
        <v>1803</v>
      </c>
      <c r="S550" s="0" t="s">
        <v>1804</v>
      </c>
      <c r="V550" s="0" t="n">
        <v>1</v>
      </c>
      <c r="W550" s="0" t="n">
        <v>1</v>
      </c>
      <c r="X550" s="0" t="str">
        <f aca="false">"31811012257229"</f>
        <v>31811012257229</v>
      </c>
      <c r="Y550" s="0" t="s">
        <v>39</v>
      </c>
      <c r="Z550" s="0" t="s">
        <v>42</v>
      </c>
      <c r="AA550" s="0" t="s">
        <v>43</v>
      </c>
      <c r="AE550" s="1" t="s">
        <v>988</v>
      </c>
    </row>
    <row r="551" customFormat="false" ht="12.8" hidden="false" customHeight="false" outlineLevel="0" collapsed="false">
      <c r="A551" s="0" t="n">
        <v>594799</v>
      </c>
      <c r="B551" s="0" t="n">
        <v>635833</v>
      </c>
      <c r="C551" s="0" t="n">
        <v>710568</v>
      </c>
      <c r="D551" s="0" t="s">
        <v>35</v>
      </c>
      <c r="E551" s="0" t="s">
        <v>35</v>
      </c>
      <c r="F551" s="0" t="s">
        <v>36</v>
      </c>
      <c r="G551" s="0" t="s">
        <v>37</v>
      </c>
      <c r="H551" s="0" t="s">
        <v>1805</v>
      </c>
      <c r="J551" s="0" t="s">
        <v>1806</v>
      </c>
      <c r="L551" s="0" t="s">
        <v>1807</v>
      </c>
      <c r="M551" s="0" t="s">
        <v>1808</v>
      </c>
      <c r="N551" s="0" t="s">
        <v>1809</v>
      </c>
      <c r="O551" s="0" t="s">
        <v>1773</v>
      </c>
      <c r="P551" s="0" t="n">
        <v>2004</v>
      </c>
      <c r="Q551" s="0" t="s">
        <v>39</v>
      </c>
      <c r="R551" s="0" t="s">
        <v>1810</v>
      </c>
      <c r="S551" s="0" t="s">
        <v>1811</v>
      </c>
      <c r="V551" s="0" t="n">
        <v>1</v>
      </c>
      <c r="W551" s="0" t="n">
        <v>1</v>
      </c>
      <c r="X551" s="0" t="str">
        <f aca="false">"31811012929389"</f>
        <v>31811012929389</v>
      </c>
      <c r="Y551" s="0" t="s">
        <v>39</v>
      </c>
      <c r="Z551" s="0" t="s">
        <v>42</v>
      </c>
      <c r="AA551" s="0" t="s">
        <v>43</v>
      </c>
      <c r="AE551" s="1" t="s">
        <v>1812</v>
      </c>
      <c r="AH551" s="1" t="s">
        <v>1813</v>
      </c>
    </row>
    <row r="552" customFormat="false" ht="12.8" hidden="false" customHeight="false" outlineLevel="0" collapsed="false">
      <c r="A552" s="0" t="n">
        <v>533762</v>
      </c>
      <c r="B552" s="0" t="n">
        <v>571882</v>
      </c>
      <c r="C552" s="0" t="n">
        <v>646222</v>
      </c>
      <c r="D552" s="0" t="s">
        <v>35</v>
      </c>
      <c r="E552" s="0" t="s">
        <v>35</v>
      </c>
      <c r="F552" s="0" t="s">
        <v>36</v>
      </c>
      <c r="G552" s="0" t="s">
        <v>37</v>
      </c>
      <c r="H552" s="0" t="s">
        <v>1814</v>
      </c>
      <c r="J552" s="0" t="s">
        <v>1815</v>
      </c>
      <c r="L552" s="0" t="n">
        <v>838754171</v>
      </c>
      <c r="M552" s="0" t="s">
        <v>1816</v>
      </c>
      <c r="N552" s="0" t="s">
        <v>612</v>
      </c>
      <c r="O552" s="0" t="s">
        <v>1773</v>
      </c>
      <c r="P552" s="0" t="n">
        <v>1998</v>
      </c>
      <c r="Q552" s="0" t="s">
        <v>39</v>
      </c>
      <c r="R552" s="0" t="s">
        <v>1817</v>
      </c>
      <c r="S552" s="0" t="s">
        <v>1818</v>
      </c>
      <c r="V552" s="0" t="n">
        <v>1</v>
      </c>
      <c r="W552" s="0" t="n">
        <v>1</v>
      </c>
      <c r="X552" s="0" t="str">
        <f aca="false">"31811010565003"</f>
        <v>31811010565003</v>
      </c>
      <c r="Y552" s="0" t="s">
        <v>39</v>
      </c>
      <c r="Z552" s="0" t="s">
        <v>42</v>
      </c>
      <c r="AA552" s="0" t="s">
        <v>43</v>
      </c>
      <c r="AE552" s="1" t="s">
        <v>52</v>
      </c>
    </row>
    <row r="553" customFormat="false" ht="12.8" hidden="false" customHeight="false" outlineLevel="0" collapsed="false">
      <c r="A553" s="0" t="n">
        <v>531519</v>
      </c>
      <c r="B553" s="0" t="n">
        <v>569481</v>
      </c>
      <c r="C553" s="0" t="n">
        <v>643765</v>
      </c>
      <c r="D553" s="0" t="s">
        <v>35</v>
      </c>
      <c r="E553" s="0" t="s">
        <v>35</v>
      </c>
      <c r="F553" s="0" t="s">
        <v>36</v>
      </c>
      <c r="G553" s="0" t="s">
        <v>37</v>
      </c>
      <c r="H553" s="0" t="s">
        <v>1819</v>
      </c>
      <c r="J553" s="0" t="s">
        <v>1820</v>
      </c>
      <c r="L553" s="0" t="n">
        <v>838753841</v>
      </c>
      <c r="M553" s="0" t="s">
        <v>1821</v>
      </c>
      <c r="N553" s="0" t="s">
        <v>612</v>
      </c>
      <c r="O553" s="0" t="s">
        <v>1773</v>
      </c>
      <c r="P553" s="0" t="n">
        <v>1998</v>
      </c>
      <c r="Q553" s="0" t="s">
        <v>39</v>
      </c>
      <c r="R553" s="0" t="s">
        <v>1822</v>
      </c>
      <c r="S553" s="0" t="s">
        <v>1823</v>
      </c>
      <c r="V553" s="0" t="n">
        <v>1</v>
      </c>
      <c r="W553" s="0" t="n">
        <v>1</v>
      </c>
      <c r="X553" s="0" t="str">
        <f aca="false">"31811010596420"</f>
        <v>31811010596420</v>
      </c>
      <c r="Y553" s="0" t="s">
        <v>39</v>
      </c>
      <c r="Z553" s="0" t="s">
        <v>42</v>
      </c>
      <c r="AA553" s="0" t="s">
        <v>43</v>
      </c>
      <c r="AE553" s="1" t="s">
        <v>52</v>
      </c>
    </row>
    <row r="554" customFormat="false" ht="12.8" hidden="false" customHeight="false" outlineLevel="0" collapsed="false">
      <c r="A554" s="0" t="n">
        <v>541450</v>
      </c>
      <c r="B554" s="0" t="n">
        <v>579767</v>
      </c>
      <c r="C554" s="0" t="n">
        <v>655926</v>
      </c>
      <c r="D554" s="0" t="s">
        <v>35</v>
      </c>
      <c r="E554" s="0" t="s">
        <v>35</v>
      </c>
      <c r="F554" s="0" t="s">
        <v>36</v>
      </c>
      <c r="G554" s="0" t="s">
        <v>37</v>
      </c>
      <c r="H554" s="0" t="s">
        <v>1824</v>
      </c>
      <c r="J554" s="0" t="s">
        <v>1825</v>
      </c>
      <c r="L554" s="0" t="s">
        <v>1826</v>
      </c>
      <c r="M554" s="0" t="s">
        <v>1827</v>
      </c>
      <c r="N554" s="0" t="n">
        <v>1999</v>
      </c>
      <c r="O554" s="0" t="s">
        <v>1796</v>
      </c>
      <c r="P554" s="0" t="n">
        <v>1999</v>
      </c>
      <c r="Q554" s="0" t="s">
        <v>39</v>
      </c>
      <c r="R554" s="0" t="s">
        <v>1828</v>
      </c>
      <c r="S554" s="0" t="s">
        <v>1829</v>
      </c>
      <c r="V554" s="0" t="n">
        <v>1</v>
      </c>
      <c r="W554" s="0" t="n">
        <v>1</v>
      </c>
      <c r="X554" s="0" t="str">
        <f aca="false">"31811011772962"</f>
        <v>31811011772962</v>
      </c>
      <c r="Y554" s="0" t="s">
        <v>39</v>
      </c>
      <c r="Z554" s="0" t="s">
        <v>42</v>
      </c>
      <c r="AA554" s="0" t="s">
        <v>43</v>
      </c>
      <c r="AE554" s="1" t="s">
        <v>52</v>
      </c>
      <c r="AH554" s="1" t="s">
        <v>1830</v>
      </c>
    </row>
    <row r="555" customFormat="false" ht="12.8" hidden="false" customHeight="false" outlineLevel="0" collapsed="false">
      <c r="A555" s="0" t="n">
        <v>549342</v>
      </c>
      <c r="B555" s="0" t="n">
        <v>587805</v>
      </c>
      <c r="C555" s="0" t="n">
        <v>664172</v>
      </c>
      <c r="D555" s="0" t="s">
        <v>35</v>
      </c>
      <c r="E555" s="0" t="s">
        <v>35</v>
      </c>
      <c r="F555" s="0" t="s">
        <v>36</v>
      </c>
      <c r="G555" s="0" t="s">
        <v>37</v>
      </c>
      <c r="H555" s="0" t="s">
        <v>1831</v>
      </c>
      <c r="J555" s="0" t="s">
        <v>1832</v>
      </c>
      <c r="L555" s="0" t="n">
        <v>838754767</v>
      </c>
      <c r="M555" s="0" t="s">
        <v>1833</v>
      </c>
      <c r="N555" s="0" t="s">
        <v>101</v>
      </c>
      <c r="O555" s="0" t="s">
        <v>1796</v>
      </c>
      <c r="P555" s="0" t="n">
        <v>2000</v>
      </c>
      <c r="Q555" s="0" t="s">
        <v>39</v>
      </c>
      <c r="R555" s="0" t="s">
        <v>1834</v>
      </c>
      <c r="S555" s="0" t="s">
        <v>1835</v>
      </c>
      <c r="V555" s="0" t="n">
        <v>1</v>
      </c>
      <c r="W555" s="0" t="n">
        <v>1</v>
      </c>
      <c r="X555" s="0" t="str">
        <f aca="false">"31811011774190"</f>
        <v>31811011774190</v>
      </c>
      <c r="Y555" s="0" t="s">
        <v>39</v>
      </c>
      <c r="Z555" s="0" t="s">
        <v>42</v>
      </c>
      <c r="AA555" s="0" t="s">
        <v>43</v>
      </c>
      <c r="AE555" s="1" t="s">
        <v>52</v>
      </c>
      <c r="AH555" s="1" t="s">
        <v>1836</v>
      </c>
    </row>
    <row r="556" customFormat="false" ht="12.8" hidden="false" customHeight="false" outlineLevel="0" collapsed="false">
      <c r="A556" s="0" t="n">
        <v>553220</v>
      </c>
      <c r="B556" s="0" t="n">
        <v>591761</v>
      </c>
      <c r="C556" s="0" t="n">
        <v>668321</v>
      </c>
      <c r="D556" s="0" t="s">
        <v>35</v>
      </c>
      <c r="E556" s="0" t="s">
        <v>35</v>
      </c>
      <c r="F556" s="0" t="s">
        <v>36</v>
      </c>
      <c r="G556" s="0" t="s">
        <v>37</v>
      </c>
      <c r="H556" s="0" t="s">
        <v>1837</v>
      </c>
      <c r="J556" s="0" t="s">
        <v>1838</v>
      </c>
      <c r="L556" s="0" t="n">
        <v>838754759</v>
      </c>
      <c r="M556" s="0" t="s">
        <v>1839</v>
      </c>
      <c r="N556" s="0" t="n">
        <v>2001</v>
      </c>
      <c r="O556" s="0" t="s">
        <v>1796</v>
      </c>
      <c r="P556" s="0" t="n">
        <v>2001</v>
      </c>
      <c r="Q556" s="0" t="s">
        <v>39</v>
      </c>
      <c r="R556" s="0" t="s">
        <v>1840</v>
      </c>
      <c r="S556" s="0" t="s">
        <v>1841</v>
      </c>
      <c r="V556" s="0" t="n">
        <v>1</v>
      </c>
      <c r="W556" s="0" t="n">
        <v>1</v>
      </c>
      <c r="X556" s="0" t="str">
        <f aca="false">"31811012461409"</f>
        <v>31811012461409</v>
      </c>
      <c r="Y556" s="0" t="s">
        <v>39</v>
      </c>
      <c r="Z556" s="0" t="s">
        <v>42</v>
      </c>
      <c r="AA556" s="0" t="s">
        <v>43</v>
      </c>
      <c r="AE556" s="1" t="s">
        <v>52</v>
      </c>
      <c r="AH556" s="1" t="s">
        <v>1842</v>
      </c>
    </row>
    <row r="557" customFormat="false" ht="12.8" hidden="false" customHeight="false" outlineLevel="0" collapsed="false">
      <c r="A557" s="0" t="n">
        <v>557991</v>
      </c>
      <c r="B557" s="0" t="n">
        <v>596530</v>
      </c>
      <c r="C557" s="0" t="n">
        <v>673250</v>
      </c>
      <c r="D557" s="0" t="s">
        <v>35</v>
      </c>
      <c r="E557" s="0" t="s">
        <v>35</v>
      </c>
      <c r="F557" s="0" t="s">
        <v>36</v>
      </c>
      <c r="G557" s="0" t="s">
        <v>37</v>
      </c>
      <c r="H557" s="0" t="s">
        <v>1843</v>
      </c>
      <c r="J557" s="0" t="s">
        <v>1844</v>
      </c>
      <c r="L557" s="0" t="n">
        <v>838755178</v>
      </c>
      <c r="M557" s="0" t="s">
        <v>1845</v>
      </c>
      <c r="N557" s="0" t="s">
        <v>1846</v>
      </c>
      <c r="O557" s="0" t="s">
        <v>1847</v>
      </c>
      <c r="P557" s="0" t="n">
        <v>2002</v>
      </c>
      <c r="Q557" s="0" t="s">
        <v>39</v>
      </c>
      <c r="R557" s="0" t="s">
        <v>1848</v>
      </c>
      <c r="S557" s="0" t="s">
        <v>1849</v>
      </c>
      <c r="V557" s="0" t="n">
        <v>1</v>
      </c>
      <c r="W557" s="0" t="n">
        <v>1</v>
      </c>
      <c r="X557" s="0" t="str">
        <f aca="false">"31811012205012"</f>
        <v>31811012205012</v>
      </c>
      <c r="Y557" s="0" t="s">
        <v>39</v>
      </c>
      <c r="Z557" s="0" t="s">
        <v>42</v>
      </c>
      <c r="AA557" s="0" t="s">
        <v>43</v>
      </c>
      <c r="AE557" s="1" t="s">
        <v>52</v>
      </c>
      <c r="AH557" s="1" t="s">
        <v>1850</v>
      </c>
    </row>
    <row r="558" customFormat="false" ht="12.8" hidden="false" customHeight="false" outlineLevel="0" collapsed="false">
      <c r="A558" s="0" t="n">
        <v>28775</v>
      </c>
      <c r="B558" s="0" t="n">
        <v>31645</v>
      </c>
      <c r="C558" s="0" t="n">
        <v>35554</v>
      </c>
      <c r="D558" s="0" t="s">
        <v>35</v>
      </c>
      <c r="E558" s="0" t="s">
        <v>35</v>
      </c>
      <c r="F558" s="0" t="s">
        <v>36</v>
      </c>
      <c r="G558" s="0" t="s">
        <v>37</v>
      </c>
      <c r="H558" s="0" t="s">
        <v>1851</v>
      </c>
      <c r="J558" s="0" t="s">
        <v>1852</v>
      </c>
      <c r="L558" s="0" t="n">
        <v>838718809</v>
      </c>
      <c r="M558" s="0" t="s">
        <v>1853</v>
      </c>
      <c r="N558" s="0" t="s">
        <v>1854</v>
      </c>
      <c r="O558" s="0" t="s">
        <v>1773</v>
      </c>
      <c r="P558" s="0" t="n">
        <v>1976</v>
      </c>
      <c r="Q558" s="0" t="s">
        <v>39</v>
      </c>
      <c r="R558" s="0" t="s">
        <v>1855</v>
      </c>
      <c r="S558" s="0" t="s">
        <v>1856</v>
      </c>
      <c r="V558" s="0" t="n">
        <v>1</v>
      </c>
      <c r="W558" s="0" t="n">
        <v>1</v>
      </c>
      <c r="X558" s="0" t="str">
        <f aca="false">"31811003178574"</f>
        <v>31811003178574</v>
      </c>
      <c r="Y558" s="0" t="s">
        <v>39</v>
      </c>
      <c r="Z558" s="0" t="s">
        <v>42</v>
      </c>
      <c r="AA558" s="0" t="s">
        <v>43</v>
      </c>
      <c r="AE558" s="1" t="s">
        <v>52</v>
      </c>
    </row>
    <row r="559" customFormat="false" ht="12.8" hidden="false" customHeight="false" outlineLevel="0" collapsed="false">
      <c r="A559" s="0" t="n">
        <v>338322</v>
      </c>
      <c r="B559" s="0" t="n">
        <v>367132</v>
      </c>
      <c r="C559" s="0" t="n">
        <v>408984</v>
      </c>
      <c r="D559" s="0" t="s">
        <v>35</v>
      </c>
      <c r="E559" s="0" t="s">
        <v>35</v>
      </c>
      <c r="F559" s="0" t="s">
        <v>36</v>
      </c>
      <c r="G559" s="0" t="s">
        <v>37</v>
      </c>
      <c r="H559" s="0" t="s">
        <v>1857</v>
      </c>
      <c r="J559" s="0" t="s">
        <v>1858</v>
      </c>
      <c r="L559" s="0" t="n">
        <v>838719341</v>
      </c>
      <c r="M559" s="0" t="s">
        <v>1859</v>
      </c>
      <c r="N559" s="0" t="n">
        <v>1977</v>
      </c>
      <c r="O559" s="0" t="s">
        <v>1773</v>
      </c>
      <c r="P559" s="0" t="n">
        <v>1977</v>
      </c>
      <c r="Q559" s="0" t="s">
        <v>39</v>
      </c>
      <c r="R559" s="0" t="s">
        <v>1860</v>
      </c>
      <c r="S559" s="0" t="s">
        <v>1861</v>
      </c>
      <c r="V559" s="0" t="n">
        <v>1</v>
      </c>
      <c r="W559" s="0" t="n">
        <v>1</v>
      </c>
      <c r="X559" s="0" t="str">
        <f aca="false">"31811010356718"</f>
        <v>31811010356718</v>
      </c>
      <c r="Y559" s="0" t="s">
        <v>39</v>
      </c>
      <c r="Z559" s="0" t="s">
        <v>42</v>
      </c>
      <c r="AA559" s="0" t="s">
        <v>43</v>
      </c>
      <c r="AE559" s="1" t="s">
        <v>52</v>
      </c>
    </row>
    <row r="560" customFormat="false" ht="12.8" hidden="false" customHeight="false" outlineLevel="0" collapsed="false">
      <c r="A560" s="0" t="n">
        <v>34636</v>
      </c>
      <c r="B560" s="0" t="n">
        <v>37878</v>
      </c>
      <c r="C560" s="0" t="n">
        <v>42200</v>
      </c>
      <c r="D560" s="0" t="s">
        <v>35</v>
      </c>
      <c r="E560" s="0" t="s">
        <v>35</v>
      </c>
      <c r="F560" s="0" t="s">
        <v>36</v>
      </c>
      <c r="G560" s="0" t="s">
        <v>37</v>
      </c>
      <c r="H560" s="0" t="s">
        <v>1862</v>
      </c>
      <c r="J560" s="0" t="s">
        <v>1863</v>
      </c>
      <c r="L560" s="0" t="s">
        <v>1864</v>
      </c>
      <c r="M560" s="0" t="s">
        <v>1865</v>
      </c>
      <c r="N560" s="0" t="n">
        <v>1977</v>
      </c>
      <c r="O560" s="0" t="s">
        <v>1773</v>
      </c>
      <c r="P560" s="0" t="n">
        <v>1977</v>
      </c>
      <c r="Q560" s="0" t="s">
        <v>39</v>
      </c>
      <c r="R560" s="0" t="s">
        <v>1866</v>
      </c>
      <c r="S560" s="0" t="s">
        <v>1867</v>
      </c>
      <c r="V560" s="0" t="n">
        <v>1</v>
      </c>
      <c r="W560" s="0" t="n">
        <v>1</v>
      </c>
      <c r="X560" s="0" t="str">
        <f aca="false">"31811010356700"</f>
        <v>31811010356700</v>
      </c>
      <c r="Y560" s="0" t="s">
        <v>39</v>
      </c>
      <c r="Z560" s="0" t="s">
        <v>42</v>
      </c>
      <c r="AA560" s="0" t="s">
        <v>43</v>
      </c>
      <c r="AE560" s="1" t="s">
        <v>52</v>
      </c>
    </row>
    <row r="561" customFormat="false" ht="12.8" hidden="false" customHeight="false" outlineLevel="0" collapsed="false">
      <c r="A561" s="0" t="n">
        <v>305047</v>
      </c>
      <c r="B561" s="0" t="n">
        <v>332639</v>
      </c>
      <c r="C561" s="0" t="n">
        <v>371394</v>
      </c>
      <c r="D561" s="0" t="s">
        <v>35</v>
      </c>
      <c r="E561" s="0" t="s">
        <v>35</v>
      </c>
      <c r="F561" s="0" t="s">
        <v>36</v>
      </c>
      <c r="G561" s="0" t="s">
        <v>37</v>
      </c>
      <c r="H561" s="0" t="s">
        <v>1868</v>
      </c>
      <c r="J561" s="0" t="s">
        <v>1869</v>
      </c>
      <c r="L561" s="1" t="s">
        <v>1870</v>
      </c>
      <c r="M561" s="0" t="s">
        <v>1871</v>
      </c>
      <c r="N561" s="0" t="n">
        <v>1977</v>
      </c>
      <c r="O561" s="0" t="s">
        <v>1773</v>
      </c>
      <c r="P561" s="0" t="n">
        <v>1977</v>
      </c>
      <c r="Q561" s="0" t="s">
        <v>39</v>
      </c>
      <c r="R561" s="0" t="s">
        <v>1872</v>
      </c>
      <c r="S561" s="0" t="s">
        <v>1873</v>
      </c>
      <c r="V561" s="0" t="n">
        <v>1</v>
      </c>
      <c r="W561" s="0" t="n">
        <v>1</v>
      </c>
      <c r="X561" s="0" t="str">
        <f aca="false">"31811010356692"</f>
        <v>31811010356692</v>
      </c>
      <c r="Y561" s="0" t="s">
        <v>39</v>
      </c>
      <c r="Z561" s="0" t="s">
        <v>42</v>
      </c>
      <c r="AA561" s="0" t="s">
        <v>43</v>
      </c>
      <c r="AE561" s="1" t="s">
        <v>52</v>
      </c>
    </row>
    <row r="562" customFormat="false" ht="12.8" hidden="false" customHeight="false" outlineLevel="0" collapsed="false">
      <c r="A562" s="0" t="n">
        <v>146466</v>
      </c>
      <c r="B562" s="0" t="n">
        <v>158603</v>
      </c>
      <c r="C562" s="0" t="n">
        <v>177972</v>
      </c>
      <c r="D562" s="0" t="s">
        <v>35</v>
      </c>
      <c r="E562" s="0" t="s">
        <v>35</v>
      </c>
      <c r="F562" s="0" t="s">
        <v>36</v>
      </c>
      <c r="G562" s="0" t="s">
        <v>37</v>
      </c>
      <c r="H562" s="0" t="s">
        <v>1874</v>
      </c>
      <c r="J562" s="0" t="s">
        <v>1875</v>
      </c>
      <c r="L562" s="0" t="s">
        <v>1876</v>
      </c>
      <c r="M562" s="0" t="s">
        <v>1877</v>
      </c>
      <c r="N562" s="0" t="s">
        <v>1469</v>
      </c>
      <c r="O562" s="0" t="s">
        <v>1773</v>
      </c>
      <c r="P562" s="0" t="n">
        <v>1978</v>
      </c>
      <c r="Q562" s="0" t="s">
        <v>39</v>
      </c>
      <c r="R562" s="0" t="s">
        <v>1878</v>
      </c>
      <c r="S562" s="0" t="s">
        <v>1879</v>
      </c>
      <c r="V562" s="0" t="n">
        <v>1</v>
      </c>
      <c r="W562" s="0" t="n">
        <v>1</v>
      </c>
      <c r="X562" s="0" t="str">
        <f aca="false">"31811010357013"</f>
        <v>31811010357013</v>
      </c>
      <c r="Y562" s="0" t="s">
        <v>39</v>
      </c>
      <c r="Z562" s="0" t="s">
        <v>42</v>
      </c>
      <c r="AA562" s="0" t="s">
        <v>43</v>
      </c>
      <c r="AE562" s="1" t="s">
        <v>52</v>
      </c>
    </row>
    <row r="563" customFormat="false" ht="12.8" hidden="false" customHeight="false" outlineLevel="0" collapsed="false">
      <c r="A563" s="0" t="n">
        <v>60249</v>
      </c>
      <c r="B563" s="0" t="n">
        <v>65442</v>
      </c>
      <c r="C563" s="0" t="n">
        <v>72215</v>
      </c>
      <c r="D563" s="0" t="s">
        <v>35</v>
      </c>
      <c r="E563" s="0" t="s">
        <v>35</v>
      </c>
      <c r="F563" s="0" t="s">
        <v>36</v>
      </c>
      <c r="G563" s="0" t="s">
        <v>37</v>
      </c>
      <c r="H563" s="0" t="s">
        <v>1880</v>
      </c>
      <c r="J563" s="0" t="s">
        <v>1881</v>
      </c>
      <c r="L563" s="1" t="s">
        <v>1882</v>
      </c>
      <c r="M563" s="0" t="s">
        <v>1883</v>
      </c>
      <c r="N563" s="0" t="s">
        <v>349</v>
      </c>
      <c r="O563" s="0" t="s">
        <v>1773</v>
      </c>
      <c r="P563" s="0" t="n">
        <v>1979</v>
      </c>
      <c r="Q563" s="0" t="s">
        <v>39</v>
      </c>
      <c r="R563" s="0" t="s">
        <v>1884</v>
      </c>
      <c r="S563" s="0" t="s">
        <v>1885</v>
      </c>
      <c r="V563" s="0" t="n">
        <v>1</v>
      </c>
      <c r="W563" s="0" t="n">
        <v>1</v>
      </c>
      <c r="X563" s="0" t="str">
        <f aca="false">"31811010357021"</f>
        <v>31811010357021</v>
      </c>
      <c r="Y563" s="0" t="s">
        <v>39</v>
      </c>
      <c r="Z563" s="0" t="s">
        <v>42</v>
      </c>
      <c r="AA563" s="0" t="s">
        <v>43</v>
      </c>
      <c r="AE563" s="1" t="s">
        <v>52</v>
      </c>
      <c r="AH563" s="1" t="s">
        <v>1886</v>
      </c>
    </row>
    <row r="564" customFormat="false" ht="12.8" hidden="false" customHeight="false" outlineLevel="0" collapsed="false">
      <c r="A564" s="0" t="n">
        <v>78175</v>
      </c>
      <c r="B564" s="0" t="n">
        <v>84705</v>
      </c>
      <c r="C564" s="0" t="n">
        <v>95178</v>
      </c>
      <c r="D564" s="0" t="s">
        <v>35</v>
      </c>
      <c r="E564" s="0" t="s">
        <v>35</v>
      </c>
      <c r="F564" s="0" t="s">
        <v>36</v>
      </c>
      <c r="G564" s="0" t="s">
        <v>37</v>
      </c>
      <c r="H564" s="0" t="s">
        <v>1887</v>
      </c>
      <c r="J564" s="0" t="s">
        <v>1888</v>
      </c>
      <c r="L564" s="0" t="n">
        <v>838723764</v>
      </c>
      <c r="M564" s="0" t="s">
        <v>1889</v>
      </c>
      <c r="N564" s="0" t="s">
        <v>1890</v>
      </c>
      <c r="O564" s="0" t="s">
        <v>1773</v>
      </c>
      <c r="P564" s="0" t="n">
        <v>1980</v>
      </c>
      <c r="Q564" s="0" t="s">
        <v>39</v>
      </c>
      <c r="R564" s="0" t="s">
        <v>1891</v>
      </c>
      <c r="S564" s="0" t="s">
        <v>1892</v>
      </c>
      <c r="V564" s="0" t="n">
        <v>1</v>
      </c>
      <c r="W564" s="0" t="n">
        <v>1</v>
      </c>
      <c r="X564" s="0" t="str">
        <f aca="false">"31811010357039"</f>
        <v>31811010357039</v>
      </c>
      <c r="Y564" s="0" t="s">
        <v>39</v>
      </c>
      <c r="Z564" s="0" t="s">
        <v>42</v>
      </c>
      <c r="AA564" s="0" t="s">
        <v>43</v>
      </c>
      <c r="AE564" s="1" t="s">
        <v>52</v>
      </c>
    </row>
    <row r="565" customFormat="false" ht="12.8" hidden="false" customHeight="false" outlineLevel="0" collapsed="false">
      <c r="A565" s="0" t="n">
        <v>78151</v>
      </c>
      <c r="B565" s="0" t="n">
        <v>84680</v>
      </c>
      <c r="C565" s="0" t="n">
        <v>95154</v>
      </c>
      <c r="D565" s="0" t="s">
        <v>35</v>
      </c>
      <c r="E565" s="0" t="s">
        <v>35</v>
      </c>
      <c r="F565" s="0" t="s">
        <v>36</v>
      </c>
      <c r="G565" s="0" t="s">
        <v>37</v>
      </c>
      <c r="H565" s="0" t="s">
        <v>1893</v>
      </c>
      <c r="J565" s="0" t="s">
        <v>1894</v>
      </c>
      <c r="L565" s="1" t="s">
        <v>1895</v>
      </c>
      <c r="M565" s="0" t="s">
        <v>1896</v>
      </c>
      <c r="N565" s="0" t="n">
        <v>1980</v>
      </c>
      <c r="O565" s="0" t="s">
        <v>1773</v>
      </c>
      <c r="P565" s="0" t="n">
        <v>1980</v>
      </c>
      <c r="Q565" s="0" t="s">
        <v>39</v>
      </c>
      <c r="R565" s="0" t="s">
        <v>1897</v>
      </c>
      <c r="S565" s="0" t="s">
        <v>1898</v>
      </c>
      <c r="V565" s="0" t="n">
        <v>1</v>
      </c>
      <c r="W565" s="0" t="n">
        <v>1</v>
      </c>
      <c r="X565" s="0" t="str">
        <f aca="false">"31811010357047"</f>
        <v>31811010357047</v>
      </c>
      <c r="Y565" s="0" t="s">
        <v>39</v>
      </c>
      <c r="Z565" s="0" t="s">
        <v>42</v>
      </c>
      <c r="AA565" s="0" t="s">
        <v>43</v>
      </c>
      <c r="AE565" s="1" t="s">
        <v>52</v>
      </c>
      <c r="AH565" s="1" t="s">
        <v>1899</v>
      </c>
    </row>
    <row r="566" customFormat="false" ht="12.8" hidden="false" customHeight="false" outlineLevel="0" collapsed="false">
      <c r="A566" s="0" t="n">
        <v>78167</v>
      </c>
      <c r="B566" s="0" t="n">
        <v>84697</v>
      </c>
      <c r="C566" s="0" t="n">
        <v>95171</v>
      </c>
      <c r="D566" s="0" t="s">
        <v>35</v>
      </c>
      <c r="E566" s="0" t="s">
        <v>35</v>
      </c>
      <c r="F566" s="0" t="s">
        <v>36</v>
      </c>
      <c r="G566" s="0" t="s">
        <v>37</v>
      </c>
      <c r="H566" s="0" t="s">
        <v>1900</v>
      </c>
      <c r="J566" s="0" t="s">
        <v>1901</v>
      </c>
      <c r="L566" s="0" t="n">
        <v>838750079</v>
      </c>
      <c r="M566" s="0" t="s">
        <v>1902</v>
      </c>
      <c r="N566" s="0" t="s">
        <v>408</v>
      </c>
      <c r="O566" s="0" t="s">
        <v>1773</v>
      </c>
      <c r="P566" s="0" t="n">
        <v>1981</v>
      </c>
      <c r="Q566" s="0" t="s">
        <v>39</v>
      </c>
      <c r="R566" s="0" t="s">
        <v>1903</v>
      </c>
      <c r="S566" s="0" t="s">
        <v>1904</v>
      </c>
      <c r="V566" s="0" t="n">
        <v>1</v>
      </c>
      <c r="W566" s="0" t="n">
        <v>1</v>
      </c>
      <c r="X566" s="0" t="str">
        <f aca="false">"31811010356973"</f>
        <v>31811010356973</v>
      </c>
      <c r="Y566" s="0" t="s">
        <v>39</v>
      </c>
      <c r="Z566" s="0" t="s">
        <v>42</v>
      </c>
      <c r="AA566" s="0" t="s">
        <v>43</v>
      </c>
      <c r="AE566" s="1" t="s">
        <v>52</v>
      </c>
    </row>
    <row r="567" customFormat="false" ht="12.8" hidden="false" customHeight="false" outlineLevel="0" collapsed="false">
      <c r="A567" s="0" t="n">
        <v>83158</v>
      </c>
      <c r="B567" s="0" t="n">
        <v>90023</v>
      </c>
      <c r="C567" s="0" t="n">
        <v>101156</v>
      </c>
      <c r="D567" s="0" t="s">
        <v>35</v>
      </c>
      <c r="E567" s="0" t="s">
        <v>35</v>
      </c>
      <c r="F567" s="0" t="s">
        <v>36</v>
      </c>
      <c r="G567" s="0" t="s">
        <v>37</v>
      </c>
      <c r="H567" s="0" t="s">
        <v>1905</v>
      </c>
      <c r="J567" s="0" t="s">
        <v>1906</v>
      </c>
      <c r="L567" s="1" t="s">
        <v>1907</v>
      </c>
      <c r="M567" s="0" t="s">
        <v>1908</v>
      </c>
      <c r="N567" s="0" t="s">
        <v>408</v>
      </c>
      <c r="O567" s="0" t="s">
        <v>1796</v>
      </c>
      <c r="P567" s="0" t="n">
        <v>1981</v>
      </c>
      <c r="Q567" s="0" t="s">
        <v>39</v>
      </c>
      <c r="R567" s="0" t="s">
        <v>1909</v>
      </c>
      <c r="S567" s="0" t="s">
        <v>1910</v>
      </c>
      <c r="V567" s="0" t="n">
        <v>1</v>
      </c>
      <c r="W567" s="0" t="n">
        <v>1</v>
      </c>
      <c r="X567" s="0" t="str">
        <f aca="false">"31811010356981"</f>
        <v>31811010356981</v>
      </c>
      <c r="Y567" s="0" t="s">
        <v>39</v>
      </c>
      <c r="Z567" s="0" t="s">
        <v>42</v>
      </c>
      <c r="AA567" s="0" t="s">
        <v>43</v>
      </c>
      <c r="AE567" s="1" t="s">
        <v>52</v>
      </c>
    </row>
    <row r="568" customFormat="false" ht="12.8" hidden="false" customHeight="false" outlineLevel="0" collapsed="false">
      <c r="A568" s="0" t="n">
        <v>83224</v>
      </c>
      <c r="B568" s="0" t="n">
        <v>90089</v>
      </c>
      <c r="C568" s="0" t="n">
        <v>101224</v>
      </c>
      <c r="D568" s="0" t="s">
        <v>35</v>
      </c>
      <c r="E568" s="0" t="s">
        <v>35</v>
      </c>
      <c r="F568" s="0" t="s">
        <v>36</v>
      </c>
      <c r="G568" s="0" t="s">
        <v>37</v>
      </c>
      <c r="H568" s="0" t="s">
        <v>1911</v>
      </c>
      <c r="J568" s="0" t="s">
        <v>1912</v>
      </c>
      <c r="L568" s="0" t="n">
        <v>838750494</v>
      </c>
      <c r="M568" s="0" t="s">
        <v>1913</v>
      </c>
      <c r="N568" s="0" t="s">
        <v>1596</v>
      </c>
      <c r="O568" s="0" t="s">
        <v>1773</v>
      </c>
      <c r="P568" s="0" t="n">
        <v>1982</v>
      </c>
      <c r="Q568" s="0" t="s">
        <v>39</v>
      </c>
      <c r="R568" s="0" t="s">
        <v>1914</v>
      </c>
      <c r="S568" s="0" t="s">
        <v>1915</v>
      </c>
      <c r="V568" s="0" t="n">
        <v>1</v>
      </c>
      <c r="W568" s="0" t="n">
        <v>1</v>
      </c>
      <c r="X568" s="0" t="str">
        <f aca="false">"31811010356999"</f>
        <v>31811010356999</v>
      </c>
      <c r="Y568" s="0" t="s">
        <v>39</v>
      </c>
      <c r="Z568" s="0" t="s">
        <v>42</v>
      </c>
      <c r="AA568" s="0" t="s">
        <v>43</v>
      </c>
      <c r="AE568" s="1" t="s">
        <v>52</v>
      </c>
    </row>
    <row r="569" customFormat="false" ht="12.8" hidden="false" customHeight="false" outlineLevel="0" collapsed="false">
      <c r="A569" s="0" t="n">
        <v>5568</v>
      </c>
      <c r="B569" s="0" t="n">
        <v>6339</v>
      </c>
      <c r="C569" s="0" t="n">
        <v>7279</v>
      </c>
      <c r="D569" s="0" t="s">
        <v>35</v>
      </c>
      <c r="E569" s="0" t="s">
        <v>35</v>
      </c>
      <c r="F569" s="0" t="s">
        <v>36</v>
      </c>
      <c r="G569" s="0" t="s">
        <v>37</v>
      </c>
      <c r="H569" s="0" t="s">
        <v>1916</v>
      </c>
      <c r="J569" s="0" t="s">
        <v>1917</v>
      </c>
      <c r="L569" s="0" t="n">
        <v>838750516</v>
      </c>
      <c r="M569" s="0" t="s">
        <v>1918</v>
      </c>
      <c r="N569" s="0" t="s">
        <v>1919</v>
      </c>
      <c r="O569" s="0" t="s">
        <v>1773</v>
      </c>
      <c r="P569" s="0" t="n">
        <v>1983</v>
      </c>
      <c r="Q569" s="0" t="s">
        <v>39</v>
      </c>
      <c r="R569" s="0" t="s">
        <v>1920</v>
      </c>
      <c r="S569" s="0" t="s">
        <v>1921</v>
      </c>
      <c r="V569" s="0" t="n">
        <v>1</v>
      </c>
      <c r="W569" s="0" t="n">
        <v>1</v>
      </c>
      <c r="X569" s="0" t="str">
        <f aca="false">"31811010357005"</f>
        <v>31811010357005</v>
      </c>
      <c r="Y569" s="0" t="s">
        <v>39</v>
      </c>
      <c r="Z569" s="0" t="s">
        <v>42</v>
      </c>
      <c r="AA569" s="0" t="s">
        <v>43</v>
      </c>
      <c r="AE569" s="1" t="s">
        <v>52</v>
      </c>
    </row>
    <row r="570" customFormat="false" ht="12.8" hidden="false" customHeight="false" outlineLevel="0" collapsed="false">
      <c r="A570" s="0" t="n">
        <v>84362</v>
      </c>
      <c r="B570" s="0" t="n">
        <v>91309</v>
      </c>
      <c r="C570" s="0" t="n">
        <v>102525</v>
      </c>
      <c r="D570" s="0" t="s">
        <v>35</v>
      </c>
      <c r="E570" s="0" t="s">
        <v>35</v>
      </c>
      <c r="F570" s="0" t="s">
        <v>36</v>
      </c>
      <c r="G570" s="0" t="s">
        <v>37</v>
      </c>
      <c r="H570" s="0" t="s">
        <v>1922</v>
      </c>
      <c r="J570" s="0" t="s">
        <v>1923</v>
      </c>
      <c r="L570" s="0" t="n">
        <v>838750540</v>
      </c>
      <c r="M570" s="0" t="s">
        <v>1924</v>
      </c>
      <c r="N570" s="0" t="s">
        <v>1919</v>
      </c>
      <c r="O570" s="0" t="s">
        <v>1796</v>
      </c>
      <c r="P570" s="0" t="n">
        <v>1983</v>
      </c>
      <c r="Q570" s="0" t="s">
        <v>39</v>
      </c>
      <c r="R570" s="0" t="s">
        <v>1925</v>
      </c>
      <c r="S570" s="0" t="s">
        <v>1926</v>
      </c>
      <c r="V570" s="0" t="n">
        <v>1</v>
      </c>
      <c r="W570" s="0" t="n">
        <v>1</v>
      </c>
      <c r="X570" s="0" t="str">
        <f aca="false">"31811010356494"</f>
        <v>31811010356494</v>
      </c>
      <c r="Y570" s="0" t="s">
        <v>39</v>
      </c>
      <c r="Z570" s="0" t="s">
        <v>42</v>
      </c>
      <c r="AA570" s="0" t="s">
        <v>43</v>
      </c>
      <c r="AE570" s="1" t="s">
        <v>52</v>
      </c>
    </row>
    <row r="571" customFormat="false" ht="12.8" hidden="false" customHeight="false" outlineLevel="0" collapsed="false">
      <c r="A571" s="0" t="n">
        <v>86133</v>
      </c>
      <c r="B571" s="0" t="n">
        <v>93208</v>
      </c>
      <c r="C571" s="0" t="n">
        <v>104547</v>
      </c>
      <c r="D571" s="0" t="s">
        <v>35</v>
      </c>
      <c r="E571" s="0" t="s">
        <v>35</v>
      </c>
      <c r="F571" s="0" t="s">
        <v>36</v>
      </c>
      <c r="G571" s="0" t="s">
        <v>37</v>
      </c>
      <c r="H571" s="0" t="s">
        <v>1927</v>
      </c>
      <c r="J571" s="0" t="s">
        <v>1928</v>
      </c>
      <c r="L571" s="0" t="n">
        <v>838750575</v>
      </c>
      <c r="M571" s="0" t="s">
        <v>1929</v>
      </c>
      <c r="N571" s="0" t="s">
        <v>1919</v>
      </c>
      <c r="O571" s="0" t="s">
        <v>1773</v>
      </c>
      <c r="P571" s="0" t="n">
        <v>1983</v>
      </c>
      <c r="Q571" s="0" t="s">
        <v>39</v>
      </c>
      <c r="R571" s="0" t="s">
        <v>1930</v>
      </c>
      <c r="S571" s="0" t="s">
        <v>1931</v>
      </c>
      <c r="V571" s="0" t="n">
        <v>1</v>
      </c>
      <c r="W571" s="0" t="n">
        <v>1</v>
      </c>
      <c r="X571" s="0" t="str">
        <f aca="false">"31811010356536"</f>
        <v>31811010356536</v>
      </c>
      <c r="Y571" s="0" t="s">
        <v>39</v>
      </c>
      <c r="Z571" s="0" t="s">
        <v>42</v>
      </c>
      <c r="AA571" s="0" t="s">
        <v>43</v>
      </c>
      <c r="AE571" s="1" t="s">
        <v>52</v>
      </c>
    </row>
    <row r="572" customFormat="false" ht="12.8" hidden="false" customHeight="false" outlineLevel="0" collapsed="false">
      <c r="A572" s="0" t="n">
        <v>100524</v>
      </c>
      <c r="B572" s="0" t="n">
        <v>108328</v>
      </c>
      <c r="C572" s="0" t="n">
        <v>121046</v>
      </c>
      <c r="D572" s="0" t="s">
        <v>35</v>
      </c>
      <c r="E572" s="0" t="s">
        <v>35</v>
      </c>
      <c r="F572" s="0" t="s">
        <v>36</v>
      </c>
      <c r="G572" s="0" t="s">
        <v>37</v>
      </c>
      <c r="H572" s="0" t="s">
        <v>1932</v>
      </c>
      <c r="J572" s="0" t="s">
        <v>1933</v>
      </c>
      <c r="L572" s="0" t="s">
        <v>1934</v>
      </c>
      <c r="M572" s="0" t="s">
        <v>1935</v>
      </c>
      <c r="N572" s="0" t="s">
        <v>880</v>
      </c>
      <c r="O572" s="0" t="s">
        <v>1796</v>
      </c>
      <c r="P572" s="0" t="n">
        <v>1984</v>
      </c>
      <c r="Q572" s="0" t="s">
        <v>39</v>
      </c>
      <c r="R572" s="0" t="s">
        <v>1936</v>
      </c>
      <c r="S572" s="0" t="s">
        <v>1937</v>
      </c>
      <c r="V572" s="0" t="n">
        <v>1</v>
      </c>
      <c r="W572" s="0" t="n">
        <v>1</v>
      </c>
      <c r="X572" s="0" t="str">
        <f aca="false">"31811010356544"</f>
        <v>31811010356544</v>
      </c>
      <c r="Y572" s="0" t="s">
        <v>39</v>
      </c>
      <c r="Z572" s="0" t="s">
        <v>42</v>
      </c>
      <c r="AA572" s="0" t="s">
        <v>43</v>
      </c>
      <c r="AE572" s="1" t="s">
        <v>52</v>
      </c>
    </row>
    <row r="573" customFormat="false" ht="12.8" hidden="false" customHeight="false" outlineLevel="0" collapsed="false">
      <c r="A573" s="0" t="n">
        <v>110694</v>
      </c>
      <c r="B573" s="0" t="n">
        <v>119151</v>
      </c>
      <c r="C573" s="0" t="n">
        <v>132956</v>
      </c>
      <c r="D573" s="0" t="s">
        <v>35</v>
      </c>
      <c r="E573" s="0" t="s">
        <v>35</v>
      </c>
      <c r="F573" s="0" t="s">
        <v>36</v>
      </c>
      <c r="G573" s="0" t="s">
        <v>37</v>
      </c>
      <c r="H573" s="0" t="s">
        <v>1938</v>
      </c>
      <c r="J573" s="0" t="s">
        <v>1939</v>
      </c>
      <c r="L573" s="0" t="s">
        <v>1940</v>
      </c>
      <c r="M573" s="0" t="s">
        <v>1941</v>
      </c>
      <c r="N573" s="0" t="s">
        <v>1942</v>
      </c>
      <c r="O573" s="0" t="s">
        <v>1796</v>
      </c>
      <c r="P573" s="0" t="n">
        <v>1985</v>
      </c>
      <c r="Q573" s="0" t="s">
        <v>39</v>
      </c>
      <c r="R573" s="0" t="s">
        <v>1943</v>
      </c>
      <c r="S573" s="0" t="s">
        <v>1944</v>
      </c>
      <c r="V573" s="0" t="n">
        <v>1</v>
      </c>
      <c r="W573" s="0" t="n">
        <v>1</v>
      </c>
      <c r="X573" s="0" t="str">
        <f aca="false">"31811010356502"</f>
        <v>31811010356502</v>
      </c>
      <c r="Y573" s="0" t="s">
        <v>39</v>
      </c>
      <c r="Z573" s="0" t="s">
        <v>42</v>
      </c>
      <c r="AA573" s="0" t="s">
        <v>43</v>
      </c>
      <c r="AE573" s="1" t="s">
        <v>52</v>
      </c>
      <c r="AH573" s="1" t="s">
        <v>1945</v>
      </c>
    </row>
    <row r="574" customFormat="false" ht="12.8" hidden="false" customHeight="false" outlineLevel="0" collapsed="false">
      <c r="A574" s="0" t="n">
        <v>114363</v>
      </c>
      <c r="B574" s="0" t="n">
        <v>123061</v>
      </c>
      <c r="C574" s="0" t="n">
        <v>137172</v>
      </c>
      <c r="D574" s="0" t="s">
        <v>35</v>
      </c>
      <c r="E574" s="0" t="s">
        <v>35</v>
      </c>
      <c r="F574" s="0" t="s">
        <v>36</v>
      </c>
      <c r="G574" s="0" t="s">
        <v>37</v>
      </c>
      <c r="H574" s="0" t="s">
        <v>1946</v>
      </c>
      <c r="J574" s="0" t="s">
        <v>1947</v>
      </c>
      <c r="L574" s="0" t="s">
        <v>1948</v>
      </c>
      <c r="M574" s="0" t="s">
        <v>1949</v>
      </c>
      <c r="N574" s="0" t="n">
        <v>1986</v>
      </c>
      <c r="O574" s="0" t="s">
        <v>1796</v>
      </c>
      <c r="P574" s="0" t="n">
        <v>1986</v>
      </c>
      <c r="Q574" s="0" t="s">
        <v>39</v>
      </c>
      <c r="R574" s="0" t="s">
        <v>1950</v>
      </c>
      <c r="S574" s="0" t="s">
        <v>1951</v>
      </c>
      <c r="V574" s="0" t="n">
        <v>1</v>
      </c>
      <c r="W574" s="0" t="n">
        <v>1</v>
      </c>
      <c r="X574" s="0" t="str">
        <f aca="false">"31811010356551"</f>
        <v>31811010356551</v>
      </c>
      <c r="Y574" s="0" t="s">
        <v>39</v>
      </c>
      <c r="Z574" s="0" t="s">
        <v>42</v>
      </c>
      <c r="AA574" s="0" t="s">
        <v>43</v>
      </c>
      <c r="AE574" s="1" t="s">
        <v>52</v>
      </c>
    </row>
    <row r="575" customFormat="false" ht="12.8" hidden="false" customHeight="false" outlineLevel="0" collapsed="false">
      <c r="A575" s="0" t="n">
        <v>127208</v>
      </c>
      <c r="B575" s="0" t="n">
        <v>136929</v>
      </c>
      <c r="C575" s="0" t="n">
        <v>152213</v>
      </c>
      <c r="D575" s="0" t="s">
        <v>35</v>
      </c>
      <c r="E575" s="0" t="s">
        <v>35</v>
      </c>
      <c r="F575" s="0" t="s">
        <v>36</v>
      </c>
      <c r="G575" s="0" t="s">
        <v>37</v>
      </c>
      <c r="H575" s="0" t="s">
        <v>1952</v>
      </c>
      <c r="J575" s="0" t="s">
        <v>1953</v>
      </c>
      <c r="L575" s="0" t="s">
        <v>1954</v>
      </c>
      <c r="M575" s="0" t="s">
        <v>1955</v>
      </c>
      <c r="N575" s="0" t="s">
        <v>264</v>
      </c>
      <c r="O575" s="0" t="s">
        <v>1796</v>
      </c>
      <c r="P575" s="0" t="n">
        <v>1987</v>
      </c>
      <c r="Q575" s="0" t="s">
        <v>39</v>
      </c>
      <c r="R575" s="0" t="s">
        <v>1956</v>
      </c>
      <c r="S575" s="0" t="s">
        <v>1957</v>
      </c>
      <c r="V575" s="0" t="n">
        <v>1</v>
      </c>
      <c r="W575" s="0" t="n">
        <v>1</v>
      </c>
      <c r="X575" s="0" t="str">
        <f aca="false">"31811010356510"</f>
        <v>31811010356510</v>
      </c>
      <c r="Y575" s="0" t="s">
        <v>39</v>
      </c>
      <c r="Z575" s="0" t="s">
        <v>42</v>
      </c>
      <c r="AA575" s="0" t="s">
        <v>43</v>
      </c>
      <c r="AE575" s="1" t="s">
        <v>52</v>
      </c>
    </row>
    <row r="576" customFormat="false" ht="12.8" hidden="false" customHeight="false" outlineLevel="0" collapsed="false">
      <c r="A576" s="0" t="n">
        <v>270141</v>
      </c>
      <c r="B576" s="0" t="n">
        <v>295751</v>
      </c>
      <c r="C576" s="0" t="n">
        <v>331745</v>
      </c>
      <c r="D576" s="0" t="s">
        <v>35</v>
      </c>
      <c r="E576" s="0" t="s">
        <v>35</v>
      </c>
      <c r="F576" s="0" t="s">
        <v>36</v>
      </c>
      <c r="G576" s="0" t="s">
        <v>37</v>
      </c>
      <c r="H576" s="0" t="s">
        <v>1958</v>
      </c>
      <c r="J576" s="0" t="s">
        <v>1959</v>
      </c>
      <c r="L576" s="0" t="s">
        <v>1960</v>
      </c>
      <c r="M576" s="0" t="s">
        <v>1961</v>
      </c>
      <c r="N576" s="0" t="s">
        <v>904</v>
      </c>
      <c r="O576" s="0" t="s">
        <v>1773</v>
      </c>
      <c r="P576" s="0" t="n">
        <v>1988</v>
      </c>
      <c r="Q576" s="0" t="s">
        <v>39</v>
      </c>
      <c r="R576" s="0" t="s">
        <v>1962</v>
      </c>
      <c r="S576" s="0" t="s">
        <v>1963</v>
      </c>
      <c r="V576" s="0" t="n">
        <v>1</v>
      </c>
      <c r="W576" s="0" t="n">
        <v>1</v>
      </c>
      <c r="X576" s="0" t="str">
        <f aca="false">"31811010356569"</f>
        <v>31811010356569</v>
      </c>
      <c r="Y576" s="0" t="s">
        <v>39</v>
      </c>
      <c r="Z576" s="0" t="s">
        <v>42</v>
      </c>
      <c r="AA576" s="0" t="s">
        <v>43</v>
      </c>
      <c r="AE576" s="1" t="s">
        <v>52</v>
      </c>
    </row>
    <row r="577" customFormat="false" ht="12.8" hidden="false" customHeight="false" outlineLevel="0" collapsed="false">
      <c r="A577" s="0" t="n">
        <v>367762</v>
      </c>
      <c r="B577" s="0" t="n">
        <v>397574</v>
      </c>
      <c r="C577" s="0" t="n">
        <v>442074</v>
      </c>
      <c r="D577" s="0" t="s">
        <v>35</v>
      </c>
      <c r="E577" s="0" t="s">
        <v>35</v>
      </c>
      <c r="F577" s="0" t="s">
        <v>36</v>
      </c>
      <c r="G577" s="0" t="s">
        <v>37</v>
      </c>
      <c r="H577" s="0" t="s">
        <v>1964</v>
      </c>
      <c r="J577" s="0" t="s">
        <v>1965</v>
      </c>
      <c r="L577" s="0" t="s">
        <v>1966</v>
      </c>
      <c r="M577" s="0" t="s">
        <v>1967</v>
      </c>
      <c r="N577" s="0" t="s">
        <v>904</v>
      </c>
      <c r="O577" s="0" t="s">
        <v>1796</v>
      </c>
      <c r="P577" s="0" t="n">
        <v>1988</v>
      </c>
      <c r="Q577" s="0" t="s">
        <v>39</v>
      </c>
      <c r="R577" s="0" t="s">
        <v>1968</v>
      </c>
      <c r="S577" s="0" t="s">
        <v>1969</v>
      </c>
      <c r="V577" s="0" t="n">
        <v>1</v>
      </c>
      <c r="W577" s="0" t="n">
        <v>1</v>
      </c>
      <c r="X577" s="0" t="str">
        <f aca="false">"31811010356577"</f>
        <v>31811010356577</v>
      </c>
      <c r="Y577" s="0" t="s">
        <v>39</v>
      </c>
      <c r="Z577" s="0" t="s">
        <v>42</v>
      </c>
      <c r="AA577" s="0" t="s">
        <v>43</v>
      </c>
      <c r="AE577" s="1" t="s">
        <v>52</v>
      </c>
    </row>
    <row r="578" customFormat="false" ht="12.8" hidden="false" customHeight="false" outlineLevel="0" collapsed="false">
      <c r="A578" s="0" t="n">
        <v>377909</v>
      </c>
      <c r="B578" s="0" t="n">
        <v>409071</v>
      </c>
      <c r="C578" s="0" t="n">
        <v>455672</v>
      </c>
      <c r="D578" s="0" t="s">
        <v>35</v>
      </c>
      <c r="E578" s="0" t="s">
        <v>35</v>
      </c>
      <c r="F578" s="0" t="s">
        <v>36</v>
      </c>
      <c r="G578" s="0" t="s">
        <v>37</v>
      </c>
      <c r="H578" s="0" t="s">
        <v>1970</v>
      </c>
      <c r="J578" s="0" t="s">
        <v>1971</v>
      </c>
      <c r="L578" s="0" t="s">
        <v>1972</v>
      </c>
      <c r="M578" s="0" t="s">
        <v>1973</v>
      </c>
      <c r="N578" s="0" t="s">
        <v>744</v>
      </c>
      <c r="O578" s="0" t="s">
        <v>1773</v>
      </c>
      <c r="P578" s="0" t="n">
        <v>1989</v>
      </c>
      <c r="Q578" s="0" t="s">
        <v>39</v>
      </c>
      <c r="R578" s="0" t="s">
        <v>1974</v>
      </c>
      <c r="S578" s="0" t="s">
        <v>1975</v>
      </c>
      <c r="V578" s="0" t="n">
        <v>1</v>
      </c>
      <c r="W578" s="0" t="n">
        <v>1</v>
      </c>
      <c r="X578" s="0" t="str">
        <f aca="false">"31811010356593"</f>
        <v>31811010356593</v>
      </c>
      <c r="Y578" s="0" t="s">
        <v>39</v>
      </c>
      <c r="Z578" s="0" t="s">
        <v>42</v>
      </c>
      <c r="AA578" s="0" t="s">
        <v>43</v>
      </c>
      <c r="AE578" s="1" t="s">
        <v>52</v>
      </c>
    </row>
    <row r="579" customFormat="false" ht="12.8" hidden="false" customHeight="false" outlineLevel="0" collapsed="false">
      <c r="A579" s="0" t="n">
        <v>383458</v>
      </c>
      <c r="B579" s="0" t="n">
        <v>414853</v>
      </c>
      <c r="C579" s="0" t="n">
        <v>462650</v>
      </c>
      <c r="D579" s="0" t="s">
        <v>35</v>
      </c>
      <c r="E579" s="0" t="s">
        <v>35</v>
      </c>
      <c r="F579" s="0" t="s">
        <v>36</v>
      </c>
      <c r="G579" s="0" t="s">
        <v>37</v>
      </c>
      <c r="H579" s="0" t="s">
        <v>1976</v>
      </c>
      <c r="J579" s="0" t="s">
        <v>1977</v>
      </c>
      <c r="L579" s="0" t="s">
        <v>1978</v>
      </c>
      <c r="M579" s="0" t="s">
        <v>1979</v>
      </c>
      <c r="N579" s="0" t="s">
        <v>1980</v>
      </c>
      <c r="O579" s="0" t="s">
        <v>1796</v>
      </c>
      <c r="P579" s="0" t="n">
        <v>1990</v>
      </c>
      <c r="Q579" s="0" t="s">
        <v>39</v>
      </c>
      <c r="R579" s="0" t="s">
        <v>1981</v>
      </c>
      <c r="S579" s="0" t="s">
        <v>1982</v>
      </c>
      <c r="V579" s="0" t="n">
        <v>1</v>
      </c>
      <c r="W579" s="0" t="n">
        <v>1</v>
      </c>
      <c r="X579" s="0" t="str">
        <f aca="false">"31811010356601"</f>
        <v>31811010356601</v>
      </c>
      <c r="Y579" s="0" t="s">
        <v>39</v>
      </c>
      <c r="Z579" s="0" t="s">
        <v>42</v>
      </c>
      <c r="AA579" s="0" t="s">
        <v>43</v>
      </c>
      <c r="AE579" s="1" t="s">
        <v>52</v>
      </c>
      <c r="AH579" s="1" t="s">
        <v>1983</v>
      </c>
    </row>
    <row r="580" customFormat="false" ht="12.8" hidden="false" customHeight="false" outlineLevel="0" collapsed="false">
      <c r="A580" s="0" t="n">
        <v>384111</v>
      </c>
      <c r="B580" s="0" t="n">
        <v>415537</v>
      </c>
      <c r="C580" s="0" t="n">
        <v>463415</v>
      </c>
      <c r="D580" s="0" t="s">
        <v>35</v>
      </c>
      <c r="E580" s="0" t="s">
        <v>35</v>
      </c>
      <c r="F580" s="0" t="s">
        <v>36</v>
      </c>
      <c r="G580" s="0" t="s">
        <v>37</v>
      </c>
      <c r="H580" s="0" t="s">
        <v>1984</v>
      </c>
      <c r="J580" s="0" t="s">
        <v>1985</v>
      </c>
      <c r="L580" s="0" t="s">
        <v>1986</v>
      </c>
      <c r="M580" s="0" t="s">
        <v>1987</v>
      </c>
      <c r="N580" s="0" t="s">
        <v>1980</v>
      </c>
      <c r="O580" s="0" t="s">
        <v>1796</v>
      </c>
      <c r="P580" s="0" t="n">
        <v>1990</v>
      </c>
      <c r="Q580" s="0" t="s">
        <v>39</v>
      </c>
      <c r="R580" s="0" t="s">
        <v>1988</v>
      </c>
      <c r="S580" s="0" t="s">
        <v>1989</v>
      </c>
      <c r="V580" s="0" t="n">
        <v>1</v>
      </c>
      <c r="W580" s="0" t="n">
        <v>1</v>
      </c>
      <c r="X580" s="0" t="str">
        <f aca="false">"31811010356619"</f>
        <v>31811010356619</v>
      </c>
      <c r="Y580" s="0" t="s">
        <v>39</v>
      </c>
      <c r="Z580" s="0" t="s">
        <v>42</v>
      </c>
      <c r="AA580" s="0" t="s">
        <v>43</v>
      </c>
      <c r="AE580" s="1" t="s">
        <v>52</v>
      </c>
    </row>
    <row r="581" customFormat="false" ht="12.8" hidden="false" customHeight="false" outlineLevel="0" collapsed="false">
      <c r="A581" s="0" t="n">
        <v>386148</v>
      </c>
      <c r="B581" s="0" t="n">
        <v>417656</v>
      </c>
      <c r="C581" s="0" t="n">
        <v>466047</v>
      </c>
      <c r="D581" s="0" t="s">
        <v>35</v>
      </c>
      <c r="E581" s="0" t="s">
        <v>35</v>
      </c>
      <c r="F581" s="0" t="s">
        <v>36</v>
      </c>
      <c r="G581" s="0" t="s">
        <v>37</v>
      </c>
      <c r="H581" s="0" t="s">
        <v>1990</v>
      </c>
      <c r="J581" s="0" t="s">
        <v>1991</v>
      </c>
      <c r="L581" s="0" t="s">
        <v>1992</v>
      </c>
      <c r="M581" s="0" t="s">
        <v>1993</v>
      </c>
      <c r="N581" s="0" t="s">
        <v>1980</v>
      </c>
      <c r="O581" s="0" t="s">
        <v>1796</v>
      </c>
      <c r="P581" s="0" t="n">
        <v>1990</v>
      </c>
      <c r="Q581" s="0" t="s">
        <v>39</v>
      </c>
      <c r="R581" s="0" t="s">
        <v>1994</v>
      </c>
      <c r="S581" s="0" t="s">
        <v>1995</v>
      </c>
      <c r="V581" s="0" t="n">
        <v>1</v>
      </c>
      <c r="W581" s="0" t="n">
        <v>1</v>
      </c>
      <c r="X581" s="0" t="str">
        <f aca="false">"31811010018367"</f>
        <v>31811010018367</v>
      </c>
      <c r="Y581" s="0" t="s">
        <v>39</v>
      </c>
      <c r="Z581" s="0" t="s">
        <v>42</v>
      </c>
      <c r="AA581" s="0" t="s">
        <v>43</v>
      </c>
      <c r="AE581" s="1" t="s">
        <v>52</v>
      </c>
      <c r="AH581" s="1" t="s">
        <v>1996</v>
      </c>
    </row>
    <row r="582" customFormat="false" ht="12.8" hidden="false" customHeight="false" outlineLevel="0" collapsed="false">
      <c r="A582" s="0" t="n">
        <v>487485</v>
      </c>
      <c r="B582" s="0" t="n">
        <v>520051</v>
      </c>
      <c r="C582" s="0" t="n">
        <v>583571</v>
      </c>
      <c r="D582" s="0" t="s">
        <v>35</v>
      </c>
      <c r="E582" s="0" t="s">
        <v>35</v>
      </c>
      <c r="F582" s="0" t="s">
        <v>36</v>
      </c>
      <c r="G582" s="0" t="s">
        <v>37</v>
      </c>
      <c r="H582" s="0" t="s">
        <v>1997</v>
      </c>
      <c r="J582" s="0" t="s">
        <v>1998</v>
      </c>
      <c r="L582" s="0" t="s">
        <v>1999</v>
      </c>
      <c r="M582" s="0" t="s">
        <v>2000</v>
      </c>
      <c r="N582" s="0" t="s">
        <v>2001</v>
      </c>
      <c r="O582" s="0" t="s">
        <v>1796</v>
      </c>
      <c r="P582" s="0" t="n">
        <v>1991</v>
      </c>
      <c r="Q582" s="0" t="s">
        <v>39</v>
      </c>
      <c r="R582" s="0" t="s">
        <v>2002</v>
      </c>
      <c r="S582" s="0" t="s">
        <v>2003</v>
      </c>
      <c r="V582" s="0" t="n">
        <v>1</v>
      </c>
      <c r="W582" s="0" t="n">
        <v>1</v>
      </c>
      <c r="X582" s="0" t="str">
        <f aca="false">"31811010356627"</f>
        <v>31811010356627</v>
      </c>
      <c r="Y582" s="0" t="s">
        <v>39</v>
      </c>
      <c r="Z582" s="0" t="s">
        <v>42</v>
      </c>
      <c r="AA582" s="0" t="s">
        <v>43</v>
      </c>
      <c r="AE582" s="1" t="s">
        <v>52</v>
      </c>
      <c r="AH582" s="1" t="s">
        <v>2004</v>
      </c>
    </row>
    <row r="583" customFormat="false" ht="12.8" hidden="false" customHeight="false" outlineLevel="0" collapsed="false">
      <c r="A583" s="0" t="n">
        <v>435371</v>
      </c>
      <c r="B583" s="0" t="n">
        <v>468867</v>
      </c>
      <c r="C583" s="0" t="n">
        <v>523458</v>
      </c>
      <c r="D583" s="0" t="s">
        <v>35</v>
      </c>
      <c r="E583" s="0" t="s">
        <v>35</v>
      </c>
      <c r="F583" s="0" t="s">
        <v>36</v>
      </c>
      <c r="G583" s="0" t="s">
        <v>37</v>
      </c>
      <c r="H583" s="0" t="s">
        <v>2005</v>
      </c>
      <c r="J583" s="0" t="s">
        <v>2006</v>
      </c>
      <c r="L583" s="0" t="n">
        <v>838752241</v>
      </c>
      <c r="M583" s="0" t="s">
        <v>2007</v>
      </c>
      <c r="N583" s="0" t="s">
        <v>1000</v>
      </c>
      <c r="O583" s="0" t="s">
        <v>1796</v>
      </c>
      <c r="P583" s="0" t="n">
        <v>1992</v>
      </c>
      <c r="Q583" s="0" t="s">
        <v>39</v>
      </c>
      <c r="R583" s="0" t="s">
        <v>2008</v>
      </c>
      <c r="S583" s="0" t="s">
        <v>2009</v>
      </c>
      <c r="V583" s="0" t="n">
        <v>1</v>
      </c>
      <c r="W583" s="0" t="n">
        <v>1</v>
      </c>
      <c r="X583" s="0" t="str">
        <f aca="false">"31811010356643"</f>
        <v>31811010356643</v>
      </c>
      <c r="Y583" s="0" t="s">
        <v>39</v>
      </c>
      <c r="Z583" s="0" t="s">
        <v>42</v>
      </c>
      <c r="AA583" s="0" t="s">
        <v>43</v>
      </c>
      <c r="AE583" s="1" t="s">
        <v>52</v>
      </c>
    </row>
    <row r="584" customFormat="false" ht="12.8" hidden="false" customHeight="false" outlineLevel="0" collapsed="false">
      <c r="A584" s="0" t="n">
        <v>439225</v>
      </c>
      <c r="B584" s="0" t="n">
        <v>524658</v>
      </c>
      <c r="C584" s="0" t="n">
        <v>588966</v>
      </c>
      <c r="D584" s="0" t="s">
        <v>35</v>
      </c>
      <c r="E584" s="0" t="s">
        <v>35</v>
      </c>
      <c r="F584" s="0" t="s">
        <v>36</v>
      </c>
      <c r="G584" s="0" t="s">
        <v>37</v>
      </c>
      <c r="H584" s="0" t="s">
        <v>2010</v>
      </c>
      <c r="J584" s="0" t="s">
        <v>2011</v>
      </c>
      <c r="L584" s="0" t="n">
        <v>838752411</v>
      </c>
      <c r="M584" s="0" t="s">
        <v>2012</v>
      </c>
      <c r="N584" s="0" t="s">
        <v>1000</v>
      </c>
      <c r="O584" s="0" t="s">
        <v>1773</v>
      </c>
      <c r="P584" s="0" t="n">
        <v>1993</v>
      </c>
      <c r="Q584" s="0" t="s">
        <v>39</v>
      </c>
      <c r="R584" s="0" t="s">
        <v>2013</v>
      </c>
      <c r="S584" s="0" t="s">
        <v>2014</v>
      </c>
      <c r="V584" s="0" t="n">
        <v>1</v>
      </c>
      <c r="W584" s="0" t="n">
        <v>1</v>
      </c>
      <c r="X584" s="0" t="str">
        <f aca="false">"31811010356775"</f>
        <v>31811010356775</v>
      </c>
      <c r="Y584" s="0" t="s">
        <v>39</v>
      </c>
      <c r="Z584" s="0" t="s">
        <v>42</v>
      </c>
      <c r="AA584" s="0" t="s">
        <v>43</v>
      </c>
      <c r="AE584" s="1" t="s">
        <v>52</v>
      </c>
    </row>
    <row r="585" customFormat="false" ht="12.8" hidden="false" customHeight="false" outlineLevel="0" collapsed="false">
      <c r="A585" s="0" t="n">
        <v>445776</v>
      </c>
      <c r="B585" s="0" t="n">
        <v>531525</v>
      </c>
      <c r="C585" s="0" t="n">
        <v>596973</v>
      </c>
      <c r="D585" s="0" t="s">
        <v>35</v>
      </c>
      <c r="E585" s="0" t="s">
        <v>35</v>
      </c>
      <c r="F585" s="0" t="s">
        <v>36</v>
      </c>
      <c r="G585" s="0" t="s">
        <v>37</v>
      </c>
      <c r="H585" s="0" t="s">
        <v>2015</v>
      </c>
      <c r="J585" s="0" t="s">
        <v>2016</v>
      </c>
      <c r="L585" s="0" t="s">
        <v>2017</v>
      </c>
      <c r="M585" s="0" t="s">
        <v>2018</v>
      </c>
      <c r="N585" s="0" t="s">
        <v>943</v>
      </c>
      <c r="O585" s="0" t="s">
        <v>1796</v>
      </c>
      <c r="P585" s="0" t="n">
        <v>1993</v>
      </c>
      <c r="Q585" s="0" t="s">
        <v>39</v>
      </c>
      <c r="R585" s="0" t="s">
        <v>2019</v>
      </c>
      <c r="S585" s="0" t="s">
        <v>2020</v>
      </c>
      <c r="V585" s="0" t="n">
        <v>1</v>
      </c>
      <c r="W585" s="0" t="n">
        <v>1</v>
      </c>
      <c r="X585" s="0" t="str">
        <f aca="false">"31811010356734"</f>
        <v>31811010356734</v>
      </c>
      <c r="Y585" s="0" t="s">
        <v>39</v>
      </c>
      <c r="Z585" s="0" t="s">
        <v>42</v>
      </c>
      <c r="AA585" s="0" t="s">
        <v>43</v>
      </c>
      <c r="AE585" s="1" t="s">
        <v>52</v>
      </c>
    </row>
    <row r="586" customFormat="false" ht="12.8" hidden="false" customHeight="false" outlineLevel="0" collapsed="false">
      <c r="A586" s="0" t="n">
        <v>452250</v>
      </c>
      <c r="B586" s="0" t="n">
        <v>538454</v>
      </c>
      <c r="C586" s="0" t="n">
        <v>605634</v>
      </c>
      <c r="D586" s="0" t="s">
        <v>35</v>
      </c>
      <c r="E586" s="0" t="s">
        <v>35</v>
      </c>
      <c r="F586" s="0" t="s">
        <v>36</v>
      </c>
      <c r="G586" s="0" t="s">
        <v>37</v>
      </c>
      <c r="H586" s="0" t="s">
        <v>2021</v>
      </c>
      <c r="J586" s="0" t="s">
        <v>2022</v>
      </c>
      <c r="L586" s="0" t="n">
        <v>838752721</v>
      </c>
      <c r="M586" s="0" t="s">
        <v>2023</v>
      </c>
      <c r="N586" s="0" t="n">
        <v>1993</v>
      </c>
      <c r="O586" s="0" t="s">
        <v>1773</v>
      </c>
      <c r="P586" s="0" t="n">
        <v>1993</v>
      </c>
      <c r="Q586" s="0" t="s">
        <v>39</v>
      </c>
      <c r="R586" s="0" t="s">
        <v>2024</v>
      </c>
      <c r="S586" s="0" t="s">
        <v>2025</v>
      </c>
      <c r="V586" s="0" t="n">
        <v>1</v>
      </c>
      <c r="W586" s="0" t="n">
        <v>1</v>
      </c>
      <c r="X586" s="0" t="str">
        <f aca="false">"31811010356783"</f>
        <v>31811010356783</v>
      </c>
      <c r="Y586" s="0" t="s">
        <v>39</v>
      </c>
      <c r="Z586" s="0" t="s">
        <v>42</v>
      </c>
      <c r="AA586" s="0" t="s">
        <v>43</v>
      </c>
      <c r="AE586" s="1" t="s">
        <v>52</v>
      </c>
      <c r="AH586" s="1" t="s">
        <v>2026</v>
      </c>
    </row>
    <row r="587" customFormat="false" ht="12.8" hidden="false" customHeight="false" outlineLevel="0" collapsed="false">
      <c r="A587" s="0" t="n">
        <v>461229</v>
      </c>
      <c r="B587" s="0" t="n">
        <v>492885</v>
      </c>
      <c r="C587" s="0" t="n">
        <v>553634</v>
      </c>
      <c r="D587" s="0" t="s">
        <v>35</v>
      </c>
      <c r="E587" s="0" t="s">
        <v>35</v>
      </c>
      <c r="F587" s="0" t="s">
        <v>36</v>
      </c>
      <c r="G587" s="0" t="s">
        <v>37</v>
      </c>
      <c r="H587" s="0" t="s">
        <v>2027</v>
      </c>
      <c r="J587" s="0" t="s">
        <v>2028</v>
      </c>
      <c r="L587" s="0" t="n">
        <v>838752713</v>
      </c>
      <c r="M587" s="0" t="s">
        <v>2029</v>
      </c>
      <c r="O587" s="0" t="s">
        <v>2030</v>
      </c>
      <c r="P587" s="0" t="n">
        <v>1994</v>
      </c>
      <c r="Q587" s="0" t="s">
        <v>39</v>
      </c>
      <c r="R587" s="0" t="s">
        <v>2031</v>
      </c>
      <c r="S587" s="0" t="s">
        <v>2032</v>
      </c>
      <c r="V587" s="0" t="n">
        <v>1</v>
      </c>
      <c r="W587" s="0" t="n">
        <v>1</v>
      </c>
      <c r="X587" s="0" t="str">
        <f aca="false">"31811010034968"</f>
        <v>31811010034968</v>
      </c>
      <c r="Y587" s="0" t="s">
        <v>39</v>
      </c>
      <c r="Z587" s="0" t="s">
        <v>42</v>
      </c>
      <c r="AA587" s="0" t="s">
        <v>43</v>
      </c>
      <c r="AE587" s="1" t="s">
        <v>52</v>
      </c>
      <c r="AH587" s="1" t="s">
        <v>2033</v>
      </c>
    </row>
    <row r="588" customFormat="false" ht="12.8" hidden="false" customHeight="false" outlineLevel="0" collapsed="false">
      <c r="A588" s="0" t="n">
        <v>489721</v>
      </c>
      <c r="B588" s="0" t="n">
        <v>522386</v>
      </c>
      <c r="C588" s="0" t="n">
        <v>586329</v>
      </c>
      <c r="D588" s="0" t="s">
        <v>35</v>
      </c>
      <c r="E588" s="0" t="s">
        <v>35</v>
      </c>
      <c r="F588" s="0" t="s">
        <v>36</v>
      </c>
      <c r="G588" s="0" t="s">
        <v>37</v>
      </c>
      <c r="H588" s="0" t="s">
        <v>2034</v>
      </c>
      <c r="J588" s="0" t="s">
        <v>2035</v>
      </c>
      <c r="L588" s="0" t="n">
        <v>838753051</v>
      </c>
      <c r="M588" s="0" t="s">
        <v>2036</v>
      </c>
      <c r="O588" s="0" t="s">
        <v>2037</v>
      </c>
      <c r="P588" s="0" t="n">
        <v>1995</v>
      </c>
      <c r="Q588" s="0" t="s">
        <v>39</v>
      </c>
      <c r="R588" s="0" t="s">
        <v>2038</v>
      </c>
      <c r="S588" s="0" t="s">
        <v>2039</v>
      </c>
      <c r="V588" s="0" t="n">
        <v>1</v>
      </c>
      <c r="W588" s="0" t="n">
        <v>1</v>
      </c>
      <c r="X588" s="0" t="str">
        <f aca="false">"31811011629089"</f>
        <v>31811011629089</v>
      </c>
      <c r="Y588" s="0" t="s">
        <v>39</v>
      </c>
      <c r="Z588" s="0" t="s">
        <v>42</v>
      </c>
      <c r="AA588" s="0" t="s">
        <v>43</v>
      </c>
      <c r="AE588" s="1" t="s">
        <v>52</v>
      </c>
      <c r="AH588" s="1" t="s">
        <v>2040</v>
      </c>
    </row>
    <row r="589" customFormat="false" ht="12.8" hidden="false" customHeight="false" outlineLevel="0" collapsed="false">
      <c r="A589" s="0" t="n">
        <v>492205</v>
      </c>
      <c r="B589" s="0" t="n">
        <v>473220</v>
      </c>
      <c r="C589" s="0" t="n">
        <v>529945</v>
      </c>
      <c r="D589" s="0" t="s">
        <v>35</v>
      </c>
      <c r="E589" s="0" t="s">
        <v>35</v>
      </c>
      <c r="F589" s="0" t="s">
        <v>36</v>
      </c>
      <c r="G589" s="0" t="s">
        <v>37</v>
      </c>
      <c r="H589" s="0" t="s">
        <v>2041</v>
      </c>
      <c r="J589" s="0" t="s">
        <v>2042</v>
      </c>
      <c r="L589" s="0" t="n">
        <v>838753183</v>
      </c>
      <c r="M589" s="0" t="s">
        <v>2043</v>
      </c>
      <c r="N589" s="0" t="s">
        <v>2044</v>
      </c>
      <c r="O589" s="0" t="s">
        <v>1796</v>
      </c>
      <c r="P589" s="0" t="n">
        <v>1995</v>
      </c>
      <c r="Q589" s="0" t="s">
        <v>39</v>
      </c>
      <c r="R589" s="0" t="s">
        <v>2045</v>
      </c>
      <c r="S589" s="0" t="s">
        <v>2046</v>
      </c>
      <c r="V589" s="0" t="n">
        <v>1</v>
      </c>
      <c r="W589" s="0" t="n">
        <v>1</v>
      </c>
      <c r="X589" s="0" t="str">
        <f aca="false">"31811011200287"</f>
        <v>31811011200287</v>
      </c>
      <c r="Y589" s="0" t="s">
        <v>39</v>
      </c>
      <c r="Z589" s="0" t="s">
        <v>42</v>
      </c>
      <c r="AA589" s="0" t="s">
        <v>43</v>
      </c>
      <c r="AE589" s="1" t="s">
        <v>52</v>
      </c>
    </row>
    <row r="590" customFormat="false" ht="12.8" hidden="false" customHeight="false" outlineLevel="0" collapsed="false">
      <c r="A590" s="0" t="n">
        <v>493973</v>
      </c>
      <c r="B590" s="0" t="n">
        <v>475056</v>
      </c>
      <c r="C590" s="0" t="n">
        <v>532460</v>
      </c>
      <c r="D590" s="0" t="s">
        <v>35</v>
      </c>
      <c r="E590" s="0" t="s">
        <v>35</v>
      </c>
      <c r="F590" s="0" t="s">
        <v>36</v>
      </c>
      <c r="G590" s="0" t="s">
        <v>37</v>
      </c>
      <c r="H590" s="0" t="s">
        <v>2047</v>
      </c>
      <c r="J590" s="0" t="s">
        <v>2048</v>
      </c>
      <c r="L590" s="0" t="n">
        <v>838753248</v>
      </c>
      <c r="M590" s="0" t="s">
        <v>2049</v>
      </c>
      <c r="N590" s="0" t="s">
        <v>2050</v>
      </c>
      <c r="O590" s="0" t="s">
        <v>1796</v>
      </c>
      <c r="P590" s="0" t="n">
        <v>1996</v>
      </c>
      <c r="Q590" s="0" t="s">
        <v>39</v>
      </c>
      <c r="R590" s="0" t="s">
        <v>2051</v>
      </c>
      <c r="S590" s="0" t="s">
        <v>2052</v>
      </c>
      <c r="V590" s="0" t="n">
        <v>1</v>
      </c>
      <c r="W590" s="0" t="n">
        <v>1</v>
      </c>
      <c r="X590" s="0" t="str">
        <f aca="false">"31811011629121"</f>
        <v>31811011629121</v>
      </c>
      <c r="Y590" s="0" t="s">
        <v>39</v>
      </c>
      <c r="Z590" s="0" t="s">
        <v>42</v>
      </c>
      <c r="AA590" s="0" t="s">
        <v>43</v>
      </c>
      <c r="AE590" s="1" t="s">
        <v>52</v>
      </c>
    </row>
    <row r="591" customFormat="false" ht="12.8" hidden="false" customHeight="false" outlineLevel="0" collapsed="false">
      <c r="A591" s="0" t="n">
        <v>432333</v>
      </c>
      <c r="B591" s="0" t="n">
        <v>465669</v>
      </c>
      <c r="C591" s="0" t="n">
        <v>519960</v>
      </c>
      <c r="D591" s="0" t="s">
        <v>35</v>
      </c>
      <c r="E591" s="0" t="s">
        <v>35</v>
      </c>
      <c r="F591" s="0" t="s">
        <v>480</v>
      </c>
      <c r="G591" s="0" t="s">
        <v>37</v>
      </c>
      <c r="H591" s="0" t="s">
        <v>2053</v>
      </c>
      <c r="J591" s="0" t="s">
        <v>2053</v>
      </c>
      <c r="M591" s="0" t="s">
        <v>2054</v>
      </c>
      <c r="O591" s="0" t="s">
        <v>2055</v>
      </c>
      <c r="P591" s="0" t="n">
        <v>1847</v>
      </c>
      <c r="Q591" s="0" t="s">
        <v>39</v>
      </c>
      <c r="R591" s="0" t="s">
        <v>2056</v>
      </c>
      <c r="S591" s="0" t="s">
        <v>2057</v>
      </c>
      <c r="T591" s="0" t="s">
        <v>2058</v>
      </c>
      <c r="V591" s="0" t="n">
        <v>1</v>
      </c>
      <c r="W591" s="0" t="n">
        <v>1</v>
      </c>
      <c r="X591" s="0" t="str">
        <f aca="false">"31811012013556"</f>
        <v>31811012013556</v>
      </c>
      <c r="Y591" s="0" t="s">
        <v>39</v>
      </c>
      <c r="Z591" s="0" t="s">
        <v>42</v>
      </c>
      <c r="AA591" s="0" t="s">
        <v>622</v>
      </c>
      <c r="AE591" s="1" t="s">
        <v>52</v>
      </c>
    </row>
    <row r="592" customFormat="false" ht="12.8" hidden="false" customHeight="false" outlineLevel="0" collapsed="false">
      <c r="A592" s="0" t="n">
        <v>314076</v>
      </c>
      <c r="B592" s="0" t="n">
        <v>342117</v>
      </c>
      <c r="C592" s="0" t="n">
        <v>382106</v>
      </c>
      <c r="D592" s="0" t="s">
        <v>35</v>
      </c>
      <c r="E592" s="0" t="s">
        <v>35</v>
      </c>
      <c r="F592" s="0" t="s">
        <v>480</v>
      </c>
      <c r="G592" s="0" t="s">
        <v>37</v>
      </c>
      <c r="H592" s="0" t="s">
        <v>2059</v>
      </c>
      <c r="J592" s="0" t="s">
        <v>2059</v>
      </c>
      <c r="M592" s="0" t="s">
        <v>2060</v>
      </c>
      <c r="N592" s="0" t="s">
        <v>2061</v>
      </c>
      <c r="O592" s="0" t="s">
        <v>2062</v>
      </c>
      <c r="P592" s="0" t="n">
        <v>1970</v>
      </c>
      <c r="Q592" s="0" t="s">
        <v>39</v>
      </c>
      <c r="R592" s="0" t="s">
        <v>2063</v>
      </c>
      <c r="S592" s="0" t="s">
        <v>2064</v>
      </c>
      <c r="T592" s="0" t="s">
        <v>53</v>
      </c>
      <c r="V592" s="0" t="n">
        <v>1</v>
      </c>
      <c r="W592" s="0" t="n">
        <v>1</v>
      </c>
      <c r="X592" s="0" t="str">
        <f aca="false">"31811003178582"</f>
        <v>31811003178582</v>
      </c>
      <c r="Y592" s="0" t="s">
        <v>39</v>
      </c>
      <c r="Z592" s="0" t="s">
        <v>42</v>
      </c>
      <c r="AA592" s="0" t="s">
        <v>43</v>
      </c>
      <c r="AE592" s="1" t="s">
        <v>52</v>
      </c>
    </row>
    <row r="593" customFormat="false" ht="12.8" hidden="false" customHeight="false" outlineLevel="0" collapsed="false">
      <c r="A593" s="0" t="n">
        <v>314076</v>
      </c>
      <c r="B593" s="0" t="n">
        <v>342117</v>
      </c>
      <c r="C593" s="0" t="n">
        <v>382107</v>
      </c>
      <c r="D593" s="0" t="s">
        <v>35</v>
      </c>
      <c r="E593" s="0" t="s">
        <v>35</v>
      </c>
      <c r="F593" s="0" t="s">
        <v>480</v>
      </c>
      <c r="G593" s="0" t="s">
        <v>37</v>
      </c>
      <c r="H593" s="0" t="s">
        <v>2059</v>
      </c>
      <c r="J593" s="0" t="s">
        <v>2059</v>
      </c>
      <c r="M593" s="0" t="s">
        <v>2060</v>
      </c>
      <c r="N593" s="0" t="s">
        <v>2061</v>
      </c>
      <c r="O593" s="0" t="s">
        <v>2062</v>
      </c>
      <c r="P593" s="0" t="n">
        <v>1970</v>
      </c>
      <c r="Q593" s="0" t="s">
        <v>39</v>
      </c>
      <c r="R593" s="0" t="s">
        <v>2063</v>
      </c>
      <c r="S593" s="0" t="s">
        <v>2064</v>
      </c>
      <c r="T593" s="0" t="s">
        <v>51</v>
      </c>
      <c r="V593" s="0" t="n">
        <v>1</v>
      </c>
      <c r="W593" s="0" t="n">
        <v>1</v>
      </c>
      <c r="X593" s="0" t="str">
        <f aca="false">"31811010356866"</f>
        <v>31811010356866</v>
      </c>
      <c r="Y593" s="0" t="s">
        <v>39</v>
      </c>
      <c r="Z593" s="0" t="s">
        <v>42</v>
      </c>
      <c r="AA593" s="0" t="s">
        <v>43</v>
      </c>
      <c r="AE593" s="1" t="s">
        <v>52</v>
      </c>
    </row>
    <row r="594" customFormat="false" ht="12.8" hidden="false" customHeight="false" outlineLevel="0" collapsed="false">
      <c r="A594" s="0" t="n">
        <v>535140</v>
      </c>
      <c r="B594" s="0" t="n">
        <v>573289</v>
      </c>
      <c r="C594" s="0" t="n">
        <v>647994</v>
      </c>
      <c r="D594" s="0" t="s">
        <v>35</v>
      </c>
      <c r="E594" s="0" t="s">
        <v>35</v>
      </c>
      <c r="F594" s="0" t="s">
        <v>480</v>
      </c>
      <c r="G594" s="0" t="s">
        <v>37</v>
      </c>
      <c r="H594" s="0" t="s">
        <v>2065</v>
      </c>
      <c r="J594" s="0" t="s">
        <v>2065</v>
      </c>
      <c r="M594" s="0" t="s">
        <v>2066</v>
      </c>
      <c r="N594" s="0" t="s">
        <v>2067</v>
      </c>
      <c r="O594" s="0" t="s">
        <v>2068</v>
      </c>
      <c r="P594" s="0" t="n">
        <v>1960</v>
      </c>
      <c r="Q594" s="0" t="s">
        <v>39</v>
      </c>
      <c r="R594" s="0" t="s">
        <v>2069</v>
      </c>
      <c r="S594" s="0" t="s">
        <v>2070</v>
      </c>
      <c r="T594" s="0" t="s">
        <v>243</v>
      </c>
      <c r="V594" s="0" t="n">
        <v>1</v>
      </c>
      <c r="W594" s="0" t="n">
        <v>1</v>
      </c>
      <c r="X594" s="0" t="str">
        <f aca="false">"31811003157289"</f>
        <v>31811003157289</v>
      </c>
      <c r="Y594" s="0" t="s">
        <v>39</v>
      </c>
      <c r="Z594" s="0" t="s">
        <v>42</v>
      </c>
      <c r="AA594" s="0" t="s">
        <v>622</v>
      </c>
      <c r="AE594" s="1" t="s">
        <v>52</v>
      </c>
    </row>
    <row r="595" customFormat="false" ht="12.8" hidden="false" customHeight="false" outlineLevel="0" collapsed="false">
      <c r="A595" s="0" t="n">
        <v>535140</v>
      </c>
      <c r="B595" s="0" t="n">
        <v>573289</v>
      </c>
      <c r="C595" s="0" t="n">
        <v>647995</v>
      </c>
      <c r="D595" s="0" t="s">
        <v>35</v>
      </c>
      <c r="E595" s="0" t="s">
        <v>35</v>
      </c>
      <c r="F595" s="0" t="s">
        <v>480</v>
      </c>
      <c r="G595" s="0" t="s">
        <v>37</v>
      </c>
      <c r="H595" s="0" t="s">
        <v>2065</v>
      </c>
      <c r="J595" s="0" t="s">
        <v>2065</v>
      </c>
      <c r="M595" s="0" t="s">
        <v>2066</v>
      </c>
      <c r="N595" s="0" t="s">
        <v>2067</v>
      </c>
      <c r="O595" s="0" t="s">
        <v>2068</v>
      </c>
      <c r="P595" s="0" t="n">
        <v>1960</v>
      </c>
      <c r="Q595" s="0" t="s">
        <v>39</v>
      </c>
      <c r="R595" s="0" t="s">
        <v>2069</v>
      </c>
      <c r="S595" s="0" t="s">
        <v>2070</v>
      </c>
      <c r="T595" s="0" t="s">
        <v>53</v>
      </c>
      <c r="V595" s="0" t="n">
        <v>1</v>
      </c>
      <c r="W595" s="0" t="n">
        <v>1</v>
      </c>
      <c r="X595" s="0" t="str">
        <f aca="false">"31811003157271"</f>
        <v>31811003157271</v>
      </c>
      <c r="Y595" s="0" t="s">
        <v>39</v>
      </c>
      <c r="Z595" s="0" t="s">
        <v>42</v>
      </c>
      <c r="AA595" s="0" t="s">
        <v>622</v>
      </c>
      <c r="AE595" s="1" t="s">
        <v>52</v>
      </c>
    </row>
    <row r="596" customFormat="false" ht="12.8" hidden="false" customHeight="false" outlineLevel="0" collapsed="false">
      <c r="A596" s="0" t="n">
        <v>237476</v>
      </c>
      <c r="B596" s="0" t="n">
        <v>260272</v>
      </c>
      <c r="C596" s="0" t="n">
        <v>292722</v>
      </c>
      <c r="D596" s="0" t="s">
        <v>35</v>
      </c>
      <c r="E596" s="0" t="s">
        <v>35</v>
      </c>
      <c r="F596" s="0" t="s">
        <v>480</v>
      </c>
      <c r="G596" s="0" t="s">
        <v>37</v>
      </c>
      <c r="H596" s="0" t="s">
        <v>2071</v>
      </c>
      <c r="J596" s="0" t="s">
        <v>2071</v>
      </c>
      <c r="M596" s="0" t="s">
        <v>2072</v>
      </c>
      <c r="O596" s="0" t="s">
        <v>2073</v>
      </c>
      <c r="P596" s="0" t="n">
        <v>1958</v>
      </c>
      <c r="Q596" s="0" t="s">
        <v>39</v>
      </c>
      <c r="R596" s="0" t="s">
        <v>2074</v>
      </c>
      <c r="S596" s="0" t="s">
        <v>2075</v>
      </c>
      <c r="T596" s="0" t="s">
        <v>2076</v>
      </c>
      <c r="V596" s="0" t="n">
        <v>1</v>
      </c>
      <c r="W596" s="0" t="n">
        <v>1</v>
      </c>
      <c r="X596" s="0" t="str">
        <f aca="false">"31811012013630"</f>
        <v>31811012013630</v>
      </c>
      <c r="Y596" s="0" t="s">
        <v>39</v>
      </c>
      <c r="Z596" s="0" t="s">
        <v>42</v>
      </c>
      <c r="AA596" s="0" t="s">
        <v>43</v>
      </c>
      <c r="AE596" s="1" t="s">
        <v>52</v>
      </c>
    </row>
    <row r="597" customFormat="false" ht="12.8" hidden="false" customHeight="false" outlineLevel="0" collapsed="false">
      <c r="A597" s="0" t="n">
        <v>237476</v>
      </c>
      <c r="B597" s="0" t="n">
        <v>260272</v>
      </c>
      <c r="C597" s="0" t="n">
        <v>292723</v>
      </c>
      <c r="D597" s="0" t="s">
        <v>35</v>
      </c>
      <c r="E597" s="0" t="s">
        <v>35</v>
      </c>
      <c r="F597" s="0" t="s">
        <v>480</v>
      </c>
      <c r="G597" s="0" t="s">
        <v>37</v>
      </c>
      <c r="H597" s="0" t="s">
        <v>2071</v>
      </c>
      <c r="J597" s="0" t="s">
        <v>2071</v>
      </c>
      <c r="M597" s="0" t="s">
        <v>2072</v>
      </c>
      <c r="O597" s="0" t="s">
        <v>2073</v>
      </c>
      <c r="P597" s="0" t="n">
        <v>1958</v>
      </c>
      <c r="Q597" s="0" t="s">
        <v>39</v>
      </c>
      <c r="R597" s="0" t="s">
        <v>2074</v>
      </c>
      <c r="S597" s="0" t="s">
        <v>2075</v>
      </c>
      <c r="T597" s="0" t="s">
        <v>1755</v>
      </c>
      <c r="V597" s="0" t="n">
        <v>1</v>
      </c>
      <c r="W597" s="0" t="n">
        <v>1</v>
      </c>
      <c r="X597" s="0" t="str">
        <f aca="false">"31811012012897"</f>
        <v>31811012012897</v>
      </c>
      <c r="Y597" s="0" t="s">
        <v>39</v>
      </c>
      <c r="Z597" s="0" t="s">
        <v>42</v>
      </c>
      <c r="AA597" s="0" t="s">
        <v>43</v>
      </c>
      <c r="AE597" s="1" t="s">
        <v>52</v>
      </c>
    </row>
    <row r="598" customFormat="false" ht="12.8" hidden="false" customHeight="false" outlineLevel="0" collapsed="false">
      <c r="A598" s="0" t="n">
        <v>389211</v>
      </c>
      <c r="B598" s="0" t="n">
        <v>420845</v>
      </c>
      <c r="C598" s="0" t="n">
        <v>469700</v>
      </c>
      <c r="D598" s="0" t="s">
        <v>35</v>
      </c>
      <c r="E598" s="0" t="s">
        <v>35</v>
      </c>
      <c r="F598" s="0" t="s">
        <v>36</v>
      </c>
      <c r="G598" s="0" t="s">
        <v>412</v>
      </c>
      <c r="H598" s="0" t="s">
        <v>2077</v>
      </c>
      <c r="J598" s="0" t="s">
        <v>2077</v>
      </c>
      <c r="M598" s="0" t="s">
        <v>2078</v>
      </c>
      <c r="N598" s="0" t="n">
        <v>1947</v>
      </c>
      <c r="P598" s="0" t="n">
        <v>1947</v>
      </c>
      <c r="Q598" s="0" t="s">
        <v>39</v>
      </c>
      <c r="R598" s="0" t="s">
        <v>2079</v>
      </c>
      <c r="S598" s="0" t="s">
        <v>2080</v>
      </c>
      <c r="V598" s="0" t="n">
        <v>1</v>
      </c>
      <c r="W598" s="0" t="n">
        <v>1</v>
      </c>
      <c r="X598" s="0" t="str">
        <f aca="false">"31811010357286"</f>
        <v>31811010357286</v>
      </c>
      <c r="Y598" s="0" t="s">
        <v>39</v>
      </c>
      <c r="Z598" s="0" t="s">
        <v>42</v>
      </c>
      <c r="AA598" s="0" t="s">
        <v>43</v>
      </c>
      <c r="AE598" s="1" t="s">
        <v>52</v>
      </c>
    </row>
    <row r="599" customFormat="false" ht="12.8" hidden="false" customHeight="false" outlineLevel="0" collapsed="false">
      <c r="A599" s="0" t="n">
        <v>132641</v>
      </c>
      <c r="B599" s="0" t="n">
        <v>142780</v>
      </c>
      <c r="C599" s="0" t="n">
        <v>158487</v>
      </c>
      <c r="D599" s="0" t="s">
        <v>35</v>
      </c>
      <c r="E599" s="0" t="s">
        <v>35</v>
      </c>
      <c r="F599" s="0" t="s">
        <v>36</v>
      </c>
      <c r="G599" s="0" t="s">
        <v>37</v>
      </c>
      <c r="H599" s="0" t="s">
        <v>2081</v>
      </c>
      <c r="I599" s="0" t="s">
        <v>2082</v>
      </c>
      <c r="J599" s="0" t="s">
        <v>2083</v>
      </c>
      <c r="M599" s="0" t="s">
        <v>2084</v>
      </c>
      <c r="N599" s="0" t="n">
        <v>1970</v>
      </c>
      <c r="O599" s="0" t="s">
        <v>1021</v>
      </c>
      <c r="P599" s="0" t="n">
        <v>1970</v>
      </c>
      <c r="Q599" s="0" t="s">
        <v>39</v>
      </c>
      <c r="R599" s="0" t="s">
        <v>2085</v>
      </c>
      <c r="S599" s="0" t="s">
        <v>2086</v>
      </c>
      <c r="V599" s="0" t="n">
        <v>1</v>
      </c>
      <c r="W599" s="0" t="n">
        <v>1</v>
      </c>
      <c r="X599" s="0" t="str">
        <f aca="false">"31811012447234"</f>
        <v>31811012447234</v>
      </c>
      <c r="Y599" s="0" t="s">
        <v>39</v>
      </c>
      <c r="Z599" s="0" t="s">
        <v>42</v>
      </c>
      <c r="AA599" s="0" t="s">
        <v>43</v>
      </c>
      <c r="AE599" s="1" t="s">
        <v>52</v>
      </c>
    </row>
    <row r="600" customFormat="false" ht="12.8" hidden="false" customHeight="false" outlineLevel="0" collapsed="false">
      <c r="A600" s="0" t="n">
        <v>61473</v>
      </c>
      <c r="B600" s="0" t="n">
        <v>66803</v>
      </c>
      <c r="C600" s="0" t="n">
        <v>73773</v>
      </c>
      <c r="D600" s="0" t="s">
        <v>35</v>
      </c>
      <c r="E600" s="0" t="s">
        <v>35</v>
      </c>
      <c r="F600" s="0" t="s">
        <v>480</v>
      </c>
      <c r="G600" s="0" t="s">
        <v>37</v>
      </c>
      <c r="H600" s="0" t="s">
        <v>2087</v>
      </c>
      <c r="J600" s="0" t="s">
        <v>2087</v>
      </c>
      <c r="M600" s="0" t="s">
        <v>2088</v>
      </c>
      <c r="N600" s="1" t="s">
        <v>2089</v>
      </c>
      <c r="O600" s="0" t="s">
        <v>2090</v>
      </c>
      <c r="P600" s="0" t="n">
        <v>1970</v>
      </c>
      <c r="Q600" s="0" t="s">
        <v>39</v>
      </c>
      <c r="R600" s="0" t="s">
        <v>2091</v>
      </c>
      <c r="S600" s="0" t="s">
        <v>2092</v>
      </c>
      <c r="T600" s="0" t="s">
        <v>2093</v>
      </c>
      <c r="V600" s="0" t="n">
        <v>1</v>
      </c>
      <c r="W600" s="0" t="n">
        <v>1</v>
      </c>
      <c r="X600" s="0" t="str">
        <f aca="false">"31811012012970"</f>
        <v>31811012012970</v>
      </c>
      <c r="Y600" s="0" t="s">
        <v>39</v>
      </c>
      <c r="Z600" s="0" t="s">
        <v>42</v>
      </c>
      <c r="AA600" s="0" t="s">
        <v>622</v>
      </c>
      <c r="AE600" s="1" t="s">
        <v>52</v>
      </c>
    </row>
    <row r="601" customFormat="false" ht="12.8" hidden="false" customHeight="false" outlineLevel="0" collapsed="false">
      <c r="A601" s="0" t="n">
        <v>61473</v>
      </c>
      <c r="B601" s="0" t="n">
        <v>66803</v>
      </c>
      <c r="C601" s="0" t="n">
        <v>73774</v>
      </c>
      <c r="D601" s="0" t="s">
        <v>35</v>
      </c>
      <c r="E601" s="0" t="s">
        <v>35</v>
      </c>
      <c r="F601" s="0" t="s">
        <v>480</v>
      </c>
      <c r="G601" s="0" t="s">
        <v>37</v>
      </c>
      <c r="H601" s="0" t="s">
        <v>2087</v>
      </c>
      <c r="J601" s="0" t="s">
        <v>2087</v>
      </c>
      <c r="M601" s="0" t="s">
        <v>2088</v>
      </c>
      <c r="N601" s="1" t="s">
        <v>2089</v>
      </c>
      <c r="O601" s="0" t="s">
        <v>2090</v>
      </c>
      <c r="P601" s="0" t="n">
        <v>1970</v>
      </c>
      <c r="Q601" s="0" t="s">
        <v>39</v>
      </c>
      <c r="R601" s="0" t="s">
        <v>2091</v>
      </c>
      <c r="S601" s="0" t="s">
        <v>2092</v>
      </c>
      <c r="T601" s="0" t="s">
        <v>2094</v>
      </c>
      <c r="V601" s="0" t="n">
        <v>1</v>
      </c>
      <c r="W601" s="0" t="n">
        <v>1</v>
      </c>
      <c r="X601" s="0" t="str">
        <f aca="false">"31811012012988"</f>
        <v>31811012012988</v>
      </c>
      <c r="Y601" s="0" t="s">
        <v>39</v>
      </c>
      <c r="Z601" s="0" t="s">
        <v>42</v>
      </c>
      <c r="AA601" s="0" t="s">
        <v>622</v>
      </c>
      <c r="AE601" s="1" t="s">
        <v>52</v>
      </c>
    </row>
    <row r="602" customFormat="false" ht="12.8" hidden="false" customHeight="false" outlineLevel="0" collapsed="false">
      <c r="A602" s="0" t="n">
        <v>61473</v>
      </c>
      <c r="B602" s="0" t="n">
        <v>66803</v>
      </c>
      <c r="C602" s="0" t="n">
        <v>73775</v>
      </c>
      <c r="D602" s="0" t="s">
        <v>35</v>
      </c>
      <c r="E602" s="0" t="s">
        <v>35</v>
      </c>
      <c r="F602" s="0" t="s">
        <v>480</v>
      </c>
      <c r="G602" s="0" t="s">
        <v>37</v>
      </c>
      <c r="H602" s="0" t="s">
        <v>2087</v>
      </c>
      <c r="J602" s="0" t="s">
        <v>2087</v>
      </c>
      <c r="M602" s="0" t="s">
        <v>2088</v>
      </c>
      <c r="N602" s="1" t="s">
        <v>2089</v>
      </c>
      <c r="O602" s="0" t="s">
        <v>2090</v>
      </c>
      <c r="P602" s="0" t="n">
        <v>1970</v>
      </c>
      <c r="Q602" s="0" t="s">
        <v>39</v>
      </c>
      <c r="R602" s="0" t="s">
        <v>2091</v>
      </c>
      <c r="S602" s="0" t="s">
        <v>2092</v>
      </c>
      <c r="T602" s="0" t="s">
        <v>2095</v>
      </c>
      <c r="V602" s="0" t="n">
        <v>1</v>
      </c>
      <c r="W602" s="0" t="n">
        <v>1</v>
      </c>
      <c r="X602" s="0" t="str">
        <f aca="false">"31811012012996"</f>
        <v>31811012012996</v>
      </c>
      <c r="Y602" s="0" t="s">
        <v>39</v>
      </c>
      <c r="Z602" s="0" t="s">
        <v>42</v>
      </c>
      <c r="AA602" s="0" t="s">
        <v>622</v>
      </c>
      <c r="AE602" s="1" t="s">
        <v>52</v>
      </c>
    </row>
    <row r="603" customFormat="false" ht="12.8" hidden="false" customHeight="false" outlineLevel="0" collapsed="false">
      <c r="A603" s="0" t="n">
        <v>61473</v>
      </c>
      <c r="B603" s="0" t="n">
        <v>66803</v>
      </c>
      <c r="C603" s="0" t="n">
        <v>73776</v>
      </c>
      <c r="D603" s="0" t="s">
        <v>35</v>
      </c>
      <c r="E603" s="0" t="s">
        <v>35</v>
      </c>
      <c r="F603" s="0" t="s">
        <v>480</v>
      </c>
      <c r="G603" s="0" t="s">
        <v>37</v>
      </c>
      <c r="H603" s="0" t="s">
        <v>2087</v>
      </c>
      <c r="J603" s="0" t="s">
        <v>2087</v>
      </c>
      <c r="M603" s="0" t="s">
        <v>2088</v>
      </c>
      <c r="N603" s="1" t="s">
        <v>2089</v>
      </c>
      <c r="O603" s="0" t="s">
        <v>2090</v>
      </c>
      <c r="P603" s="0" t="n">
        <v>1970</v>
      </c>
      <c r="Q603" s="0" t="s">
        <v>39</v>
      </c>
      <c r="R603" s="0" t="s">
        <v>2091</v>
      </c>
      <c r="S603" s="0" t="s">
        <v>2092</v>
      </c>
      <c r="T603" s="0" t="s">
        <v>2096</v>
      </c>
      <c r="V603" s="0" t="n">
        <v>1</v>
      </c>
      <c r="W603" s="0" t="n">
        <v>1</v>
      </c>
      <c r="X603" s="0" t="str">
        <f aca="false">"31811012013002"</f>
        <v>31811012013002</v>
      </c>
      <c r="Y603" s="0" t="s">
        <v>39</v>
      </c>
      <c r="Z603" s="0" t="s">
        <v>42</v>
      </c>
      <c r="AA603" s="0" t="s">
        <v>622</v>
      </c>
      <c r="AE603" s="1" t="s">
        <v>52</v>
      </c>
    </row>
    <row r="604" customFormat="false" ht="12.8" hidden="false" customHeight="false" outlineLevel="0" collapsed="false">
      <c r="A604" s="0" t="n">
        <v>61473</v>
      </c>
      <c r="B604" s="0" t="n">
        <v>66803</v>
      </c>
      <c r="C604" s="0" t="n">
        <v>73777</v>
      </c>
      <c r="D604" s="0" t="s">
        <v>35</v>
      </c>
      <c r="E604" s="0" t="s">
        <v>35</v>
      </c>
      <c r="F604" s="0" t="s">
        <v>480</v>
      </c>
      <c r="G604" s="0" t="s">
        <v>37</v>
      </c>
      <c r="H604" s="0" t="s">
        <v>2087</v>
      </c>
      <c r="J604" s="0" t="s">
        <v>2087</v>
      </c>
      <c r="M604" s="0" t="s">
        <v>2088</v>
      </c>
      <c r="N604" s="1" t="s">
        <v>2089</v>
      </c>
      <c r="O604" s="0" t="s">
        <v>2090</v>
      </c>
      <c r="P604" s="0" t="n">
        <v>1970</v>
      </c>
      <c r="Q604" s="0" t="s">
        <v>39</v>
      </c>
      <c r="R604" s="0" t="s">
        <v>2091</v>
      </c>
      <c r="S604" s="0" t="s">
        <v>2092</v>
      </c>
      <c r="T604" s="0" t="s">
        <v>2097</v>
      </c>
      <c r="V604" s="0" t="n">
        <v>1</v>
      </c>
      <c r="W604" s="0" t="n">
        <v>1</v>
      </c>
      <c r="X604" s="0" t="str">
        <f aca="false">"31811012013291"</f>
        <v>31811012013291</v>
      </c>
      <c r="Y604" s="0" t="s">
        <v>39</v>
      </c>
      <c r="Z604" s="0" t="s">
        <v>42</v>
      </c>
      <c r="AA604" s="0" t="s">
        <v>622</v>
      </c>
      <c r="AE604" s="1" t="s">
        <v>52</v>
      </c>
    </row>
    <row r="605" customFormat="false" ht="12.8" hidden="false" customHeight="false" outlineLevel="0" collapsed="false">
      <c r="A605" s="0" t="n">
        <v>61473</v>
      </c>
      <c r="B605" s="0" t="n">
        <v>66803</v>
      </c>
      <c r="C605" s="0" t="n">
        <v>73778</v>
      </c>
      <c r="D605" s="0" t="s">
        <v>35</v>
      </c>
      <c r="E605" s="0" t="s">
        <v>35</v>
      </c>
      <c r="F605" s="0" t="s">
        <v>480</v>
      </c>
      <c r="G605" s="0" t="s">
        <v>37</v>
      </c>
      <c r="H605" s="0" t="s">
        <v>2087</v>
      </c>
      <c r="J605" s="0" t="s">
        <v>2087</v>
      </c>
      <c r="M605" s="0" t="s">
        <v>2088</v>
      </c>
      <c r="N605" s="1" t="s">
        <v>2089</v>
      </c>
      <c r="O605" s="0" t="s">
        <v>2090</v>
      </c>
      <c r="P605" s="0" t="n">
        <v>1970</v>
      </c>
      <c r="Q605" s="0" t="s">
        <v>39</v>
      </c>
      <c r="R605" s="0" t="s">
        <v>2091</v>
      </c>
      <c r="S605" s="0" t="s">
        <v>2092</v>
      </c>
      <c r="T605" s="0" t="s">
        <v>2098</v>
      </c>
      <c r="V605" s="0" t="n">
        <v>1</v>
      </c>
      <c r="W605" s="0" t="n">
        <v>1</v>
      </c>
      <c r="X605" s="0" t="str">
        <f aca="false">"31811012013309"</f>
        <v>31811012013309</v>
      </c>
      <c r="Y605" s="0" t="s">
        <v>39</v>
      </c>
      <c r="Z605" s="0" t="s">
        <v>42</v>
      </c>
      <c r="AA605" s="0" t="s">
        <v>622</v>
      </c>
      <c r="AE605" s="1" t="s">
        <v>52</v>
      </c>
    </row>
    <row r="606" customFormat="false" ht="12.8" hidden="false" customHeight="false" outlineLevel="0" collapsed="false">
      <c r="A606" s="0" t="n">
        <v>61473</v>
      </c>
      <c r="B606" s="0" t="n">
        <v>66803</v>
      </c>
      <c r="C606" s="0" t="n">
        <v>73779</v>
      </c>
      <c r="D606" s="0" t="s">
        <v>35</v>
      </c>
      <c r="E606" s="0" t="s">
        <v>35</v>
      </c>
      <c r="F606" s="0" t="s">
        <v>480</v>
      </c>
      <c r="G606" s="0" t="s">
        <v>37</v>
      </c>
      <c r="H606" s="0" t="s">
        <v>2087</v>
      </c>
      <c r="J606" s="0" t="s">
        <v>2087</v>
      </c>
      <c r="M606" s="0" t="s">
        <v>2088</v>
      </c>
      <c r="N606" s="1" t="s">
        <v>2089</v>
      </c>
      <c r="O606" s="0" t="s">
        <v>2090</v>
      </c>
      <c r="P606" s="0" t="n">
        <v>1970</v>
      </c>
      <c r="Q606" s="0" t="s">
        <v>39</v>
      </c>
      <c r="R606" s="0" t="s">
        <v>2091</v>
      </c>
      <c r="S606" s="0" t="s">
        <v>2092</v>
      </c>
      <c r="T606" s="0" t="s">
        <v>2099</v>
      </c>
      <c r="V606" s="0" t="n">
        <v>1</v>
      </c>
      <c r="W606" s="0" t="n">
        <v>1</v>
      </c>
      <c r="X606" s="0" t="str">
        <f aca="false">"31811012013317"</f>
        <v>31811012013317</v>
      </c>
      <c r="Y606" s="0" t="s">
        <v>39</v>
      </c>
      <c r="Z606" s="0" t="s">
        <v>42</v>
      </c>
      <c r="AA606" s="0" t="s">
        <v>622</v>
      </c>
      <c r="AE606" s="1" t="s">
        <v>52</v>
      </c>
    </row>
    <row r="607" customFormat="false" ht="12.8" hidden="false" customHeight="false" outlineLevel="0" collapsed="false">
      <c r="A607" s="0" t="n">
        <v>176530</v>
      </c>
      <c r="B607" s="0" t="n">
        <v>192939</v>
      </c>
      <c r="C607" s="0" t="n">
        <v>216772</v>
      </c>
      <c r="D607" s="0" t="s">
        <v>35</v>
      </c>
      <c r="E607" s="0" t="s">
        <v>35</v>
      </c>
      <c r="F607" s="0" t="s">
        <v>480</v>
      </c>
      <c r="G607" s="0" t="s">
        <v>37</v>
      </c>
      <c r="H607" s="0" t="s">
        <v>2100</v>
      </c>
      <c r="J607" s="0" t="s">
        <v>2100</v>
      </c>
      <c r="M607" s="0" t="s">
        <v>2101</v>
      </c>
      <c r="N607" s="1" t="s">
        <v>2102</v>
      </c>
      <c r="O607" s="0" t="s">
        <v>2103</v>
      </c>
      <c r="P607" s="0" t="n">
        <v>1948</v>
      </c>
      <c r="Q607" s="0" t="s">
        <v>39</v>
      </c>
      <c r="R607" s="0" t="s">
        <v>2104</v>
      </c>
      <c r="S607" s="0" t="s">
        <v>2105</v>
      </c>
      <c r="V607" s="0" t="n">
        <v>1</v>
      </c>
      <c r="W607" s="0" t="n">
        <v>1</v>
      </c>
      <c r="X607" s="0" t="str">
        <f aca="false">"31811012012673"</f>
        <v>31811012012673</v>
      </c>
      <c r="Y607" s="0" t="s">
        <v>39</v>
      </c>
      <c r="Z607" s="0" t="s">
        <v>42</v>
      </c>
      <c r="AA607" s="0" t="s">
        <v>622</v>
      </c>
      <c r="AE607" s="1" t="s">
        <v>52</v>
      </c>
    </row>
    <row r="608" customFormat="false" ht="12.8" hidden="false" customHeight="false" outlineLevel="0" collapsed="false">
      <c r="A608" s="0" t="n">
        <v>170794</v>
      </c>
      <c r="B608" s="0" t="n">
        <v>186483</v>
      </c>
      <c r="C608" s="0" t="n">
        <v>209435</v>
      </c>
      <c r="D608" s="0" t="s">
        <v>35</v>
      </c>
      <c r="E608" s="0" t="s">
        <v>35</v>
      </c>
      <c r="F608" s="0" t="s">
        <v>480</v>
      </c>
      <c r="G608" s="0" t="s">
        <v>37</v>
      </c>
      <c r="H608" s="0" t="s">
        <v>2106</v>
      </c>
      <c r="J608" s="0" t="s">
        <v>2107</v>
      </c>
      <c r="M608" s="0" t="s">
        <v>2108</v>
      </c>
      <c r="N608" s="0" t="s">
        <v>2109</v>
      </c>
      <c r="O608" s="0" t="s">
        <v>2110</v>
      </c>
      <c r="P608" s="0" t="n">
        <v>1978</v>
      </c>
      <c r="Q608" s="0" t="s">
        <v>39</v>
      </c>
      <c r="R608" s="0" t="s">
        <v>2111</v>
      </c>
      <c r="S608" s="0" t="s">
        <v>2112</v>
      </c>
      <c r="T608" s="0" t="s">
        <v>2113</v>
      </c>
      <c r="V608" s="0" t="n">
        <v>1</v>
      </c>
      <c r="W608" s="0" t="n">
        <v>1</v>
      </c>
      <c r="X608" s="0" t="str">
        <f aca="false">"31811010357237"</f>
        <v>31811010357237</v>
      </c>
      <c r="Y608" s="0" t="s">
        <v>39</v>
      </c>
      <c r="Z608" s="0" t="s">
        <v>42</v>
      </c>
      <c r="AA608" s="0" t="s">
        <v>43</v>
      </c>
      <c r="AE608" s="1" t="s">
        <v>52</v>
      </c>
    </row>
    <row r="609" customFormat="false" ht="12.8" hidden="false" customHeight="false" outlineLevel="0" collapsed="false">
      <c r="A609" s="0" t="n">
        <v>170794</v>
      </c>
      <c r="B609" s="0" t="n">
        <v>186483</v>
      </c>
      <c r="C609" s="0" t="n">
        <v>209436</v>
      </c>
      <c r="D609" s="0" t="s">
        <v>35</v>
      </c>
      <c r="E609" s="0" t="s">
        <v>35</v>
      </c>
      <c r="F609" s="0" t="s">
        <v>480</v>
      </c>
      <c r="G609" s="0" t="s">
        <v>37</v>
      </c>
      <c r="H609" s="0" t="s">
        <v>2106</v>
      </c>
      <c r="J609" s="0" t="s">
        <v>2107</v>
      </c>
      <c r="M609" s="0" t="s">
        <v>2108</v>
      </c>
      <c r="N609" s="0" t="s">
        <v>2109</v>
      </c>
      <c r="O609" s="0" t="s">
        <v>2110</v>
      </c>
      <c r="P609" s="0" t="n">
        <v>1978</v>
      </c>
      <c r="Q609" s="0" t="s">
        <v>39</v>
      </c>
      <c r="R609" s="0" t="s">
        <v>2111</v>
      </c>
      <c r="S609" s="0" t="s">
        <v>2112</v>
      </c>
      <c r="T609" s="0" t="s">
        <v>2114</v>
      </c>
      <c r="V609" s="0" t="n">
        <v>1</v>
      </c>
      <c r="W609" s="0" t="n">
        <v>1</v>
      </c>
      <c r="X609" s="0" t="str">
        <f aca="false">"31811010357278"</f>
        <v>31811010357278</v>
      </c>
      <c r="Y609" s="0" t="s">
        <v>39</v>
      </c>
      <c r="Z609" s="0" t="s">
        <v>42</v>
      </c>
      <c r="AA609" s="0" t="s">
        <v>43</v>
      </c>
      <c r="AE609" s="1" t="s">
        <v>52</v>
      </c>
    </row>
    <row r="610" customFormat="false" ht="12.8" hidden="false" customHeight="false" outlineLevel="0" collapsed="false">
      <c r="A610" s="0" t="n">
        <v>170794</v>
      </c>
      <c r="B610" s="0" t="n">
        <v>186483</v>
      </c>
      <c r="C610" s="0" t="n">
        <v>209437</v>
      </c>
      <c r="D610" s="0" t="s">
        <v>35</v>
      </c>
      <c r="E610" s="0" t="s">
        <v>35</v>
      </c>
      <c r="F610" s="0" t="s">
        <v>480</v>
      </c>
      <c r="G610" s="0" t="s">
        <v>37</v>
      </c>
      <c r="H610" s="0" t="s">
        <v>2106</v>
      </c>
      <c r="J610" s="0" t="s">
        <v>2107</v>
      </c>
      <c r="M610" s="0" t="s">
        <v>2108</v>
      </c>
      <c r="N610" s="0" t="s">
        <v>2109</v>
      </c>
      <c r="O610" s="0" t="s">
        <v>2110</v>
      </c>
      <c r="P610" s="0" t="n">
        <v>1978</v>
      </c>
      <c r="Q610" s="0" t="s">
        <v>39</v>
      </c>
      <c r="R610" s="0" t="s">
        <v>2111</v>
      </c>
      <c r="S610" s="0" t="s">
        <v>2112</v>
      </c>
      <c r="T610" s="0" t="s">
        <v>2115</v>
      </c>
      <c r="V610" s="0" t="n">
        <v>1</v>
      </c>
      <c r="W610" s="0" t="n">
        <v>1</v>
      </c>
      <c r="X610" s="0" t="str">
        <f aca="false">"31811010357161"</f>
        <v>31811010357161</v>
      </c>
      <c r="Y610" s="0" t="s">
        <v>39</v>
      </c>
      <c r="Z610" s="0" t="s">
        <v>42</v>
      </c>
      <c r="AA610" s="0" t="s">
        <v>43</v>
      </c>
      <c r="AE610" s="1" t="s">
        <v>52</v>
      </c>
    </row>
    <row r="611" customFormat="false" ht="12.8" hidden="false" customHeight="false" outlineLevel="0" collapsed="false">
      <c r="A611" s="0" t="n">
        <v>170794</v>
      </c>
      <c r="B611" s="0" t="n">
        <v>186483</v>
      </c>
      <c r="C611" s="0" t="n">
        <v>209438</v>
      </c>
      <c r="D611" s="0" t="s">
        <v>35</v>
      </c>
      <c r="E611" s="0" t="s">
        <v>35</v>
      </c>
      <c r="F611" s="0" t="s">
        <v>480</v>
      </c>
      <c r="G611" s="0" t="s">
        <v>37</v>
      </c>
      <c r="H611" s="0" t="s">
        <v>2106</v>
      </c>
      <c r="J611" s="0" t="s">
        <v>2107</v>
      </c>
      <c r="M611" s="0" t="s">
        <v>2108</v>
      </c>
      <c r="N611" s="0" t="s">
        <v>2109</v>
      </c>
      <c r="O611" s="0" t="s">
        <v>2110</v>
      </c>
      <c r="P611" s="0" t="n">
        <v>1978</v>
      </c>
      <c r="Q611" s="0" t="s">
        <v>39</v>
      </c>
      <c r="R611" s="0" t="s">
        <v>2111</v>
      </c>
      <c r="S611" s="0" t="s">
        <v>2112</v>
      </c>
      <c r="T611" s="0" t="s">
        <v>2116</v>
      </c>
      <c r="V611" s="0" t="n">
        <v>1</v>
      </c>
      <c r="W611" s="0" t="n">
        <v>1</v>
      </c>
      <c r="X611" s="0" t="str">
        <f aca="false">"31811010357203"</f>
        <v>31811010357203</v>
      </c>
      <c r="Y611" s="0" t="s">
        <v>39</v>
      </c>
      <c r="Z611" s="0" t="s">
        <v>42</v>
      </c>
      <c r="AA611" s="0" t="s">
        <v>43</v>
      </c>
      <c r="AE611" s="1" t="s">
        <v>52</v>
      </c>
    </row>
    <row r="612" customFormat="false" ht="12.8" hidden="false" customHeight="false" outlineLevel="0" collapsed="false">
      <c r="A612" s="0" t="n">
        <v>614576</v>
      </c>
      <c r="B612" s="0" t="n">
        <v>656977</v>
      </c>
      <c r="C612" s="0" t="n">
        <v>733315</v>
      </c>
      <c r="D612" s="0" t="s">
        <v>35</v>
      </c>
      <c r="E612" s="0" t="s">
        <v>35</v>
      </c>
      <c r="F612" s="0" t="s">
        <v>36</v>
      </c>
      <c r="G612" s="0" t="s">
        <v>37</v>
      </c>
      <c r="H612" s="0" t="s">
        <v>2117</v>
      </c>
      <c r="J612" s="0" t="s">
        <v>2118</v>
      </c>
      <c r="M612" s="0" t="s">
        <v>2119</v>
      </c>
      <c r="N612" s="0" t="n">
        <v>1972</v>
      </c>
      <c r="O612" s="0" t="s">
        <v>2120</v>
      </c>
      <c r="P612" s="0" t="n">
        <v>1972</v>
      </c>
      <c r="Q612" s="0" t="s">
        <v>39</v>
      </c>
      <c r="R612" s="0" t="s">
        <v>2121</v>
      </c>
      <c r="S612" s="0" t="s">
        <v>2122</v>
      </c>
      <c r="V612" s="0" t="n">
        <v>1</v>
      </c>
      <c r="W612" s="0" t="n">
        <v>1</v>
      </c>
      <c r="X612" s="0" t="str">
        <f aca="false">"31811012521087"</f>
        <v>31811012521087</v>
      </c>
      <c r="Y612" s="0" t="s">
        <v>39</v>
      </c>
      <c r="Z612" s="0" t="s">
        <v>42</v>
      </c>
      <c r="AA612" s="0" t="s">
        <v>43</v>
      </c>
      <c r="AE612" s="1" t="s">
        <v>2123</v>
      </c>
    </row>
    <row r="613" customFormat="false" ht="12.8" hidden="false" customHeight="false" outlineLevel="0" collapsed="false">
      <c r="A613" s="0" t="n">
        <v>150086</v>
      </c>
      <c r="B613" s="0" t="n">
        <v>162771</v>
      </c>
      <c r="C613" s="0" t="n">
        <v>182700</v>
      </c>
      <c r="D613" s="0" t="s">
        <v>35</v>
      </c>
      <c r="E613" s="0" t="s">
        <v>35</v>
      </c>
      <c r="F613" s="0" t="s">
        <v>480</v>
      </c>
      <c r="G613" s="0" t="s">
        <v>37</v>
      </c>
      <c r="H613" s="0" t="s">
        <v>2124</v>
      </c>
      <c r="J613" s="0" t="s">
        <v>2124</v>
      </c>
      <c r="M613" s="0" t="s">
        <v>2125</v>
      </c>
      <c r="N613" s="0" t="s">
        <v>2126</v>
      </c>
      <c r="O613" s="0" t="s">
        <v>2120</v>
      </c>
      <c r="P613" s="0" t="n">
        <v>1983</v>
      </c>
      <c r="Q613" s="0" t="s">
        <v>39</v>
      </c>
      <c r="R613" s="0" t="s">
        <v>2127</v>
      </c>
      <c r="S613" s="0" t="s">
        <v>2128</v>
      </c>
      <c r="T613" s="0" t="s">
        <v>2129</v>
      </c>
      <c r="V613" s="0" t="n">
        <v>1</v>
      </c>
      <c r="W613" s="0" t="n">
        <v>1</v>
      </c>
      <c r="X613" s="0" t="str">
        <f aca="false">"31811010357229"</f>
        <v>31811010357229</v>
      </c>
      <c r="Y613" s="0" t="s">
        <v>39</v>
      </c>
      <c r="Z613" s="0" t="s">
        <v>42</v>
      </c>
      <c r="AA613" s="0" t="s">
        <v>43</v>
      </c>
      <c r="AE613" s="1" t="s">
        <v>52</v>
      </c>
    </row>
    <row r="614" customFormat="false" ht="12.8" hidden="false" customHeight="false" outlineLevel="0" collapsed="false">
      <c r="A614" s="0" t="n">
        <v>150086</v>
      </c>
      <c r="B614" s="0" t="n">
        <v>162771</v>
      </c>
      <c r="C614" s="0" t="n">
        <v>182701</v>
      </c>
      <c r="D614" s="0" t="s">
        <v>35</v>
      </c>
      <c r="E614" s="0" t="s">
        <v>35</v>
      </c>
      <c r="F614" s="0" t="s">
        <v>480</v>
      </c>
      <c r="G614" s="0" t="s">
        <v>37</v>
      </c>
      <c r="H614" s="0" t="s">
        <v>2124</v>
      </c>
      <c r="J614" s="0" t="s">
        <v>2124</v>
      </c>
      <c r="M614" s="0" t="s">
        <v>2125</v>
      </c>
      <c r="N614" s="0" t="s">
        <v>2126</v>
      </c>
      <c r="O614" s="0" t="s">
        <v>2120</v>
      </c>
      <c r="P614" s="0" t="n">
        <v>1983</v>
      </c>
      <c r="Q614" s="0" t="s">
        <v>39</v>
      </c>
      <c r="R614" s="0" t="s">
        <v>2127</v>
      </c>
      <c r="S614" s="0" t="s">
        <v>2128</v>
      </c>
      <c r="T614" s="0" t="s">
        <v>2130</v>
      </c>
      <c r="V614" s="0" t="n">
        <v>1</v>
      </c>
      <c r="W614" s="0" t="n">
        <v>1</v>
      </c>
      <c r="X614" s="0" t="str">
        <f aca="false">"31811010357187"</f>
        <v>31811010357187</v>
      </c>
      <c r="Y614" s="0" t="s">
        <v>39</v>
      </c>
      <c r="Z614" s="0" t="s">
        <v>42</v>
      </c>
      <c r="AA614" s="0" t="s">
        <v>43</v>
      </c>
      <c r="AE614" s="1" t="s">
        <v>52</v>
      </c>
    </row>
    <row r="615" customFormat="false" ht="12.8" hidden="false" customHeight="false" outlineLevel="0" collapsed="false">
      <c r="A615" s="0" t="n">
        <v>150086</v>
      </c>
      <c r="B615" s="0" t="n">
        <v>162771</v>
      </c>
      <c r="C615" s="0" t="n">
        <v>182702</v>
      </c>
      <c r="D615" s="0" t="s">
        <v>35</v>
      </c>
      <c r="E615" s="0" t="s">
        <v>35</v>
      </c>
      <c r="F615" s="0" t="s">
        <v>480</v>
      </c>
      <c r="G615" s="0" t="s">
        <v>37</v>
      </c>
      <c r="H615" s="0" t="s">
        <v>2124</v>
      </c>
      <c r="J615" s="0" t="s">
        <v>2124</v>
      </c>
      <c r="M615" s="0" t="s">
        <v>2125</v>
      </c>
      <c r="N615" s="0" t="s">
        <v>2126</v>
      </c>
      <c r="O615" s="0" t="s">
        <v>2120</v>
      </c>
      <c r="P615" s="0" t="n">
        <v>1983</v>
      </c>
      <c r="Q615" s="0" t="s">
        <v>39</v>
      </c>
      <c r="R615" s="0" t="s">
        <v>2127</v>
      </c>
      <c r="S615" s="0" t="s">
        <v>2128</v>
      </c>
      <c r="T615" s="0" t="s">
        <v>2131</v>
      </c>
      <c r="V615" s="0" t="n">
        <v>1</v>
      </c>
      <c r="W615" s="0" t="n">
        <v>1</v>
      </c>
      <c r="X615" s="0" t="str">
        <f aca="false">"31811010357146"</f>
        <v>31811010357146</v>
      </c>
      <c r="Y615" s="0" t="s">
        <v>39</v>
      </c>
      <c r="Z615" s="0" t="s">
        <v>42</v>
      </c>
      <c r="AA615" s="0" t="s">
        <v>43</v>
      </c>
      <c r="AE615" s="1" t="s">
        <v>52</v>
      </c>
    </row>
    <row r="616" customFormat="false" ht="12.8" hidden="false" customHeight="false" outlineLevel="0" collapsed="false">
      <c r="A616" s="0" t="n">
        <v>150086</v>
      </c>
      <c r="B616" s="0" t="n">
        <v>162771</v>
      </c>
      <c r="C616" s="0" t="n">
        <v>182703</v>
      </c>
      <c r="D616" s="0" t="s">
        <v>35</v>
      </c>
      <c r="E616" s="0" t="s">
        <v>35</v>
      </c>
      <c r="F616" s="0" t="s">
        <v>480</v>
      </c>
      <c r="G616" s="0" t="s">
        <v>37</v>
      </c>
      <c r="H616" s="0" t="s">
        <v>2124</v>
      </c>
      <c r="J616" s="0" t="s">
        <v>2124</v>
      </c>
      <c r="M616" s="0" t="s">
        <v>2125</v>
      </c>
      <c r="N616" s="0" t="s">
        <v>2126</v>
      </c>
      <c r="O616" s="0" t="s">
        <v>2120</v>
      </c>
      <c r="P616" s="0" t="n">
        <v>1983</v>
      </c>
      <c r="Q616" s="0" t="s">
        <v>39</v>
      </c>
      <c r="R616" s="0" t="s">
        <v>2127</v>
      </c>
      <c r="S616" s="0" t="s">
        <v>2128</v>
      </c>
      <c r="T616" s="0" t="s">
        <v>2132</v>
      </c>
      <c r="V616" s="0" t="n">
        <v>1</v>
      </c>
      <c r="W616" s="0" t="n">
        <v>1</v>
      </c>
      <c r="X616" s="0" t="str">
        <f aca="false">"31811010357153"</f>
        <v>31811010357153</v>
      </c>
      <c r="Y616" s="0" t="s">
        <v>39</v>
      </c>
      <c r="Z616" s="0" t="s">
        <v>42</v>
      </c>
      <c r="AA616" s="0" t="s">
        <v>43</v>
      </c>
      <c r="AE616" s="1" t="s">
        <v>52</v>
      </c>
    </row>
    <row r="617" customFormat="false" ht="12.8" hidden="false" customHeight="false" outlineLevel="0" collapsed="false">
      <c r="A617" s="0" t="n">
        <v>150086</v>
      </c>
      <c r="B617" s="0" t="n">
        <v>162771</v>
      </c>
      <c r="C617" s="0" t="n">
        <v>182704</v>
      </c>
      <c r="D617" s="0" t="s">
        <v>35</v>
      </c>
      <c r="E617" s="0" t="s">
        <v>35</v>
      </c>
      <c r="F617" s="0" t="s">
        <v>480</v>
      </c>
      <c r="G617" s="0" t="s">
        <v>37</v>
      </c>
      <c r="H617" s="0" t="s">
        <v>2124</v>
      </c>
      <c r="J617" s="0" t="s">
        <v>2124</v>
      </c>
      <c r="M617" s="0" t="s">
        <v>2125</v>
      </c>
      <c r="N617" s="0" t="s">
        <v>2126</v>
      </c>
      <c r="O617" s="0" t="s">
        <v>2120</v>
      </c>
      <c r="P617" s="0" t="n">
        <v>1983</v>
      </c>
      <c r="Q617" s="0" t="s">
        <v>39</v>
      </c>
      <c r="R617" s="0" t="s">
        <v>2127</v>
      </c>
      <c r="S617" s="0" t="s">
        <v>2128</v>
      </c>
      <c r="T617" s="0" t="s">
        <v>2133</v>
      </c>
      <c r="V617" s="0" t="n">
        <v>1</v>
      </c>
      <c r="W617" s="0" t="n">
        <v>1</v>
      </c>
      <c r="X617" s="0" t="str">
        <f aca="false">"31811010357195"</f>
        <v>31811010357195</v>
      </c>
      <c r="Y617" s="0" t="s">
        <v>39</v>
      </c>
      <c r="Z617" s="0" t="s">
        <v>42</v>
      </c>
      <c r="AA617" s="0" t="s">
        <v>43</v>
      </c>
      <c r="AE617" s="1" t="s">
        <v>52</v>
      </c>
    </row>
    <row r="618" customFormat="false" ht="12.8" hidden="false" customHeight="false" outlineLevel="0" collapsed="false">
      <c r="A618" s="0" t="n">
        <v>423436</v>
      </c>
      <c r="B618" s="0" t="n">
        <v>456518</v>
      </c>
      <c r="C618" s="0" t="n">
        <v>509718</v>
      </c>
      <c r="D618" s="0" t="s">
        <v>35</v>
      </c>
      <c r="E618" s="0" t="s">
        <v>35</v>
      </c>
      <c r="F618" s="0" t="s">
        <v>480</v>
      </c>
      <c r="G618" s="0" t="s">
        <v>37</v>
      </c>
      <c r="H618" s="0" t="s">
        <v>2106</v>
      </c>
      <c r="J618" s="0" t="s">
        <v>2107</v>
      </c>
      <c r="M618" s="0" t="s">
        <v>2134</v>
      </c>
      <c r="N618" s="0" t="s">
        <v>2135</v>
      </c>
      <c r="O618" s="0" t="s">
        <v>2120</v>
      </c>
      <c r="P618" s="0" t="n">
        <v>1991</v>
      </c>
      <c r="Q618" s="0" t="s">
        <v>39</v>
      </c>
      <c r="R618" s="0" t="s">
        <v>2136</v>
      </c>
      <c r="S618" s="0" t="s">
        <v>2137</v>
      </c>
      <c r="T618" s="0" t="s">
        <v>2138</v>
      </c>
      <c r="V618" s="0" t="n">
        <v>1</v>
      </c>
      <c r="W618" s="0" t="n">
        <v>1</v>
      </c>
      <c r="X618" s="0" t="str">
        <f aca="false">"31811010357211"</f>
        <v>31811010357211</v>
      </c>
      <c r="Y618" s="0" t="s">
        <v>39</v>
      </c>
      <c r="Z618" s="0" t="s">
        <v>42</v>
      </c>
      <c r="AA618" s="0" t="s">
        <v>43</v>
      </c>
      <c r="AE618" s="1" t="s">
        <v>52</v>
      </c>
    </row>
    <row r="619" customFormat="false" ht="12.8" hidden="false" customHeight="false" outlineLevel="0" collapsed="false">
      <c r="A619" s="0" t="n">
        <v>423436</v>
      </c>
      <c r="B619" s="0" t="n">
        <v>456518</v>
      </c>
      <c r="C619" s="0" t="n">
        <v>509719</v>
      </c>
      <c r="D619" s="0" t="s">
        <v>35</v>
      </c>
      <c r="E619" s="0" t="s">
        <v>35</v>
      </c>
      <c r="F619" s="0" t="s">
        <v>480</v>
      </c>
      <c r="G619" s="0" t="s">
        <v>37</v>
      </c>
      <c r="H619" s="0" t="s">
        <v>2106</v>
      </c>
      <c r="J619" s="0" t="s">
        <v>2107</v>
      </c>
      <c r="M619" s="0" t="s">
        <v>2134</v>
      </c>
      <c r="N619" s="0" t="s">
        <v>2135</v>
      </c>
      <c r="O619" s="0" t="s">
        <v>2120</v>
      </c>
      <c r="P619" s="0" t="n">
        <v>1991</v>
      </c>
      <c r="Q619" s="0" t="s">
        <v>39</v>
      </c>
      <c r="R619" s="0" t="s">
        <v>2136</v>
      </c>
      <c r="S619" s="0" t="s">
        <v>2137</v>
      </c>
      <c r="T619" s="0" t="s">
        <v>2139</v>
      </c>
      <c r="V619" s="0" t="n">
        <v>1</v>
      </c>
      <c r="W619" s="0" t="n">
        <v>1</v>
      </c>
      <c r="X619" s="0" t="str">
        <f aca="false">"31811010357179"</f>
        <v>31811010357179</v>
      </c>
      <c r="Y619" s="0" t="s">
        <v>39</v>
      </c>
      <c r="Z619" s="0" t="s">
        <v>42</v>
      </c>
      <c r="AA619" s="0" t="s">
        <v>43</v>
      </c>
      <c r="AE619" s="1" t="s">
        <v>52</v>
      </c>
    </row>
    <row r="620" customFormat="false" ht="12.8" hidden="false" customHeight="false" outlineLevel="0" collapsed="false">
      <c r="A620" s="0" t="n">
        <v>423436</v>
      </c>
      <c r="B620" s="0" t="n">
        <v>456518</v>
      </c>
      <c r="C620" s="0" t="n">
        <v>509720</v>
      </c>
      <c r="D620" s="0" t="s">
        <v>35</v>
      </c>
      <c r="E620" s="0" t="s">
        <v>35</v>
      </c>
      <c r="F620" s="0" t="s">
        <v>480</v>
      </c>
      <c r="G620" s="0" t="s">
        <v>37</v>
      </c>
      <c r="H620" s="0" t="s">
        <v>2106</v>
      </c>
      <c r="J620" s="0" t="s">
        <v>2107</v>
      </c>
      <c r="M620" s="0" t="s">
        <v>2134</v>
      </c>
      <c r="N620" s="0" t="s">
        <v>2135</v>
      </c>
      <c r="O620" s="0" t="s">
        <v>2120</v>
      </c>
      <c r="P620" s="0" t="n">
        <v>1991</v>
      </c>
      <c r="Q620" s="0" t="s">
        <v>39</v>
      </c>
      <c r="R620" s="0" t="s">
        <v>2136</v>
      </c>
      <c r="S620" s="0" t="s">
        <v>2137</v>
      </c>
      <c r="T620" s="0" t="s">
        <v>2140</v>
      </c>
      <c r="V620" s="0" t="n">
        <v>1</v>
      </c>
      <c r="W620" s="0" t="n">
        <v>1</v>
      </c>
      <c r="X620" s="0" t="str">
        <f aca="false">"31811010357138"</f>
        <v>31811010357138</v>
      </c>
      <c r="Y620" s="0" t="s">
        <v>39</v>
      </c>
      <c r="Z620" s="0" t="s">
        <v>42</v>
      </c>
      <c r="AA620" s="0" t="s">
        <v>43</v>
      </c>
      <c r="AE620" s="1" t="s">
        <v>52</v>
      </c>
    </row>
    <row r="621" customFormat="false" ht="12.8" hidden="false" customHeight="false" outlineLevel="0" collapsed="false">
      <c r="A621" s="0" t="n">
        <v>423436</v>
      </c>
      <c r="B621" s="0" t="n">
        <v>456518</v>
      </c>
      <c r="C621" s="0" t="n">
        <v>509721</v>
      </c>
      <c r="D621" s="0" t="s">
        <v>35</v>
      </c>
      <c r="E621" s="0" t="s">
        <v>35</v>
      </c>
      <c r="F621" s="0" t="s">
        <v>480</v>
      </c>
      <c r="G621" s="0" t="s">
        <v>37</v>
      </c>
      <c r="H621" s="0" t="s">
        <v>2106</v>
      </c>
      <c r="J621" s="0" t="s">
        <v>2107</v>
      </c>
      <c r="M621" s="0" t="s">
        <v>2134</v>
      </c>
      <c r="N621" s="0" t="s">
        <v>2135</v>
      </c>
      <c r="O621" s="0" t="s">
        <v>2120</v>
      </c>
      <c r="P621" s="0" t="n">
        <v>1991</v>
      </c>
      <c r="Q621" s="0" t="s">
        <v>39</v>
      </c>
      <c r="R621" s="0" t="s">
        <v>2136</v>
      </c>
      <c r="S621" s="0" t="s">
        <v>2137</v>
      </c>
      <c r="T621" s="0" t="s">
        <v>2141</v>
      </c>
      <c r="V621" s="0" t="n">
        <v>1</v>
      </c>
      <c r="W621" s="0" t="n">
        <v>1</v>
      </c>
      <c r="X621" s="0" t="str">
        <f aca="false">"31811010357260"</f>
        <v>31811010357260</v>
      </c>
      <c r="Y621" s="0" t="s">
        <v>39</v>
      </c>
      <c r="Z621" s="0" t="s">
        <v>42</v>
      </c>
      <c r="AA621" s="0" t="s">
        <v>43</v>
      </c>
      <c r="AE621" s="1" t="s">
        <v>52</v>
      </c>
    </row>
    <row r="622" customFormat="false" ht="12.8" hidden="false" customHeight="false" outlineLevel="0" collapsed="false">
      <c r="A622" s="0" t="n">
        <v>506274</v>
      </c>
      <c r="B622" s="0" t="n">
        <v>487887</v>
      </c>
      <c r="C622" s="0" t="n">
        <v>547255</v>
      </c>
      <c r="D622" s="0" t="s">
        <v>35</v>
      </c>
      <c r="E622" s="0" t="s">
        <v>35</v>
      </c>
      <c r="F622" s="0" t="s">
        <v>480</v>
      </c>
      <c r="G622" s="0" t="s">
        <v>37</v>
      </c>
      <c r="H622" s="0" t="s">
        <v>2142</v>
      </c>
      <c r="J622" s="0" t="s">
        <v>2107</v>
      </c>
      <c r="M622" s="0" t="s">
        <v>2143</v>
      </c>
      <c r="N622" s="0" t="s">
        <v>2144</v>
      </c>
      <c r="O622" s="0" t="s">
        <v>2120</v>
      </c>
      <c r="P622" s="0" t="n">
        <v>1996</v>
      </c>
      <c r="Q622" s="0" t="s">
        <v>39</v>
      </c>
      <c r="R622" s="0" t="s">
        <v>2145</v>
      </c>
      <c r="S622" s="0" t="s">
        <v>2146</v>
      </c>
      <c r="T622" s="0" t="s">
        <v>2147</v>
      </c>
      <c r="V622" s="0" t="n">
        <v>1</v>
      </c>
      <c r="W622" s="0" t="n">
        <v>1</v>
      </c>
      <c r="X622" s="0" t="str">
        <f aca="false">"31811010902495"</f>
        <v>31811010902495</v>
      </c>
      <c r="Y622" s="0" t="s">
        <v>39</v>
      </c>
      <c r="Z622" s="0" t="s">
        <v>42</v>
      </c>
      <c r="AA622" s="0" t="s">
        <v>622</v>
      </c>
      <c r="AE622" s="1" t="s">
        <v>52</v>
      </c>
      <c r="AF622" s="1" t="s">
        <v>2148</v>
      </c>
      <c r="AG622" s="0" t="n">
        <v>7377</v>
      </c>
    </row>
    <row r="623" customFormat="false" ht="12.8" hidden="false" customHeight="false" outlineLevel="0" collapsed="false">
      <c r="A623" s="0" t="n">
        <v>506274</v>
      </c>
      <c r="B623" s="0" t="n">
        <v>487887</v>
      </c>
      <c r="C623" s="0" t="n">
        <v>547256</v>
      </c>
      <c r="D623" s="0" t="s">
        <v>35</v>
      </c>
      <c r="E623" s="0" t="s">
        <v>35</v>
      </c>
      <c r="F623" s="0" t="s">
        <v>480</v>
      </c>
      <c r="G623" s="0" t="s">
        <v>37</v>
      </c>
      <c r="H623" s="0" t="s">
        <v>2142</v>
      </c>
      <c r="J623" s="0" t="s">
        <v>2107</v>
      </c>
      <c r="M623" s="0" t="s">
        <v>2143</v>
      </c>
      <c r="N623" s="0" t="s">
        <v>2144</v>
      </c>
      <c r="O623" s="0" t="s">
        <v>2120</v>
      </c>
      <c r="P623" s="0" t="n">
        <v>1996</v>
      </c>
      <c r="Q623" s="0" t="s">
        <v>39</v>
      </c>
      <c r="R623" s="0" t="s">
        <v>2145</v>
      </c>
      <c r="S623" s="0" t="s">
        <v>2146</v>
      </c>
      <c r="T623" s="0" t="s">
        <v>2149</v>
      </c>
      <c r="V623" s="0" t="n">
        <v>1</v>
      </c>
      <c r="W623" s="0" t="n">
        <v>1</v>
      </c>
      <c r="X623" s="0" t="str">
        <f aca="false">"31811010216854"</f>
        <v>31811010216854</v>
      </c>
      <c r="Y623" s="0" t="s">
        <v>39</v>
      </c>
      <c r="Z623" s="0" t="s">
        <v>42</v>
      </c>
      <c r="AA623" s="0" t="s">
        <v>622</v>
      </c>
      <c r="AE623" s="1" t="s">
        <v>52</v>
      </c>
      <c r="AF623" s="1" t="s">
        <v>2148</v>
      </c>
      <c r="AG623" s="0" t="n">
        <v>7377</v>
      </c>
    </row>
    <row r="624" customFormat="false" ht="12.8" hidden="false" customHeight="false" outlineLevel="0" collapsed="false">
      <c r="A624" s="0" t="n">
        <v>506274</v>
      </c>
      <c r="B624" s="0" t="n">
        <v>487887</v>
      </c>
      <c r="C624" s="0" t="n">
        <v>732771</v>
      </c>
      <c r="D624" s="0" t="s">
        <v>35</v>
      </c>
      <c r="E624" s="0" t="s">
        <v>35</v>
      </c>
      <c r="F624" s="0" t="s">
        <v>480</v>
      </c>
      <c r="G624" s="0" t="s">
        <v>37</v>
      </c>
      <c r="H624" s="0" t="s">
        <v>2142</v>
      </c>
      <c r="J624" s="0" t="s">
        <v>2107</v>
      </c>
      <c r="M624" s="0" t="s">
        <v>2143</v>
      </c>
      <c r="N624" s="0" t="s">
        <v>2144</v>
      </c>
      <c r="O624" s="0" t="s">
        <v>2120</v>
      </c>
      <c r="P624" s="0" t="n">
        <v>1996</v>
      </c>
      <c r="Q624" s="0" t="s">
        <v>39</v>
      </c>
      <c r="R624" s="0" t="s">
        <v>2145</v>
      </c>
      <c r="S624" s="0" t="s">
        <v>2146</v>
      </c>
      <c r="T624" s="0" t="s">
        <v>2150</v>
      </c>
      <c r="V624" s="0" t="n">
        <v>1</v>
      </c>
      <c r="W624" s="0" t="n">
        <v>1</v>
      </c>
      <c r="X624" s="0" t="str">
        <f aca="false">"31811012520212"</f>
        <v>31811012520212</v>
      </c>
      <c r="Y624" s="0" t="s">
        <v>39</v>
      </c>
      <c r="Z624" s="0" t="s">
        <v>42</v>
      </c>
      <c r="AA624" s="0" t="s">
        <v>622</v>
      </c>
      <c r="AE624" s="1" t="s">
        <v>52</v>
      </c>
      <c r="AF624" s="1" t="s">
        <v>2148</v>
      </c>
      <c r="AG624" s="0" t="n">
        <v>7377</v>
      </c>
    </row>
    <row r="625" customFormat="false" ht="12.8" hidden="false" customHeight="false" outlineLevel="0" collapsed="false">
      <c r="A625" s="0" t="n">
        <v>529436</v>
      </c>
      <c r="B625" s="0" t="n">
        <v>567277</v>
      </c>
      <c r="C625" s="0" t="n">
        <v>641242</v>
      </c>
      <c r="D625" s="0" t="s">
        <v>35</v>
      </c>
      <c r="E625" s="0" t="s">
        <v>35</v>
      </c>
      <c r="F625" s="0" t="s">
        <v>36</v>
      </c>
      <c r="G625" s="0" t="s">
        <v>37</v>
      </c>
      <c r="H625" s="0" t="s">
        <v>2151</v>
      </c>
      <c r="I625" s="0" t="s">
        <v>2152</v>
      </c>
      <c r="J625" s="0" t="s">
        <v>2153</v>
      </c>
      <c r="M625" s="0" t="s">
        <v>2154</v>
      </c>
      <c r="N625" s="0" t="s">
        <v>2155</v>
      </c>
      <c r="P625" s="0" t="n">
        <v>1946</v>
      </c>
      <c r="Q625" s="0" t="s">
        <v>39</v>
      </c>
      <c r="R625" s="0" t="s">
        <v>2156</v>
      </c>
      <c r="S625" s="0" t="s">
        <v>2157</v>
      </c>
      <c r="V625" s="0" t="n">
        <v>1</v>
      </c>
      <c r="W625" s="0" t="n">
        <v>1</v>
      </c>
      <c r="X625" s="0" t="str">
        <f aca="false">"31811010357252"</f>
        <v>31811010357252</v>
      </c>
      <c r="Y625" s="0" t="s">
        <v>39</v>
      </c>
      <c r="Z625" s="0" t="s">
        <v>42</v>
      </c>
      <c r="AA625" s="0" t="s">
        <v>43</v>
      </c>
      <c r="AE625" s="1" t="s">
        <v>52</v>
      </c>
    </row>
    <row r="626" customFormat="false" ht="12.8" hidden="false" customHeight="false" outlineLevel="0" collapsed="false">
      <c r="A626" s="0" t="n">
        <v>289348</v>
      </c>
      <c r="B626" s="0" t="n">
        <v>316085</v>
      </c>
      <c r="C626" s="0" t="n">
        <v>353644</v>
      </c>
      <c r="D626" s="0" t="s">
        <v>35</v>
      </c>
      <c r="E626" s="0" t="s">
        <v>35</v>
      </c>
      <c r="F626" s="0" t="s">
        <v>480</v>
      </c>
      <c r="G626" s="0" t="s">
        <v>37</v>
      </c>
      <c r="H626" s="0" t="s">
        <v>2158</v>
      </c>
      <c r="J626" s="0" t="s">
        <v>2158</v>
      </c>
      <c r="M626" s="0" t="s">
        <v>2159</v>
      </c>
      <c r="O626" s="0" t="s">
        <v>2160</v>
      </c>
      <c r="P626" s="0" t="n">
        <v>1964</v>
      </c>
      <c r="Q626" s="0" t="s">
        <v>39</v>
      </c>
      <c r="R626" s="0" t="s">
        <v>2161</v>
      </c>
      <c r="S626" s="0" t="s">
        <v>2162</v>
      </c>
      <c r="T626" s="0" t="s">
        <v>2163</v>
      </c>
      <c r="V626" s="0" t="n">
        <v>1</v>
      </c>
      <c r="W626" s="0" t="n">
        <v>1</v>
      </c>
      <c r="X626" s="0" t="str">
        <f aca="false">"31811012012913"</f>
        <v>31811012012913</v>
      </c>
      <c r="Y626" s="0" t="s">
        <v>39</v>
      </c>
      <c r="Z626" s="0" t="s">
        <v>42</v>
      </c>
      <c r="AA626" s="0" t="s">
        <v>622</v>
      </c>
      <c r="AE626" s="1" t="s">
        <v>52</v>
      </c>
    </row>
    <row r="627" customFormat="false" ht="12.8" hidden="false" customHeight="false" outlineLevel="0" collapsed="false">
      <c r="A627" s="0" t="n">
        <v>289348</v>
      </c>
      <c r="B627" s="0" t="n">
        <v>316085</v>
      </c>
      <c r="C627" s="0" t="n">
        <v>353645</v>
      </c>
      <c r="D627" s="0" t="s">
        <v>35</v>
      </c>
      <c r="E627" s="0" t="s">
        <v>35</v>
      </c>
      <c r="F627" s="0" t="s">
        <v>480</v>
      </c>
      <c r="G627" s="0" t="s">
        <v>37</v>
      </c>
      <c r="H627" s="0" t="s">
        <v>2158</v>
      </c>
      <c r="J627" s="0" t="s">
        <v>2158</v>
      </c>
      <c r="M627" s="0" t="s">
        <v>2159</v>
      </c>
      <c r="O627" s="0" t="s">
        <v>2160</v>
      </c>
      <c r="P627" s="0" t="n">
        <v>1964</v>
      </c>
      <c r="Q627" s="0" t="s">
        <v>39</v>
      </c>
      <c r="R627" s="0" t="s">
        <v>2161</v>
      </c>
      <c r="S627" s="0" t="s">
        <v>2162</v>
      </c>
      <c r="T627" s="0" t="s">
        <v>2164</v>
      </c>
      <c r="V627" s="0" t="n">
        <v>1</v>
      </c>
      <c r="W627" s="0" t="n">
        <v>1</v>
      </c>
      <c r="X627" s="0" t="str">
        <f aca="false">"31811012012921"</f>
        <v>31811012012921</v>
      </c>
      <c r="Y627" s="0" t="s">
        <v>39</v>
      </c>
      <c r="Z627" s="0" t="s">
        <v>42</v>
      </c>
      <c r="AA627" s="0" t="s">
        <v>622</v>
      </c>
      <c r="AE627" s="1" t="s">
        <v>52</v>
      </c>
    </row>
    <row r="628" customFormat="false" ht="12.8" hidden="false" customHeight="false" outlineLevel="0" collapsed="false">
      <c r="A628" s="0" t="n">
        <v>289348</v>
      </c>
      <c r="B628" s="0" t="n">
        <v>316085</v>
      </c>
      <c r="C628" s="0" t="n">
        <v>353646</v>
      </c>
      <c r="D628" s="0" t="s">
        <v>35</v>
      </c>
      <c r="E628" s="0" t="s">
        <v>35</v>
      </c>
      <c r="F628" s="0" t="s">
        <v>480</v>
      </c>
      <c r="G628" s="0" t="s">
        <v>37</v>
      </c>
      <c r="H628" s="0" t="s">
        <v>2158</v>
      </c>
      <c r="J628" s="0" t="s">
        <v>2158</v>
      </c>
      <c r="M628" s="0" t="s">
        <v>2159</v>
      </c>
      <c r="O628" s="0" t="s">
        <v>2160</v>
      </c>
      <c r="P628" s="0" t="n">
        <v>1964</v>
      </c>
      <c r="Q628" s="0" t="s">
        <v>39</v>
      </c>
      <c r="R628" s="0" t="s">
        <v>2161</v>
      </c>
      <c r="S628" s="0" t="s">
        <v>2162</v>
      </c>
      <c r="T628" s="0" t="s">
        <v>2165</v>
      </c>
      <c r="V628" s="0" t="n">
        <v>1</v>
      </c>
      <c r="W628" s="0" t="n">
        <v>1</v>
      </c>
      <c r="X628" s="0" t="str">
        <f aca="false">"31811012013218"</f>
        <v>31811012013218</v>
      </c>
      <c r="Y628" s="0" t="s">
        <v>39</v>
      </c>
      <c r="Z628" s="0" t="s">
        <v>42</v>
      </c>
      <c r="AA628" s="0" t="s">
        <v>622</v>
      </c>
      <c r="AE628" s="1" t="s">
        <v>52</v>
      </c>
    </row>
    <row r="629" customFormat="false" ht="12.8" hidden="false" customHeight="false" outlineLevel="0" collapsed="false">
      <c r="A629" s="0" t="n">
        <v>289348</v>
      </c>
      <c r="B629" s="0" t="n">
        <v>316085</v>
      </c>
      <c r="C629" s="0" t="n">
        <v>353647</v>
      </c>
      <c r="D629" s="0" t="s">
        <v>35</v>
      </c>
      <c r="E629" s="0" t="s">
        <v>35</v>
      </c>
      <c r="F629" s="0" t="s">
        <v>480</v>
      </c>
      <c r="G629" s="0" t="s">
        <v>37</v>
      </c>
      <c r="H629" s="0" t="s">
        <v>2158</v>
      </c>
      <c r="J629" s="0" t="s">
        <v>2158</v>
      </c>
      <c r="M629" s="0" t="s">
        <v>2159</v>
      </c>
      <c r="O629" s="0" t="s">
        <v>2160</v>
      </c>
      <c r="P629" s="0" t="n">
        <v>1964</v>
      </c>
      <c r="Q629" s="0" t="s">
        <v>39</v>
      </c>
      <c r="R629" s="0" t="s">
        <v>2161</v>
      </c>
      <c r="S629" s="0" t="s">
        <v>2162</v>
      </c>
      <c r="T629" s="0" t="s">
        <v>2166</v>
      </c>
      <c r="V629" s="0" t="n">
        <v>1</v>
      </c>
      <c r="W629" s="0" t="n">
        <v>1</v>
      </c>
      <c r="X629" s="0" t="str">
        <f aca="false">"31811012013234"</f>
        <v>31811012013234</v>
      </c>
      <c r="Y629" s="0" t="s">
        <v>39</v>
      </c>
      <c r="Z629" s="0" t="s">
        <v>42</v>
      </c>
      <c r="AA629" s="0" t="s">
        <v>622</v>
      </c>
      <c r="AE629" s="1" t="s">
        <v>52</v>
      </c>
    </row>
    <row r="630" customFormat="false" ht="12.8" hidden="false" customHeight="false" outlineLevel="0" collapsed="false">
      <c r="A630" s="0" t="n">
        <v>289348</v>
      </c>
      <c r="B630" s="0" t="n">
        <v>316085</v>
      </c>
      <c r="C630" s="0" t="n">
        <v>353648</v>
      </c>
      <c r="D630" s="0" t="s">
        <v>35</v>
      </c>
      <c r="E630" s="0" t="s">
        <v>35</v>
      </c>
      <c r="F630" s="0" t="s">
        <v>480</v>
      </c>
      <c r="G630" s="0" t="s">
        <v>37</v>
      </c>
      <c r="H630" s="0" t="s">
        <v>2158</v>
      </c>
      <c r="J630" s="0" t="s">
        <v>2158</v>
      </c>
      <c r="M630" s="0" t="s">
        <v>2159</v>
      </c>
      <c r="O630" s="0" t="s">
        <v>2160</v>
      </c>
      <c r="P630" s="0" t="n">
        <v>1964</v>
      </c>
      <c r="Q630" s="0" t="s">
        <v>39</v>
      </c>
      <c r="R630" s="0" t="s">
        <v>2161</v>
      </c>
      <c r="S630" s="0" t="s">
        <v>2162</v>
      </c>
      <c r="T630" s="0" t="s">
        <v>2167</v>
      </c>
      <c r="V630" s="0" t="n">
        <v>1</v>
      </c>
      <c r="W630" s="0" t="n">
        <v>1</v>
      </c>
      <c r="X630" s="0" t="str">
        <f aca="false">"31811012013226"</f>
        <v>31811012013226</v>
      </c>
      <c r="Y630" s="0" t="s">
        <v>39</v>
      </c>
      <c r="Z630" s="0" t="s">
        <v>42</v>
      </c>
      <c r="AA630" s="0" t="s">
        <v>622</v>
      </c>
      <c r="AE630" s="1" t="s">
        <v>52</v>
      </c>
    </row>
    <row r="631" customFormat="false" ht="12.8" hidden="false" customHeight="false" outlineLevel="0" collapsed="false">
      <c r="A631" s="0" t="n">
        <v>289348</v>
      </c>
      <c r="B631" s="0" t="n">
        <v>316085</v>
      </c>
      <c r="C631" s="0" t="n">
        <v>353649</v>
      </c>
      <c r="D631" s="0" t="s">
        <v>35</v>
      </c>
      <c r="E631" s="0" t="s">
        <v>35</v>
      </c>
      <c r="F631" s="0" t="s">
        <v>480</v>
      </c>
      <c r="G631" s="0" t="s">
        <v>37</v>
      </c>
      <c r="H631" s="0" t="s">
        <v>2158</v>
      </c>
      <c r="J631" s="0" t="s">
        <v>2158</v>
      </c>
      <c r="M631" s="0" t="s">
        <v>2159</v>
      </c>
      <c r="O631" s="0" t="s">
        <v>2160</v>
      </c>
      <c r="P631" s="0" t="n">
        <v>1964</v>
      </c>
      <c r="Q631" s="0" t="s">
        <v>39</v>
      </c>
      <c r="R631" s="0" t="s">
        <v>2161</v>
      </c>
      <c r="S631" s="0" t="s">
        <v>2162</v>
      </c>
      <c r="T631" s="0" t="s">
        <v>60</v>
      </c>
      <c r="V631" s="0" t="n">
        <v>1</v>
      </c>
      <c r="W631" s="0" t="n">
        <v>1</v>
      </c>
      <c r="X631" s="0" t="str">
        <f aca="false">"31811012013242"</f>
        <v>31811012013242</v>
      </c>
      <c r="Y631" s="0" t="s">
        <v>39</v>
      </c>
      <c r="Z631" s="0" t="s">
        <v>42</v>
      </c>
      <c r="AA631" s="0" t="s">
        <v>622</v>
      </c>
      <c r="AE631" s="1" t="s">
        <v>52</v>
      </c>
    </row>
    <row r="632" customFormat="false" ht="12.8" hidden="false" customHeight="false" outlineLevel="0" collapsed="false">
      <c r="A632" s="0" t="n">
        <v>289348</v>
      </c>
      <c r="B632" s="0" t="n">
        <v>316085</v>
      </c>
      <c r="C632" s="0" t="n">
        <v>353650</v>
      </c>
      <c r="D632" s="0" t="s">
        <v>35</v>
      </c>
      <c r="E632" s="0" t="s">
        <v>35</v>
      </c>
      <c r="F632" s="0" t="s">
        <v>480</v>
      </c>
      <c r="G632" s="0" t="s">
        <v>37</v>
      </c>
      <c r="H632" s="0" t="s">
        <v>2158</v>
      </c>
      <c r="J632" s="0" t="s">
        <v>2158</v>
      </c>
      <c r="M632" s="0" t="s">
        <v>2159</v>
      </c>
      <c r="O632" s="0" t="s">
        <v>2160</v>
      </c>
      <c r="P632" s="0" t="n">
        <v>1964</v>
      </c>
      <c r="Q632" s="0" t="s">
        <v>39</v>
      </c>
      <c r="R632" s="0" t="s">
        <v>2161</v>
      </c>
      <c r="S632" s="0" t="s">
        <v>2162</v>
      </c>
      <c r="T632" s="0" t="s">
        <v>2168</v>
      </c>
      <c r="V632" s="0" t="n">
        <v>1</v>
      </c>
      <c r="W632" s="0" t="n">
        <v>1</v>
      </c>
      <c r="X632" s="0" t="str">
        <f aca="false">"31811012012616"</f>
        <v>31811012012616</v>
      </c>
      <c r="Y632" s="0" t="s">
        <v>39</v>
      </c>
      <c r="Z632" s="0" t="s">
        <v>42</v>
      </c>
      <c r="AA632" s="0" t="s">
        <v>622</v>
      </c>
      <c r="AE632" s="1" t="s">
        <v>52</v>
      </c>
    </row>
    <row r="633" customFormat="false" ht="12.8" hidden="false" customHeight="false" outlineLevel="0" collapsed="false">
      <c r="A633" s="0" t="n">
        <v>289348</v>
      </c>
      <c r="B633" s="0" t="n">
        <v>316085</v>
      </c>
      <c r="C633" s="0" t="n">
        <v>353651</v>
      </c>
      <c r="D633" s="0" t="s">
        <v>35</v>
      </c>
      <c r="E633" s="0" t="s">
        <v>35</v>
      </c>
      <c r="F633" s="0" t="s">
        <v>480</v>
      </c>
      <c r="G633" s="0" t="s">
        <v>37</v>
      </c>
      <c r="H633" s="0" t="s">
        <v>2158</v>
      </c>
      <c r="J633" s="0" t="s">
        <v>2158</v>
      </c>
      <c r="M633" s="0" t="s">
        <v>2159</v>
      </c>
      <c r="O633" s="0" t="s">
        <v>2160</v>
      </c>
      <c r="P633" s="0" t="n">
        <v>1964</v>
      </c>
      <c r="Q633" s="0" t="s">
        <v>39</v>
      </c>
      <c r="R633" s="0" t="s">
        <v>2161</v>
      </c>
      <c r="S633" s="0" t="s">
        <v>2162</v>
      </c>
      <c r="T633" s="0" t="s">
        <v>2169</v>
      </c>
      <c r="V633" s="0" t="n">
        <v>1</v>
      </c>
      <c r="W633" s="0" t="n">
        <v>1</v>
      </c>
      <c r="X633" s="0" t="str">
        <f aca="false">"31811012012624"</f>
        <v>31811012012624</v>
      </c>
      <c r="Y633" s="0" t="s">
        <v>39</v>
      </c>
      <c r="Z633" s="0" t="s">
        <v>42</v>
      </c>
      <c r="AA633" s="0" t="s">
        <v>622</v>
      </c>
      <c r="AE633" s="1" t="s">
        <v>52</v>
      </c>
    </row>
    <row r="634" customFormat="false" ht="12.8" hidden="false" customHeight="false" outlineLevel="0" collapsed="false">
      <c r="A634" s="0" t="n">
        <v>289348</v>
      </c>
      <c r="B634" s="0" t="n">
        <v>316085</v>
      </c>
      <c r="C634" s="0" t="n">
        <v>353652</v>
      </c>
      <c r="D634" s="0" t="s">
        <v>35</v>
      </c>
      <c r="E634" s="0" t="s">
        <v>35</v>
      </c>
      <c r="F634" s="0" t="s">
        <v>480</v>
      </c>
      <c r="G634" s="0" t="s">
        <v>37</v>
      </c>
      <c r="H634" s="0" t="s">
        <v>2158</v>
      </c>
      <c r="J634" s="0" t="s">
        <v>2158</v>
      </c>
      <c r="M634" s="0" t="s">
        <v>2159</v>
      </c>
      <c r="O634" s="0" t="s">
        <v>2160</v>
      </c>
      <c r="P634" s="0" t="n">
        <v>1964</v>
      </c>
      <c r="Q634" s="0" t="s">
        <v>39</v>
      </c>
      <c r="R634" s="0" t="s">
        <v>2161</v>
      </c>
      <c r="S634" s="0" t="s">
        <v>2162</v>
      </c>
      <c r="T634" s="0" t="s">
        <v>2170</v>
      </c>
      <c r="V634" s="0" t="n">
        <v>1</v>
      </c>
      <c r="W634" s="0" t="n">
        <v>1</v>
      </c>
      <c r="X634" s="0" t="str">
        <f aca="false">"31811012012632"</f>
        <v>31811012012632</v>
      </c>
      <c r="Y634" s="0" t="s">
        <v>39</v>
      </c>
      <c r="Z634" s="0" t="s">
        <v>42</v>
      </c>
      <c r="AA634" s="0" t="s">
        <v>622</v>
      </c>
      <c r="AE634" s="1" t="s">
        <v>52</v>
      </c>
    </row>
    <row r="635" customFormat="false" ht="12.8" hidden="false" customHeight="false" outlineLevel="0" collapsed="false">
      <c r="A635" s="0" t="n">
        <v>289348</v>
      </c>
      <c r="B635" s="0" t="n">
        <v>316085</v>
      </c>
      <c r="C635" s="0" t="n">
        <v>353653</v>
      </c>
      <c r="D635" s="0" t="s">
        <v>35</v>
      </c>
      <c r="E635" s="0" t="s">
        <v>35</v>
      </c>
      <c r="F635" s="0" t="s">
        <v>480</v>
      </c>
      <c r="G635" s="0" t="s">
        <v>37</v>
      </c>
      <c r="H635" s="0" t="s">
        <v>2158</v>
      </c>
      <c r="J635" s="0" t="s">
        <v>2158</v>
      </c>
      <c r="M635" s="0" t="s">
        <v>2159</v>
      </c>
      <c r="O635" s="0" t="s">
        <v>2160</v>
      </c>
      <c r="P635" s="0" t="n">
        <v>1964</v>
      </c>
      <c r="Q635" s="0" t="s">
        <v>39</v>
      </c>
      <c r="R635" s="0" t="s">
        <v>2161</v>
      </c>
      <c r="S635" s="0" t="s">
        <v>2162</v>
      </c>
      <c r="T635" s="0" t="s">
        <v>2171</v>
      </c>
      <c r="V635" s="0" t="n">
        <v>1</v>
      </c>
      <c r="W635" s="0" t="n">
        <v>1</v>
      </c>
      <c r="X635" s="0" t="str">
        <f aca="false">"31811012012640"</f>
        <v>31811012012640</v>
      </c>
      <c r="Y635" s="0" t="s">
        <v>39</v>
      </c>
      <c r="Z635" s="0" t="s">
        <v>42</v>
      </c>
      <c r="AA635" s="0" t="s">
        <v>622</v>
      </c>
      <c r="AE635" s="1" t="s">
        <v>52</v>
      </c>
    </row>
    <row r="636" customFormat="false" ht="12.8" hidden="false" customHeight="false" outlineLevel="0" collapsed="false">
      <c r="A636" s="0" t="n">
        <v>289348</v>
      </c>
      <c r="B636" s="0" t="n">
        <v>316085</v>
      </c>
      <c r="C636" s="0" t="n">
        <v>353654</v>
      </c>
      <c r="D636" s="0" t="s">
        <v>35</v>
      </c>
      <c r="E636" s="0" t="s">
        <v>35</v>
      </c>
      <c r="F636" s="0" t="s">
        <v>480</v>
      </c>
      <c r="G636" s="0" t="s">
        <v>37</v>
      </c>
      <c r="H636" s="0" t="s">
        <v>2158</v>
      </c>
      <c r="J636" s="0" t="s">
        <v>2158</v>
      </c>
      <c r="M636" s="0" t="s">
        <v>2159</v>
      </c>
      <c r="O636" s="0" t="s">
        <v>2160</v>
      </c>
      <c r="P636" s="0" t="n">
        <v>1964</v>
      </c>
      <c r="Q636" s="0" t="s">
        <v>39</v>
      </c>
      <c r="R636" s="0" t="s">
        <v>2161</v>
      </c>
      <c r="S636" s="0" t="s">
        <v>2162</v>
      </c>
      <c r="T636" s="0" t="s">
        <v>57</v>
      </c>
      <c r="V636" s="0" t="n">
        <v>1</v>
      </c>
      <c r="W636" s="0" t="n">
        <v>1</v>
      </c>
      <c r="X636" s="0" t="str">
        <f aca="false">"31811012012939"</f>
        <v>31811012012939</v>
      </c>
      <c r="Y636" s="0" t="s">
        <v>39</v>
      </c>
      <c r="Z636" s="0" t="s">
        <v>42</v>
      </c>
      <c r="AA636" s="0" t="s">
        <v>622</v>
      </c>
      <c r="AE636" s="1" t="s">
        <v>52</v>
      </c>
    </row>
    <row r="637" customFormat="false" ht="12.8" hidden="false" customHeight="false" outlineLevel="0" collapsed="false">
      <c r="A637" s="0" t="n">
        <v>289348</v>
      </c>
      <c r="B637" s="0" t="n">
        <v>316085</v>
      </c>
      <c r="C637" s="0" t="n">
        <v>353655</v>
      </c>
      <c r="D637" s="0" t="s">
        <v>35</v>
      </c>
      <c r="E637" s="0" t="s">
        <v>35</v>
      </c>
      <c r="F637" s="0" t="s">
        <v>480</v>
      </c>
      <c r="G637" s="0" t="s">
        <v>37</v>
      </c>
      <c r="H637" s="0" t="s">
        <v>2158</v>
      </c>
      <c r="J637" s="0" t="s">
        <v>2158</v>
      </c>
      <c r="M637" s="0" t="s">
        <v>2159</v>
      </c>
      <c r="O637" s="0" t="s">
        <v>2160</v>
      </c>
      <c r="P637" s="0" t="n">
        <v>1964</v>
      </c>
      <c r="Q637" s="0" t="s">
        <v>39</v>
      </c>
      <c r="R637" s="0" t="s">
        <v>2161</v>
      </c>
      <c r="S637" s="0" t="s">
        <v>2162</v>
      </c>
      <c r="T637" s="0" t="s">
        <v>2172</v>
      </c>
      <c r="V637" s="0" t="n">
        <v>1</v>
      </c>
      <c r="W637" s="0" t="n">
        <v>1</v>
      </c>
      <c r="X637" s="0" t="str">
        <f aca="false">"31811012012947"</f>
        <v>31811012012947</v>
      </c>
      <c r="Y637" s="0" t="s">
        <v>39</v>
      </c>
      <c r="Z637" s="0" t="s">
        <v>42</v>
      </c>
      <c r="AA637" s="0" t="s">
        <v>622</v>
      </c>
      <c r="AE637" s="1" t="s">
        <v>52</v>
      </c>
    </row>
    <row r="638" customFormat="false" ht="12.8" hidden="false" customHeight="false" outlineLevel="0" collapsed="false">
      <c r="A638" s="0" t="n">
        <v>289348</v>
      </c>
      <c r="B638" s="0" t="n">
        <v>316085</v>
      </c>
      <c r="C638" s="0" t="n">
        <v>353656</v>
      </c>
      <c r="D638" s="0" t="s">
        <v>35</v>
      </c>
      <c r="E638" s="0" t="s">
        <v>35</v>
      </c>
      <c r="F638" s="0" t="s">
        <v>480</v>
      </c>
      <c r="G638" s="0" t="s">
        <v>37</v>
      </c>
      <c r="H638" s="0" t="s">
        <v>2158</v>
      </c>
      <c r="J638" s="0" t="s">
        <v>2158</v>
      </c>
      <c r="M638" s="0" t="s">
        <v>2159</v>
      </c>
      <c r="O638" s="0" t="s">
        <v>2160</v>
      </c>
      <c r="P638" s="0" t="n">
        <v>1964</v>
      </c>
      <c r="Q638" s="0" t="s">
        <v>39</v>
      </c>
      <c r="R638" s="0" t="s">
        <v>2161</v>
      </c>
      <c r="S638" s="0" t="s">
        <v>2162</v>
      </c>
      <c r="T638" s="0" t="s">
        <v>2173</v>
      </c>
      <c r="V638" s="0" t="n">
        <v>1</v>
      </c>
      <c r="W638" s="0" t="n">
        <v>1</v>
      </c>
      <c r="X638" s="0" t="str">
        <f aca="false">"31811012012954"</f>
        <v>31811012012954</v>
      </c>
      <c r="Y638" s="0" t="s">
        <v>39</v>
      </c>
      <c r="Z638" s="0" t="s">
        <v>42</v>
      </c>
      <c r="AA638" s="0" t="s">
        <v>622</v>
      </c>
      <c r="AE638" s="1" t="s">
        <v>52</v>
      </c>
    </row>
    <row r="639" customFormat="false" ht="12.8" hidden="false" customHeight="false" outlineLevel="0" collapsed="false">
      <c r="A639" s="0" t="n">
        <v>289348</v>
      </c>
      <c r="B639" s="0" t="n">
        <v>316085</v>
      </c>
      <c r="C639" s="0" t="n">
        <v>353657</v>
      </c>
      <c r="D639" s="0" t="s">
        <v>35</v>
      </c>
      <c r="E639" s="0" t="s">
        <v>35</v>
      </c>
      <c r="F639" s="0" t="s">
        <v>480</v>
      </c>
      <c r="G639" s="0" t="s">
        <v>37</v>
      </c>
      <c r="H639" s="0" t="s">
        <v>2158</v>
      </c>
      <c r="J639" s="0" t="s">
        <v>2158</v>
      </c>
      <c r="M639" s="0" t="s">
        <v>2159</v>
      </c>
      <c r="O639" s="0" t="s">
        <v>2160</v>
      </c>
      <c r="P639" s="0" t="n">
        <v>1964</v>
      </c>
      <c r="Q639" s="0" t="s">
        <v>39</v>
      </c>
      <c r="R639" s="0" t="s">
        <v>2161</v>
      </c>
      <c r="S639" s="0" t="s">
        <v>2162</v>
      </c>
      <c r="T639" s="0" t="s">
        <v>2174</v>
      </c>
      <c r="V639" s="0" t="n">
        <v>1</v>
      </c>
      <c r="W639" s="0" t="n">
        <v>1</v>
      </c>
      <c r="X639" s="0" t="str">
        <f aca="false">"31811012012962"</f>
        <v>31811012012962</v>
      </c>
      <c r="Y639" s="0" t="s">
        <v>39</v>
      </c>
      <c r="Z639" s="0" t="s">
        <v>42</v>
      </c>
      <c r="AA639" s="0" t="s">
        <v>622</v>
      </c>
      <c r="AE639" s="1" t="s">
        <v>52</v>
      </c>
    </row>
    <row r="640" customFormat="false" ht="12.8" hidden="false" customHeight="false" outlineLevel="0" collapsed="false">
      <c r="A640" s="0" t="n">
        <v>289348</v>
      </c>
      <c r="B640" s="0" t="n">
        <v>316085</v>
      </c>
      <c r="C640" s="0" t="n">
        <v>353658</v>
      </c>
      <c r="D640" s="0" t="s">
        <v>35</v>
      </c>
      <c r="E640" s="0" t="s">
        <v>35</v>
      </c>
      <c r="F640" s="0" t="s">
        <v>480</v>
      </c>
      <c r="G640" s="0" t="s">
        <v>37</v>
      </c>
      <c r="H640" s="0" t="s">
        <v>2158</v>
      </c>
      <c r="J640" s="0" t="s">
        <v>2158</v>
      </c>
      <c r="M640" s="0" t="s">
        <v>2159</v>
      </c>
      <c r="O640" s="0" t="s">
        <v>2160</v>
      </c>
      <c r="P640" s="0" t="n">
        <v>1964</v>
      </c>
      <c r="Q640" s="0" t="s">
        <v>39</v>
      </c>
      <c r="R640" s="0" t="s">
        <v>2161</v>
      </c>
      <c r="S640" s="0" t="s">
        <v>2162</v>
      </c>
      <c r="T640" s="0" t="s">
        <v>2175</v>
      </c>
      <c r="V640" s="0" t="n">
        <v>1</v>
      </c>
      <c r="W640" s="0" t="n">
        <v>1</v>
      </c>
      <c r="X640" s="0" t="str">
        <f aca="false">"31811012013259"</f>
        <v>31811012013259</v>
      </c>
      <c r="Y640" s="0" t="s">
        <v>39</v>
      </c>
      <c r="Z640" s="0" t="s">
        <v>42</v>
      </c>
      <c r="AA640" s="0" t="s">
        <v>622</v>
      </c>
      <c r="AE640" s="1" t="s">
        <v>52</v>
      </c>
    </row>
    <row r="641" customFormat="false" ht="12.8" hidden="false" customHeight="false" outlineLevel="0" collapsed="false">
      <c r="A641" s="0" t="n">
        <v>289348</v>
      </c>
      <c r="B641" s="0" t="n">
        <v>316085</v>
      </c>
      <c r="C641" s="0" t="n">
        <v>353659</v>
      </c>
      <c r="D641" s="0" t="s">
        <v>35</v>
      </c>
      <c r="E641" s="0" t="s">
        <v>35</v>
      </c>
      <c r="F641" s="0" t="s">
        <v>480</v>
      </c>
      <c r="G641" s="0" t="s">
        <v>37</v>
      </c>
      <c r="H641" s="0" t="s">
        <v>2158</v>
      </c>
      <c r="J641" s="0" t="s">
        <v>2158</v>
      </c>
      <c r="M641" s="0" t="s">
        <v>2159</v>
      </c>
      <c r="O641" s="0" t="s">
        <v>2160</v>
      </c>
      <c r="P641" s="0" t="n">
        <v>1964</v>
      </c>
      <c r="Q641" s="0" t="s">
        <v>39</v>
      </c>
      <c r="R641" s="0" t="s">
        <v>2161</v>
      </c>
      <c r="S641" s="0" t="s">
        <v>2162</v>
      </c>
      <c r="T641" s="0" t="s">
        <v>511</v>
      </c>
      <c r="V641" s="0" t="n">
        <v>1</v>
      </c>
      <c r="W641" s="0" t="n">
        <v>1</v>
      </c>
      <c r="X641" s="0" t="str">
        <f aca="false">"31811012013267"</f>
        <v>31811012013267</v>
      </c>
      <c r="Y641" s="0" t="s">
        <v>39</v>
      </c>
      <c r="Z641" s="0" t="s">
        <v>42</v>
      </c>
      <c r="AA641" s="0" t="s">
        <v>622</v>
      </c>
      <c r="AE641" s="1" t="s">
        <v>52</v>
      </c>
    </row>
    <row r="642" customFormat="false" ht="12.8" hidden="false" customHeight="false" outlineLevel="0" collapsed="false">
      <c r="A642" s="0" t="n">
        <v>289348</v>
      </c>
      <c r="B642" s="0" t="n">
        <v>316085</v>
      </c>
      <c r="C642" s="0" t="n">
        <v>353660</v>
      </c>
      <c r="D642" s="0" t="s">
        <v>35</v>
      </c>
      <c r="E642" s="0" t="s">
        <v>35</v>
      </c>
      <c r="F642" s="0" t="s">
        <v>480</v>
      </c>
      <c r="G642" s="0" t="s">
        <v>37</v>
      </c>
      <c r="H642" s="0" t="s">
        <v>2158</v>
      </c>
      <c r="J642" s="0" t="s">
        <v>2158</v>
      </c>
      <c r="M642" s="0" t="s">
        <v>2159</v>
      </c>
      <c r="O642" s="0" t="s">
        <v>2160</v>
      </c>
      <c r="P642" s="0" t="n">
        <v>1964</v>
      </c>
      <c r="Q642" s="0" t="s">
        <v>39</v>
      </c>
      <c r="R642" s="0" t="s">
        <v>2161</v>
      </c>
      <c r="S642" s="0" t="s">
        <v>2162</v>
      </c>
      <c r="T642" s="0" t="s">
        <v>55</v>
      </c>
      <c r="V642" s="0" t="n">
        <v>1</v>
      </c>
      <c r="W642" s="0" t="n">
        <v>1</v>
      </c>
      <c r="X642" s="0" t="str">
        <f aca="false">"31811012013275"</f>
        <v>31811012013275</v>
      </c>
      <c r="Y642" s="0" t="s">
        <v>39</v>
      </c>
      <c r="Z642" s="0" t="s">
        <v>42</v>
      </c>
      <c r="AA642" s="0" t="s">
        <v>622</v>
      </c>
      <c r="AE642" s="1" t="s">
        <v>52</v>
      </c>
    </row>
    <row r="643" customFormat="false" ht="12.8" hidden="false" customHeight="false" outlineLevel="0" collapsed="false">
      <c r="A643" s="0" t="n">
        <v>289348</v>
      </c>
      <c r="B643" s="0" t="n">
        <v>316085</v>
      </c>
      <c r="C643" s="0" t="n">
        <v>353661</v>
      </c>
      <c r="D643" s="0" t="s">
        <v>35</v>
      </c>
      <c r="E643" s="0" t="s">
        <v>35</v>
      </c>
      <c r="F643" s="0" t="s">
        <v>480</v>
      </c>
      <c r="G643" s="0" t="s">
        <v>37</v>
      </c>
      <c r="H643" s="0" t="s">
        <v>2158</v>
      </c>
      <c r="J643" s="0" t="s">
        <v>2158</v>
      </c>
      <c r="M643" s="0" t="s">
        <v>2159</v>
      </c>
      <c r="O643" s="0" t="s">
        <v>2160</v>
      </c>
      <c r="P643" s="0" t="n">
        <v>1964</v>
      </c>
      <c r="Q643" s="0" t="s">
        <v>39</v>
      </c>
      <c r="R643" s="0" t="s">
        <v>2161</v>
      </c>
      <c r="S643" s="0" t="s">
        <v>2162</v>
      </c>
      <c r="T643" s="0" t="s">
        <v>510</v>
      </c>
      <c r="V643" s="0" t="n">
        <v>1</v>
      </c>
      <c r="W643" s="0" t="n">
        <v>1</v>
      </c>
      <c r="X643" s="0" t="str">
        <f aca="false">"31811012013283"</f>
        <v>31811012013283</v>
      </c>
      <c r="Y643" s="0" t="s">
        <v>39</v>
      </c>
      <c r="Z643" s="0" t="s">
        <v>42</v>
      </c>
      <c r="AA643" s="0" t="s">
        <v>622</v>
      </c>
      <c r="AE643" s="1" t="s">
        <v>52</v>
      </c>
    </row>
    <row r="644" customFormat="false" ht="12.8" hidden="false" customHeight="false" outlineLevel="0" collapsed="false">
      <c r="A644" s="0" t="n">
        <v>289348</v>
      </c>
      <c r="B644" s="0" t="n">
        <v>316085</v>
      </c>
      <c r="C644" s="0" t="n">
        <v>353662</v>
      </c>
      <c r="D644" s="0" t="s">
        <v>35</v>
      </c>
      <c r="E644" s="0" t="s">
        <v>35</v>
      </c>
      <c r="F644" s="0" t="s">
        <v>480</v>
      </c>
      <c r="G644" s="0" t="s">
        <v>37</v>
      </c>
      <c r="H644" s="0" t="s">
        <v>2158</v>
      </c>
      <c r="J644" s="0" t="s">
        <v>2158</v>
      </c>
      <c r="M644" s="0" t="s">
        <v>2159</v>
      </c>
      <c r="O644" s="0" t="s">
        <v>2160</v>
      </c>
      <c r="P644" s="0" t="n">
        <v>1964</v>
      </c>
      <c r="Q644" s="0" t="s">
        <v>39</v>
      </c>
      <c r="R644" s="0" t="s">
        <v>2161</v>
      </c>
      <c r="S644" s="0" t="s">
        <v>2162</v>
      </c>
      <c r="T644" s="0" t="s">
        <v>243</v>
      </c>
      <c r="V644" s="0" t="n">
        <v>1</v>
      </c>
      <c r="W644" s="0" t="n">
        <v>1</v>
      </c>
      <c r="X644" s="0" t="str">
        <f aca="false">"31811012012657"</f>
        <v>31811012012657</v>
      </c>
      <c r="Y644" s="0" t="s">
        <v>39</v>
      </c>
      <c r="Z644" s="0" t="s">
        <v>42</v>
      </c>
      <c r="AA644" s="0" t="s">
        <v>622</v>
      </c>
      <c r="AE644" s="1" t="s">
        <v>52</v>
      </c>
    </row>
    <row r="645" customFormat="false" ht="12.8" hidden="false" customHeight="false" outlineLevel="0" collapsed="false">
      <c r="A645" s="0" t="n">
        <v>289348</v>
      </c>
      <c r="B645" s="0" t="n">
        <v>316085</v>
      </c>
      <c r="C645" s="0" t="n">
        <v>353663</v>
      </c>
      <c r="D645" s="0" t="s">
        <v>35</v>
      </c>
      <c r="E645" s="0" t="s">
        <v>35</v>
      </c>
      <c r="F645" s="0" t="s">
        <v>480</v>
      </c>
      <c r="G645" s="0" t="s">
        <v>37</v>
      </c>
      <c r="H645" s="0" t="s">
        <v>2158</v>
      </c>
      <c r="J645" s="0" t="s">
        <v>2158</v>
      </c>
      <c r="M645" s="0" t="s">
        <v>2159</v>
      </c>
      <c r="O645" s="0" t="s">
        <v>2160</v>
      </c>
      <c r="P645" s="0" t="n">
        <v>1964</v>
      </c>
      <c r="Q645" s="0" t="s">
        <v>39</v>
      </c>
      <c r="R645" s="0" t="s">
        <v>2161</v>
      </c>
      <c r="S645" s="0" t="s">
        <v>2162</v>
      </c>
      <c r="T645" s="0" t="s">
        <v>53</v>
      </c>
      <c r="V645" s="0" t="n">
        <v>1</v>
      </c>
      <c r="W645" s="0" t="n">
        <v>1</v>
      </c>
      <c r="X645" s="0" t="str">
        <f aca="false">"31811012012665"</f>
        <v>31811012012665</v>
      </c>
      <c r="Y645" s="0" t="s">
        <v>39</v>
      </c>
      <c r="Z645" s="0" t="s">
        <v>42</v>
      </c>
      <c r="AA645" s="0" t="s">
        <v>622</v>
      </c>
      <c r="AE645" s="1" t="s">
        <v>52</v>
      </c>
    </row>
    <row r="646" customFormat="false" ht="12.8" hidden="false" customHeight="false" outlineLevel="0" collapsed="false">
      <c r="A646" s="0" t="n">
        <v>422691</v>
      </c>
      <c r="B646" s="0" t="n">
        <v>455718</v>
      </c>
      <c r="C646" s="0" t="n">
        <v>508809</v>
      </c>
      <c r="D646" s="0" t="s">
        <v>35</v>
      </c>
      <c r="E646" s="0" t="s">
        <v>35</v>
      </c>
      <c r="F646" s="0" t="s">
        <v>36</v>
      </c>
      <c r="G646" s="0" t="s">
        <v>37</v>
      </c>
      <c r="H646" s="0" t="s">
        <v>2176</v>
      </c>
      <c r="J646" s="0" t="s">
        <v>2177</v>
      </c>
      <c r="M646" s="0" t="s">
        <v>2178</v>
      </c>
      <c r="N646" s="0" t="s">
        <v>2179</v>
      </c>
      <c r="O646" s="0" t="s">
        <v>2180</v>
      </c>
      <c r="P646" s="0" t="n">
        <v>1971</v>
      </c>
      <c r="Q646" s="0" t="s">
        <v>39</v>
      </c>
      <c r="R646" s="0" t="s">
        <v>2181</v>
      </c>
      <c r="S646" s="0" t="s">
        <v>2182</v>
      </c>
      <c r="V646" s="0" t="n">
        <v>1</v>
      </c>
      <c r="W646" s="0" t="n">
        <v>1</v>
      </c>
      <c r="X646" s="0" t="str">
        <f aca="false">"31811010870189"</f>
        <v>31811010870189</v>
      </c>
      <c r="Y646" s="0" t="s">
        <v>39</v>
      </c>
      <c r="Z646" s="0" t="s">
        <v>42</v>
      </c>
      <c r="AA646" s="0" t="s">
        <v>43</v>
      </c>
      <c r="AE646" s="1" t="s">
        <v>52</v>
      </c>
    </row>
    <row r="647" customFormat="false" ht="12.8" hidden="false" customHeight="false" outlineLevel="0" collapsed="false">
      <c r="A647" s="0" t="n">
        <v>56772</v>
      </c>
      <c r="B647" s="0" t="n">
        <v>61631</v>
      </c>
      <c r="C647" s="0" t="n">
        <v>68005</v>
      </c>
      <c r="D647" s="0" t="s">
        <v>35</v>
      </c>
      <c r="E647" s="0" t="s">
        <v>35</v>
      </c>
      <c r="F647" s="0" t="s">
        <v>36</v>
      </c>
      <c r="G647" s="0" t="s">
        <v>37</v>
      </c>
      <c r="H647" s="0" t="s">
        <v>2183</v>
      </c>
      <c r="J647" s="0" t="s">
        <v>2184</v>
      </c>
      <c r="M647" s="0" t="s">
        <v>2185</v>
      </c>
      <c r="N647" s="0" t="s">
        <v>2186</v>
      </c>
      <c r="O647" s="0" t="s">
        <v>2187</v>
      </c>
      <c r="P647" s="0" t="n">
        <v>1934</v>
      </c>
      <c r="Q647" s="0" t="s">
        <v>39</v>
      </c>
      <c r="R647" s="0" t="s">
        <v>2188</v>
      </c>
      <c r="S647" s="0" t="s">
        <v>2189</v>
      </c>
      <c r="V647" s="0" t="n">
        <v>1</v>
      </c>
      <c r="W647" s="0" t="n">
        <v>1</v>
      </c>
      <c r="X647" s="0" t="str">
        <f aca="false">"31811010357310"</f>
        <v>31811010357310</v>
      </c>
      <c r="Y647" s="0" t="s">
        <v>39</v>
      </c>
      <c r="Z647" s="0" t="s">
        <v>42</v>
      </c>
      <c r="AA647" s="0" t="s">
        <v>43</v>
      </c>
      <c r="AE647" s="1" t="s">
        <v>52</v>
      </c>
    </row>
    <row r="648" customFormat="false" ht="12.8" hidden="false" customHeight="false" outlineLevel="0" collapsed="false">
      <c r="A648" s="0" t="n">
        <v>251006</v>
      </c>
      <c r="B648" s="0" t="n">
        <v>275025</v>
      </c>
      <c r="C648" s="0" t="n">
        <v>309272</v>
      </c>
      <c r="D648" s="0" t="s">
        <v>35</v>
      </c>
      <c r="E648" s="0" t="s">
        <v>35</v>
      </c>
      <c r="F648" s="0" t="s">
        <v>36</v>
      </c>
      <c r="G648" s="0" t="s">
        <v>37</v>
      </c>
      <c r="H648" s="0" t="s">
        <v>2190</v>
      </c>
      <c r="J648" s="0" t="s">
        <v>2191</v>
      </c>
      <c r="M648" s="0" t="s">
        <v>2192</v>
      </c>
      <c r="N648" s="0" t="n">
        <v>1959</v>
      </c>
      <c r="O648" s="0" t="s">
        <v>2193</v>
      </c>
      <c r="P648" s="0" t="n">
        <v>1959</v>
      </c>
      <c r="Q648" s="0" t="s">
        <v>39</v>
      </c>
      <c r="R648" s="0" t="s">
        <v>2194</v>
      </c>
      <c r="S648" s="0" t="s">
        <v>2195</v>
      </c>
      <c r="V648" s="0" t="n">
        <v>1</v>
      </c>
      <c r="W648" s="0" t="n">
        <v>1</v>
      </c>
      <c r="X648" s="0" t="str">
        <f aca="false">"31811010357369"</f>
        <v>31811010357369</v>
      </c>
      <c r="Y648" s="0" t="s">
        <v>39</v>
      </c>
      <c r="Z648" s="0" t="s">
        <v>42</v>
      </c>
      <c r="AA648" s="0" t="s">
        <v>43</v>
      </c>
      <c r="AE648" s="1" t="s">
        <v>52</v>
      </c>
    </row>
    <row r="649" customFormat="false" ht="12.8" hidden="false" customHeight="false" outlineLevel="0" collapsed="false">
      <c r="A649" s="0" t="n">
        <v>451622</v>
      </c>
      <c r="B649" s="0" t="n">
        <v>537792</v>
      </c>
      <c r="C649" s="0" t="n">
        <v>604777</v>
      </c>
      <c r="D649" s="0" t="s">
        <v>35</v>
      </c>
      <c r="E649" s="0" t="s">
        <v>35</v>
      </c>
      <c r="F649" s="0" t="s">
        <v>36</v>
      </c>
      <c r="G649" s="0" t="s">
        <v>37</v>
      </c>
      <c r="H649" s="0" t="s">
        <v>2196</v>
      </c>
      <c r="I649" s="0" t="s">
        <v>2197</v>
      </c>
      <c r="J649" s="0" t="s">
        <v>2198</v>
      </c>
      <c r="M649" s="0" t="s">
        <v>2199</v>
      </c>
      <c r="N649" s="0" t="n">
        <v>1959</v>
      </c>
      <c r="O649" s="0" t="s">
        <v>2200</v>
      </c>
      <c r="P649" s="0" t="n">
        <v>1959</v>
      </c>
      <c r="Q649" s="0" t="s">
        <v>39</v>
      </c>
      <c r="R649" s="0" t="s">
        <v>2201</v>
      </c>
      <c r="S649" s="0" t="s">
        <v>2202</v>
      </c>
      <c r="V649" s="0" t="n">
        <v>1</v>
      </c>
      <c r="W649" s="0" t="n">
        <v>1</v>
      </c>
      <c r="X649" s="0" t="str">
        <f aca="false">"31811010357344"</f>
        <v>31811010357344</v>
      </c>
      <c r="Y649" s="0" t="s">
        <v>39</v>
      </c>
      <c r="Z649" s="0" t="s">
        <v>42</v>
      </c>
      <c r="AA649" s="0" t="s">
        <v>43</v>
      </c>
      <c r="AE649" s="1" t="s">
        <v>52</v>
      </c>
    </row>
    <row r="650" customFormat="false" ht="12.8" hidden="false" customHeight="false" outlineLevel="0" collapsed="false">
      <c r="A650" s="0" t="n">
        <v>313970</v>
      </c>
      <c r="B650" s="0" t="n">
        <v>342006</v>
      </c>
      <c r="C650" s="0" t="n">
        <v>726800</v>
      </c>
      <c r="D650" s="0" t="s">
        <v>35</v>
      </c>
      <c r="E650" s="0" t="s">
        <v>35</v>
      </c>
      <c r="F650" s="0" t="s">
        <v>480</v>
      </c>
      <c r="G650" s="0" t="s">
        <v>37</v>
      </c>
      <c r="H650" s="0" t="s">
        <v>2203</v>
      </c>
      <c r="J650" s="0" t="s">
        <v>2203</v>
      </c>
      <c r="M650" s="0" t="s">
        <v>2204</v>
      </c>
      <c r="N650" s="0" t="s">
        <v>2205</v>
      </c>
      <c r="O650" s="0" t="s">
        <v>2206</v>
      </c>
      <c r="P650" s="0" t="n">
        <v>1938</v>
      </c>
      <c r="Q650" s="0" t="s">
        <v>39</v>
      </c>
      <c r="R650" s="0" t="s">
        <v>2207</v>
      </c>
      <c r="S650" s="0" t="s">
        <v>2208</v>
      </c>
      <c r="T650" s="0" t="s">
        <v>2209</v>
      </c>
      <c r="V650" s="0" t="n">
        <v>1</v>
      </c>
      <c r="W650" s="0" t="n">
        <v>1</v>
      </c>
      <c r="X650" s="0" t="str">
        <f aca="false">"31811012508076"</f>
        <v>31811012508076</v>
      </c>
      <c r="Y650" s="0" t="s">
        <v>39</v>
      </c>
      <c r="Z650" s="0" t="s">
        <v>42</v>
      </c>
      <c r="AA650" s="0" t="s">
        <v>622</v>
      </c>
      <c r="AE650" s="1" t="s">
        <v>52</v>
      </c>
      <c r="AF650" s="1" t="s">
        <v>2210</v>
      </c>
    </row>
    <row r="651" customFormat="false" ht="12.8" hidden="false" customHeight="false" outlineLevel="0" collapsed="false">
      <c r="A651" s="0" t="n">
        <v>313970</v>
      </c>
      <c r="B651" s="0" t="n">
        <v>342006</v>
      </c>
      <c r="C651" s="0" t="n">
        <v>726801</v>
      </c>
      <c r="D651" s="0" t="s">
        <v>35</v>
      </c>
      <c r="E651" s="0" t="s">
        <v>35</v>
      </c>
      <c r="F651" s="0" t="s">
        <v>480</v>
      </c>
      <c r="G651" s="0" t="s">
        <v>37</v>
      </c>
      <c r="H651" s="0" t="s">
        <v>2203</v>
      </c>
      <c r="J651" s="0" t="s">
        <v>2203</v>
      </c>
      <c r="M651" s="0" t="s">
        <v>2204</v>
      </c>
      <c r="N651" s="0" t="s">
        <v>2205</v>
      </c>
      <c r="O651" s="0" t="s">
        <v>2206</v>
      </c>
      <c r="P651" s="0" t="n">
        <v>1938</v>
      </c>
      <c r="Q651" s="0" t="s">
        <v>39</v>
      </c>
      <c r="R651" s="0" t="s">
        <v>2207</v>
      </c>
      <c r="S651" s="0" t="s">
        <v>2208</v>
      </c>
      <c r="T651" s="0" t="s">
        <v>2211</v>
      </c>
      <c r="V651" s="0" t="n">
        <v>1</v>
      </c>
      <c r="W651" s="0" t="n">
        <v>1</v>
      </c>
      <c r="X651" s="0" t="str">
        <f aca="false">"31811012508035"</f>
        <v>31811012508035</v>
      </c>
      <c r="Y651" s="0" t="s">
        <v>39</v>
      </c>
      <c r="Z651" s="0" t="s">
        <v>42</v>
      </c>
      <c r="AA651" s="0" t="s">
        <v>622</v>
      </c>
      <c r="AE651" s="1" t="s">
        <v>52</v>
      </c>
      <c r="AF651" s="1" t="s">
        <v>2210</v>
      </c>
    </row>
    <row r="652" customFormat="false" ht="12.8" hidden="false" customHeight="false" outlineLevel="0" collapsed="false">
      <c r="A652" s="0" t="n">
        <v>255550</v>
      </c>
      <c r="B652" s="0" t="n">
        <v>279968</v>
      </c>
      <c r="C652" s="0" t="n">
        <v>314504</v>
      </c>
      <c r="D652" s="0" t="s">
        <v>35</v>
      </c>
      <c r="E652" s="0" t="s">
        <v>35</v>
      </c>
      <c r="F652" s="0" t="s">
        <v>36</v>
      </c>
      <c r="G652" s="0" t="s">
        <v>37</v>
      </c>
      <c r="H652" s="0" t="s">
        <v>2212</v>
      </c>
      <c r="J652" s="0" t="s">
        <v>2213</v>
      </c>
      <c r="M652" s="0" t="s">
        <v>2214</v>
      </c>
      <c r="N652" s="0" t="n">
        <v>1963</v>
      </c>
      <c r="O652" s="0" t="s">
        <v>2215</v>
      </c>
      <c r="P652" s="0" t="n">
        <v>1963</v>
      </c>
      <c r="Q652" s="0" t="s">
        <v>39</v>
      </c>
      <c r="R652" s="0" t="s">
        <v>2216</v>
      </c>
      <c r="S652" s="0" t="s">
        <v>2217</v>
      </c>
      <c r="V652" s="0" t="n">
        <v>1</v>
      </c>
      <c r="W652" s="0" t="n">
        <v>1</v>
      </c>
      <c r="X652" s="0" t="str">
        <f aca="false">"31811010343724"</f>
        <v>31811010343724</v>
      </c>
      <c r="Y652" s="0" t="s">
        <v>39</v>
      </c>
      <c r="Z652" s="0" t="s">
        <v>42</v>
      </c>
      <c r="AA652" s="0" t="s">
        <v>43</v>
      </c>
      <c r="AE652" s="1" t="s">
        <v>52</v>
      </c>
      <c r="AH652" s="1" t="s">
        <v>1484</v>
      </c>
    </row>
    <row r="653" customFormat="false" ht="12.8" hidden="false" customHeight="false" outlineLevel="0" collapsed="false">
      <c r="A653" s="0" t="n">
        <v>50153</v>
      </c>
      <c r="B653" s="0" t="n">
        <v>54330</v>
      </c>
      <c r="C653" s="0" t="n">
        <v>59971</v>
      </c>
      <c r="D653" s="0" t="s">
        <v>35</v>
      </c>
      <c r="E653" s="0" t="s">
        <v>35</v>
      </c>
      <c r="F653" s="0" t="s">
        <v>36</v>
      </c>
      <c r="G653" s="0" t="s">
        <v>37</v>
      </c>
      <c r="H653" s="0" t="s">
        <v>2218</v>
      </c>
      <c r="I653" s="0" t="s">
        <v>2219</v>
      </c>
      <c r="J653" s="0" t="s">
        <v>2220</v>
      </c>
      <c r="M653" s="0" t="s">
        <v>2221</v>
      </c>
      <c r="N653" s="0" t="n">
        <v>1971</v>
      </c>
      <c r="O653" s="0" t="s">
        <v>2222</v>
      </c>
      <c r="P653" s="0" t="n">
        <v>1971</v>
      </c>
      <c r="Q653" s="0" t="s">
        <v>39</v>
      </c>
      <c r="R653" s="0" t="s">
        <v>2223</v>
      </c>
      <c r="S653" s="0" t="s">
        <v>2224</v>
      </c>
      <c r="V653" s="0" t="n">
        <v>3</v>
      </c>
      <c r="W653" s="0" t="n">
        <v>1</v>
      </c>
      <c r="X653" s="0" t="str">
        <f aca="false">"31811010751496"</f>
        <v>31811010751496</v>
      </c>
      <c r="Y653" s="0" t="s">
        <v>39</v>
      </c>
      <c r="Z653" s="0" t="s">
        <v>42</v>
      </c>
      <c r="AA653" s="0" t="s">
        <v>43</v>
      </c>
      <c r="AE653" s="1" t="s">
        <v>52</v>
      </c>
    </row>
    <row r="654" customFormat="false" ht="12.8" hidden="false" customHeight="false" outlineLevel="0" collapsed="false">
      <c r="A654" s="0" t="n">
        <v>310076</v>
      </c>
      <c r="B654" s="0" t="n">
        <v>337935</v>
      </c>
      <c r="C654" s="0" t="n">
        <v>377100</v>
      </c>
      <c r="D654" s="0" t="s">
        <v>35</v>
      </c>
      <c r="E654" s="0" t="s">
        <v>35</v>
      </c>
      <c r="F654" s="0" t="s">
        <v>36</v>
      </c>
      <c r="G654" s="0" t="s">
        <v>37</v>
      </c>
      <c r="H654" s="0" t="s">
        <v>2225</v>
      </c>
      <c r="I654" s="0" t="s">
        <v>2226</v>
      </c>
      <c r="J654" s="0" t="s">
        <v>2227</v>
      </c>
      <c r="M654" s="0" t="s">
        <v>2228</v>
      </c>
      <c r="N654" s="0" t="s">
        <v>2229</v>
      </c>
      <c r="O654" s="0" t="s">
        <v>2230</v>
      </c>
      <c r="P654" s="0" t="n">
        <v>1949</v>
      </c>
      <c r="Q654" s="0" t="s">
        <v>39</v>
      </c>
      <c r="R654" s="0" t="s">
        <v>2231</v>
      </c>
      <c r="S654" s="0" t="s">
        <v>2232</v>
      </c>
      <c r="V654" s="0" t="n">
        <v>1</v>
      </c>
      <c r="W654" s="0" t="n">
        <v>1</v>
      </c>
      <c r="X654" s="0" t="str">
        <f aca="false">"31811010356759"</f>
        <v>31811010356759</v>
      </c>
      <c r="Y654" s="0" t="s">
        <v>39</v>
      </c>
      <c r="Z654" s="0" t="s">
        <v>42</v>
      </c>
      <c r="AA654" s="0" t="s">
        <v>43</v>
      </c>
      <c r="AE654" s="1" t="s">
        <v>52</v>
      </c>
    </row>
    <row r="655" customFormat="false" ht="12.8" hidden="false" customHeight="false" outlineLevel="0" collapsed="false">
      <c r="A655" s="0" t="n">
        <v>515518</v>
      </c>
      <c r="B655" s="0" t="n">
        <v>552789</v>
      </c>
      <c r="C655" s="0" t="n">
        <v>623818</v>
      </c>
      <c r="D655" s="0" t="s">
        <v>35</v>
      </c>
      <c r="E655" s="0" t="s">
        <v>35</v>
      </c>
      <c r="F655" s="0" t="s">
        <v>36</v>
      </c>
      <c r="G655" s="0" t="s">
        <v>37</v>
      </c>
      <c r="H655" s="0" t="s">
        <v>2233</v>
      </c>
      <c r="I655" s="0" t="s">
        <v>2234</v>
      </c>
      <c r="J655" s="0" t="s">
        <v>2233</v>
      </c>
      <c r="M655" s="0" t="s">
        <v>2235</v>
      </c>
      <c r="N655" s="0" t="s">
        <v>2236</v>
      </c>
      <c r="O655" s="0" t="s">
        <v>2230</v>
      </c>
      <c r="P655" s="0" t="n">
        <v>1949</v>
      </c>
      <c r="Q655" s="0" t="s">
        <v>39</v>
      </c>
      <c r="R655" s="0" t="s">
        <v>2237</v>
      </c>
      <c r="S655" s="0" t="s">
        <v>2238</v>
      </c>
      <c r="V655" s="0" t="n">
        <v>1</v>
      </c>
      <c r="W655" s="0" t="n">
        <v>1</v>
      </c>
      <c r="X655" s="0" t="str">
        <f aca="false">"31811010356767"</f>
        <v>31811010356767</v>
      </c>
      <c r="Y655" s="0" t="s">
        <v>39</v>
      </c>
      <c r="Z655" s="0" t="s">
        <v>42</v>
      </c>
      <c r="AA655" s="0" t="s">
        <v>43</v>
      </c>
      <c r="AE655" s="1" t="s">
        <v>52</v>
      </c>
      <c r="AH655" s="1" t="s">
        <v>2239</v>
      </c>
    </row>
    <row r="656" customFormat="false" ht="12.8" hidden="false" customHeight="false" outlineLevel="0" collapsed="false">
      <c r="A656" s="0" t="n">
        <v>231789</v>
      </c>
      <c r="B656" s="0" t="n">
        <v>254133</v>
      </c>
      <c r="C656" s="0" t="n">
        <v>286083</v>
      </c>
      <c r="D656" s="0" t="s">
        <v>35</v>
      </c>
      <c r="E656" s="0" t="s">
        <v>35</v>
      </c>
      <c r="F656" s="0" t="s">
        <v>36</v>
      </c>
      <c r="G656" s="0" t="s">
        <v>37</v>
      </c>
      <c r="H656" s="0" t="s">
        <v>2240</v>
      </c>
      <c r="I656" s="0" t="s">
        <v>2241</v>
      </c>
      <c r="J656" s="0" t="s">
        <v>2240</v>
      </c>
      <c r="M656" s="0" t="s">
        <v>2242</v>
      </c>
      <c r="N656" s="0" t="s">
        <v>2243</v>
      </c>
      <c r="O656" s="0" t="s">
        <v>2230</v>
      </c>
      <c r="P656" s="0" t="n">
        <v>1948</v>
      </c>
      <c r="Q656" s="0" t="s">
        <v>39</v>
      </c>
      <c r="R656" s="0" t="s">
        <v>2244</v>
      </c>
      <c r="S656" s="0" t="s">
        <v>2245</v>
      </c>
      <c r="V656" s="0" t="n">
        <v>1</v>
      </c>
      <c r="W656" s="0" t="n">
        <v>1</v>
      </c>
      <c r="X656" s="0" t="str">
        <f aca="false">"31811010356742"</f>
        <v>31811010356742</v>
      </c>
      <c r="Y656" s="0" t="s">
        <v>39</v>
      </c>
      <c r="Z656" s="0" t="s">
        <v>42</v>
      </c>
      <c r="AA656" s="0" t="s">
        <v>43</v>
      </c>
      <c r="AE656" s="1" t="s">
        <v>52</v>
      </c>
    </row>
    <row r="657" customFormat="false" ht="12.8" hidden="false" customHeight="false" outlineLevel="0" collapsed="false">
      <c r="A657" s="0" t="n">
        <v>231789</v>
      </c>
      <c r="B657" s="0" t="n">
        <v>254134</v>
      </c>
      <c r="C657" s="0" t="n">
        <v>286084</v>
      </c>
      <c r="D657" s="0" t="s">
        <v>35</v>
      </c>
      <c r="E657" s="0" t="s">
        <v>35</v>
      </c>
      <c r="F657" s="0" t="s">
        <v>36</v>
      </c>
      <c r="G657" s="0" t="s">
        <v>37</v>
      </c>
      <c r="H657" s="0" t="s">
        <v>2240</v>
      </c>
      <c r="I657" s="0" t="s">
        <v>2241</v>
      </c>
      <c r="J657" s="0" t="s">
        <v>2240</v>
      </c>
      <c r="M657" s="0" t="s">
        <v>2242</v>
      </c>
      <c r="N657" s="0" t="s">
        <v>2243</v>
      </c>
      <c r="O657" s="0" t="s">
        <v>2230</v>
      </c>
      <c r="P657" s="0" t="n">
        <v>1948</v>
      </c>
      <c r="Q657" s="0" t="s">
        <v>39</v>
      </c>
      <c r="R657" s="0" t="s">
        <v>2244</v>
      </c>
      <c r="S657" s="0" t="s">
        <v>2245</v>
      </c>
      <c r="V657" s="0" t="n">
        <v>2</v>
      </c>
      <c r="W657" s="0" t="n">
        <v>1</v>
      </c>
      <c r="X657" s="0" t="str">
        <f aca="false">"31811010356791"</f>
        <v>31811010356791</v>
      </c>
      <c r="Y657" s="0" t="s">
        <v>39</v>
      </c>
      <c r="Z657" s="0" t="s">
        <v>42</v>
      </c>
      <c r="AA657" s="0" t="s">
        <v>43</v>
      </c>
      <c r="AE657" s="1" t="s">
        <v>52</v>
      </c>
    </row>
    <row r="658" customFormat="false" ht="12.8" hidden="false" customHeight="false" outlineLevel="0" collapsed="false">
      <c r="A658" s="0" t="n">
        <v>515836</v>
      </c>
      <c r="B658" s="0" t="n">
        <v>553120</v>
      </c>
      <c r="C658" s="0" t="n">
        <v>624237</v>
      </c>
      <c r="D658" s="0" t="s">
        <v>35</v>
      </c>
      <c r="E658" s="0" t="s">
        <v>35</v>
      </c>
      <c r="F658" s="0" t="s">
        <v>36</v>
      </c>
      <c r="G658" s="0" t="s">
        <v>37</v>
      </c>
      <c r="H658" s="0" t="s">
        <v>2246</v>
      </c>
      <c r="J658" s="0" t="s">
        <v>2247</v>
      </c>
      <c r="M658" s="0" t="s">
        <v>2248</v>
      </c>
      <c r="N658" s="0" t="s">
        <v>2243</v>
      </c>
      <c r="O658" s="0" t="s">
        <v>2230</v>
      </c>
      <c r="P658" s="0" t="n">
        <v>1948</v>
      </c>
      <c r="Q658" s="0" t="s">
        <v>39</v>
      </c>
      <c r="R658" s="0" t="s">
        <v>2249</v>
      </c>
      <c r="S658" s="0" t="s">
        <v>2250</v>
      </c>
      <c r="V658" s="0" t="n">
        <v>1</v>
      </c>
      <c r="W658" s="0" t="n">
        <v>1</v>
      </c>
      <c r="X658" s="0" t="str">
        <f aca="false">"31811010356809"</f>
        <v>31811010356809</v>
      </c>
      <c r="Y658" s="0" t="s">
        <v>39</v>
      </c>
      <c r="Z658" s="0" t="s">
        <v>42</v>
      </c>
      <c r="AA658" s="0" t="s">
        <v>43</v>
      </c>
      <c r="AE658" s="1" t="s">
        <v>52</v>
      </c>
    </row>
    <row r="659" customFormat="false" ht="12.8" hidden="false" customHeight="false" outlineLevel="0" collapsed="false">
      <c r="A659" s="0" t="n">
        <v>361877</v>
      </c>
      <c r="B659" s="0" t="n">
        <v>391491</v>
      </c>
      <c r="C659" s="0" t="n">
        <v>435253</v>
      </c>
      <c r="D659" s="0" t="s">
        <v>35</v>
      </c>
      <c r="E659" s="0" t="s">
        <v>35</v>
      </c>
      <c r="F659" s="0" t="s">
        <v>36</v>
      </c>
      <c r="G659" s="0" t="s">
        <v>37</v>
      </c>
      <c r="H659" s="0" t="s">
        <v>2251</v>
      </c>
      <c r="I659" s="0" t="s">
        <v>2252</v>
      </c>
      <c r="J659" s="0" t="s">
        <v>2253</v>
      </c>
      <c r="M659" s="0" t="s">
        <v>2254</v>
      </c>
      <c r="N659" s="0" t="n">
        <v>1945</v>
      </c>
      <c r="Q659" s="0" t="s">
        <v>39</v>
      </c>
      <c r="R659" s="0" t="s">
        <v>2255</v>
      </c>
      <c r="S659" s="0" t="s">
        <v>2256</v>
      </c>
      <c r="V659" s="0" t="n">
        <v>1</v>
      </c>
      <c r="W659" s="0" t="n">
        <v>1</v>
      </c>
      <c r="X659" s="0" t="str">
        <f aca="false">"31811010356833"</f>
        <v>31811010356833</v>
      </c>
      <c r="Y659" s="0" t="s">
        <v>39</v>
      </c>
      <c r="Z659" s="0" t="s">
        <v>42</v>
      </c>
      <c r="AA659" s="0" t="s">
        <v>43</v>
      </c>
      <c r="AE659" s="1" t="s">
        <v>52</v>
      </c>
    </row>
    <row r="660" customFormat="false" ht="12.8" hidden="false" customHeight="false" outlineLevel="0" collapsed="false">
      <c r="A660" s="0" t="n">
        <v>64258</v>
      </c>
      <c r="B660" s="0" t="n">
        <v>69767</v>
      </c>
      <c r="C660" s="0" t="n">
        <v>77028</v>
      </c>
      <c r="D660" s="0" t="s">
        <v>35</v>
      </c>
      <c r="E660" s="0" t="s">
        <v>35</v>
      </c>
      <c r="F660" s="0" t="s">
        <v>36</v>
      </c>
      <c r="G660" s="0" t="s">
        <v>37</v>
      </c>
      <c r="H660" s="0" t="s">
        <v>2257</v>
      </c>
      <c r="J660" s="0" t="s">
        <v>2257</v>
      </c>
      <c r="K660" s="0" t="s">
        <v>108</v>
      </c>
      <c r="M660" s="0" t="s">
        <v>2258</v>
      </c>
      <c r="N660" s="0" t="n">
        <v>1971</v>
      </c>
      <c r="O660" s="0" t="s">
        <v>2259</v>
      </c>
      <c r="P660" s="0" t="n">
        <v>1971</v>
      </c>
      <c r="Q660" s="0" t="s">
        <v>39</v>
      </c>
      <c r="R660" s="0" t="s">
        <v>2260</v>
      </c>
      <c r="S660" s="0" t="s">
        <v>2261</v>
      </c>
      <c r="V660" s="0" t="n">
        <v>1</v>
      </c>
      <c r="W660" s="0" t="n">
        <v>1</v>
      </c>
      <c r="X660" s="0" t="str">
        <f aca="false">"31811010357294"</f>
        <v>31811010357294</v>
      </c>
      <c r="Y660" s="0" t="s">
        <v>39</v>
      </c>
      <c r="Z660" s="0" t="s">
        <v>42</v>
      </c>
      <c r="AA660" s="0" t="s">
        <v>43</v>
      </c>
      <c r="AE660" s="1" t="s">
        <v>52</v>
      </c>
    </row>
    <row r="661" customFormat="false" ht="12.8" hidden="false" customHeight="false" outlineLevel="0" collapsed="false">
      <c r="A661" s="0" t="n">
        <v>531209</v>
      </c>
      <c r="B661" s="0" t="n">
        <v>569163</v>
      </c>
      <c r="C661" s="0" t="n">
        <v>643422</v>
      </c>
      <c r="D661" s="0" t="s">
        <v>35</v>
      </c>
      <c r="E661" s="0" t="s">
        <v>35</v>
      </c>
      <c r="F661" s="0" t="s">
        <v>36</v>
      </c>
      <c r="G661" s="0" t="s">
        <v>481</v>
      </c>
      <c r="H661" s="0" t="s">
        <v>2262</v>
      </c>
      <c r="J661" s="0" t="s">
        <v>2262</v>
      </c>
      <c r="M661" s="0" t="s">
        <v>2263</v>
      </c>
      <c r="N661" s="0" t="n">
        <v>1959</v>
      </c>
      <c r="O661" s="0" t="s">
        <v>2264</v>
      </c>
      <c r="P661" s="0" t="n">
        <v>1959</v>
      </c>
      <c r="Q661" s="0" t="s">
        <v>39</v>
      </c>
      <c r="R661" s="0" t="s">
        <v>2265</v>
      </c>
      <c r="S661" s="0" t="s">
        <v>2266</v>
      </c>
      <c r="V661" s="0" t="n">
        <v>1</v>
      </c>
      <c r="W661" s="0" t="n">
        <v>1</v>
      </c>
      <c r="X661" s="0" t="str">
        <f aca="false">"31811010361239"</f>
        <v>31811010361239</v>
      </c>
      <c r="Y661" s="0" t="s">
        <v>39</v>
      </c>
      <c r="Z661" s="0" t="s">
        <v>42</v>
      </c>
      <c r="AA661" s="0" t="s">
        <v>43</v>
      </c>
      <c r="AE661" s="1" t="s">
        <v>52</v>
      </c>
    </row>
    <row r="662" customFormat="false" ht="12.8" hidden="false" customHeight="false" outlineLevel="0" collapsed="false">
      <c r="A662" s="0" t="n">
        <v>472861</v>
      </c>
      <c r="B662" s="0" t="n">
        <v>504947</v>
      </c>
      <c r="C662" s="0" t="n">
        <v>567027</v>
      </c>
      <c r="D662" s="0" t="s">
        <v>35</v>
      </c>
      <c r="E662" s="0" t="s">
        <v>35</v>
      </c>
      <c r="F662" s="0" t="s">
        <v>36</v>
      </c>
      <c r="G662" s="0" t="s">
        <v>481</v>
      </c>
      <c r="H662" s="0" t="s">
        <v>2267</v>
      </c>
      <c r="J662" s="0" t="s">
        <v>2267</v>
      </c>
      <c r="M662" s="0" t="s">
        <v>2268</v>
      </c>
      <c r="N662" s="0" t="n">
        <v>1971</v>
      </c>
      <c r="O662" s="0" t="s">
        <v>2269</v>
      </c>
      <c r="P662" s="0" t="n">
        <v>1971</v>
      </c>
      <c r="Q662" s="0" t="s">
        <v>39</v>
      </c>
      <c r="R662" s="0" t="s">
        <v>2270</v>
      </c>
      <c r="S662" s="0" t="s">
        <v>2271</v>
      </c>
      <c r="V662" s="0" t="n">
        <v>1</v>
      </c>
      <c r="W662" s="0" t="n">
        <v>1</v>
      </c>
      <c r="X662" s="0" t="str">
        <f aca="false">"31811003178657"</f>
        <v>31811003178657</v>
      </c>
      <c r="Y662" s="0" t="s">
        <v>39</v>
      </c>
      <c r="Z662" s="0" t="s">
        <v>42</v>
      </c>
      <c r="AA662" s="0" t="s">
        <v>43</v>
      </c>
      <c r="AE662" s="1" t="s">
        <v>52</v>
      </c>
    </row>
    <row r="663" customFormat="false" ht="12.8" hidden="false" customHeight="false" outlineLevel="0" collapsed="false">
      <c r="A663" s="0" t="n">
        <v>520466</v>
      </c>
      <c r="B663" s="0" t="n">
        <v>557881</v>
      </c>
      <c r="C663" s="0" t="n">
        <v>630105</v>
      </c>
      <c r="D663" s="0" t="s">
        <v>35</v>
      </c>
      <c r="E663" s="0" t="s">
        <v>35</v>
      </c>
      <c r="F663" s="0" t="s">
        <v>480</v>
      </c>
      <c r="G663" s="0" t="s">
        <v>37</v>
      </c>
      <c r="H663" s="0" t="s">
        <v>2272</v>
      </c>
      <c r="J663" s="0" t="s">
        <v>2272</v>
      </c>
      <c r="M663" s="0" t="s">
        <v>2273</v>
      </c>
      <c r="N663" s="1" t="s">
        <v>2274</v>
      </c>
      <c r="O663" s="0" t="s">
        <v>2275</v>
      </c>
      <c r="P663" s="0" t="n">
        <v>1852</v>
      </c>
      <c r="Q663" s="0" t="s">
        <v>39</v>
      </c>
      <c r="R663" s="0" t="s">
        <v>2276</v>
      </c>
      <c r="S663" s="0" t="s">
        <v>2277</v>
      </c>
      <c r="T663" s="0" t="s">
        <v>2278</v>
      </c>
      <c r="V663" s="0" t="n">
        <v>1</v>
      </c>
      <c r="W663" s="0" t="n">
        <v>1</v>
      </c>
      <c r="X663" s="0" t="str">
        <f aca="false">"31811012018944"</f>
        <v>31811012018944</v>
      </c>
      <c r="Y663" s="0" t="s">
        <v>39</v>
      </c>
      <c r="Z663" s="0" t="s">
        <v>42</v>
      </c>
      <c r="AA663" s="0" t="s">
        <v>43</v>
      </c>
      <c r="AE663" s="1" t="s">
        <v>52</v>
      </c>
    </row>
    <row r="664" customFormat="false" ht="12.8" hidden="false" customHeight="false" outlineLevel="0" collapsed="false">
      <c r="A664" s="0" t="n">
        <v>491342</v>
      </c>
      <c r="B664" s="0" t="n">
        <v>472319</v>
      </c>
      <c r="C664" s="0" t="n">
        <v>528177</v>
      </c>
      <c r="D664" s="0" t="s">
        <v>35</v>
      </c>
      <c r="E664" s="0" t="s">
        <v>35</v>
      </c>
      <c r="F664" s="0" t="s">
        <v>480</v>
      </c>
      <c r="G664" s="0" t="s">
        <v>37</v>
      </c>
      <c r="H664" s="0" t="s">
        <v>2279</v>
      </c>
      <c r="J664" s="0" t="s">
        <v>2279</v>
      </c>
      <c r="M664" s="0" t="s">
        <v>2280</v>
      </c>
      <c r="N664" s="0" t="s">
        <v>2281</v>
      </c>
      <c r="O664" s="0" t="s">
        <v>2282</v>
      </c>
      <c r="P664" s="0" t="n">
        <v>1873</v>
      </c>
      <c r="Q664" s="0" t="s">
        <v>39</v>
      </c>
      <c r="R664" s="0" t="s">
        <v>2283</v>
      </c>
      <c r="S664" s="0" t="s">
        <v>2284</v>
      </c>
      <c r="V664" s="0" t="n">
        <v>1</v>
      </c>
      <c r="W664" s="0" t="n">
        <v>1</v>
      </c>
      <c r="X664" s="0" t="str">
        <f aca="false">"31811003178707"</f>
        <v>31811003178707</v>
      </c>
      <c r="Y664" s="0" t="s">
        <v>39</v>
      </c>
      <c r="Z664" s="0" t="s">
        <v>42</v>
      </c>
      <c r="AA664" s="0" t="s">
        <v>43</v>
      </c>
      <c r="AE664" s="1" t="s">
        <v>52</v>
      </c>
    </row>
    <row r="665" customFormat="false" ht="12.8" hidden="false" customHeight="false" outlineLevel="0" collapsed="false">
      <c r="A665" s="0" t="n">
        <v>254944</v>
      </c>
      <c r="B665" s="0" t="n">
        <v>279291</v>
      </c>
      <c r="C665" s="0" t="n">
        <v>313766</v>
      </c>
      <c r="D665" s="0" t="s">
        <v>35</v>
      </c>
      <c r="E665" s="0" t="s">
        <v>35</v>
      </c>
      <c r="F665" s="0" t="s">
        <v>36</v>
      </c>
      <c r="G665" s="0" t="s">
        <v>500</v>
      </c>
      <c r="H665" s="0" t="s">
        <v>2285</v>
      </c>
      <c r="J665" s="0" t="s">
        <v>2286</v>
      </c>
      <c r="M665" s="0" t="s">
        <v>2287</v>
      </c>
      <c r="N665" s="0" t="n">
        <v>1960</v>
      </c>
      <c r="O665" s="0" t="s">
        <v>2288</v>
      </c>
      <c r="P665" s="0" t="n">
        <v>1960</v>
      </c>
      <c r="Q665" s="0" t="s">
        <v>39</v>
      </c>
      <c r="R665" s="0" t="s">
        <v>2289</v>
      </c>
      <c r="S665" s="0" t="s">
        <v>2290</v>
      </c>
      <c r="V665" s="0" t="n">
        <v>1</v>
      </c>
      <c r="W665" s="0" t="n">
        <v>1</v>
      </c>
      <c r="X665" s="0" t="str">
        <f aca="false">"31811003178665"</f>
        <v>31811003178665</v>
      </c>
      <c r="Y665" s="0" t="s">
        <v>39</v>
      </c>
      <c r="Z665" s="0" t="s">
        <v>42</v>
      </c>
      <c r="AA665" s="0" t="s">
        <v>43</v>
      </c>
      <c r="AE665" s="1" t="s">
        <v>52</v>
      </c>
    </row>
    <row r="666" customFormat="false" ht="12.8" hidden="false" customHeight="false" outlineLevel="0" collapsed="false">
      <c r="A666" s="0" t="n">
        <v>336495</v>
      </c>
      <c r="B666" s="0" t="n">
        <v>365227</v>
      </c>
      <c r="C666" s="0" t="n">
        <v>406956</v>
      </c>
      <c r="D666" s="0" t="s">
        <v>35</v>
      </c>
      <c r="E666" s="0" t="s">
        <v>35</v>
      </c>
      <c r="F666" s="0" t="s">
        <v>36</v>
      </c>
      <c r="G666" s="0" t="s">
        <v>500</v>
      </c>
      <c r="H666" s="0" t="s">
        <v>2291</v>
      </c>
      <c r="J666" s="0" t="s">
        <v>2292</v>
      </c>
      <c r="M666" s="0" t="s">
        <v>2293</v>
      </c>
      <c r="N666" s="0" t="n">
        <v>1961</v>
      </c>
      <c r="O666" s="0" t="s">
        <v>2294</v>
      </c>
      <c r="P666" s="0" t="n">
        <v>1961</v>
      </c>
      <c r="Q666" s="0" t="s">
        <v>39</v>
      </c>
      <c r="R666" s="0" t="s">
        <v>2295</v>
      </c>
      <c r="S666" s="0" t="s">
        <v>2296</v>
      </c>
      <c r="V666" s="0" t="n">
        <v>1</v>
      </c>
      <c r="W666" s="0" t="n">
        <v>1</v>
      </c>
      <c r="X666" s="0" t="str">
        <f aca="false">"31811010361205"</f>
        <v>31811010361205</v>
      </c>
      <c r="Y666" s="0" t="s">
        <v>39</v>
      </c>
      <c r="Z666" s="0" t="s">
        <v>42</v>
      </c>
      <c r="AA666" s="0" t="s">
        <v>43</v>
      </c>
      <c r="AE666" s="1" t="s">
        <v>52</v>
      </c>
    </row>
    <row r="667" customFormat="false" ht="12.8" hidden="false" customHeight="false" outlineLevel="0" collapsed="false">
      <c r="A667" s="0" t="n">
        <v>395593</v>
      </c>
      <c r="B667" s="0" t="n">
        <v>427318</v>
      </c>
      <c r="C667" s="0" t="n">
        <v>476449</v>
      </c>
      <c r="D667" s="0" t="s">
        <v>35</v>
      </c>
      <c r="E667" s="0" t="s">
        <v>35</v>
      </c>
      <c r="F667" s="0" t="s">
        <v>36</v>
      </c>
      <c r="G667" s="0" t="s">
        <v>37</v>
      </c>
      <c r="H667" s="0" t="s">
        <v>2297</v>
      </c>
      <c r="I667" s="0" t="s">
        <v>2298</v>
      </c>
      <c r="J667" s="0" t="s">
        <v>2297</v>
      </c>
      <c r="M667" s="0" t="s">
        <v>2299</v>
      </c>
      <c r="N667" s="0" t="n">
        <v>1902</v>
      </c>
      <c r="P667" s="0" t="n">
        <v>1902</v>
      </c>
      <c r="Q667" s="0" t="s">
        <v>39</v>
      </c>
      <c r="R667" s="0" t="s">
        <v>2300</v>
      </c>
      <c r="S667" s="0" t="s">
        <v>2301</v>
      </c>
      <c r="V667" s="0" t="n">
        <v>1</v>
      </c>
      <c r="W667" s="0" t="n">
        <v>1</v>
      </c>
      <c r="X667" s="0" t="str">
        <f aca="false">"31811010369042"</f>
        <v>31811010369042</v>
      </c>
      <c r="Y667" s="0" t="s">
        <v>39</v>
      </c>
      <c r="Z667" s="0" t="s">
        <v>42</v>
      </c>
      <c r="AA667" s="0" t="s">
        <v>43</v>
      </c>
      <c r="AE667" s="1" t="s">
        <v>52</v>
      </c>
    </row>
    <row r="668" customFormat="false" ht="12.8" hidden="false" customHeight="false" outlineLevel="0" collapsed="false">
      <c r="A668" s="0" t="n">
        <v>440582</v>
      </c>
      <c r="B668" s="0" t="n">
        <v>526101</v>
      </c>
      <c r="C668" s="0" t="n">
        <v>590657</v>
      </c>
      <c r="D668" s="0" t="s">
        <v>35</v>
      </c>
      <c r="E668" s="0" t="s">
        <v>35</v>
      </c>
      <c r="F668" s="0" t="s">
        <v>36</v>
      </c>
      <c r="G668" s="0" t="s">
        <v>500</v>
      </c>
      <c r="H668" s="0" t="s">
        <v>2302</v>
      </c>
      <c r="I668" s="0" t="s">
        <v>2303</v>
      </c>
      <c r="J668" s="0" t="s">
        <v>2304</v>
      </c>
      <c r="M668" s="0" t="s">
        <v>2305</v>
      </c>
      <c r="N668" s="0" t="n">
        <v>1878</v>
      </c>
      <c r="O668" s="0" t="s">
        <v>2306</v>
      </c>
      <c r="P668" s="0" t="n">
        <v>1878</v>
      </c>
      <c r="Q668" s="0" t="s">
        <v>39</v>
      </c>
      <c r="R668" s="0" t="s">
        <v>2307</v>
      </c>
      <c r="S668" s="0" t="s">
        <v>2308</v>
      </c>
      <c r="V668" s="0" t="n">
        <v>1</v>
      </c>
      <c r="W668" s="0" t="n">
        <v>1</v>
      </c>
      <c r="X668" s="0" t="str">
        <f aca="false">"31811010361155"</f>
        <v>31811010361155</v>
      </c>
      <c r="Y668" s="0" t="s">
        <v>39</v>
      </c>
      <c r="Z668" s="0" t="s">
        <v>42</v>
      </c>
      <c r="AA668" s="0" t="s">
        <v>43</v>
      </c>
      <c r="AE668" s="1" t="s">
        <v>52</v>
      </c>
    </row>
    <row r="669" customFormat="false" ht="12.8" hidden="false" customHeight="false" outlineLevel="0" collapsed="false">
      <c r="A669" s="0" t="n">
        <v>473004</v>
      </c>
      <c r="B669" s="0" t="n">
        <v>505092</v>
      </c>
      <c r="C669" s="0" t="n">
        <v>567183</v>
      </c>
      <c r="D669" s="0" t="s">
        <v>35</v>
      </c>
      <c r="E669" s="0" t="s">
        <v>35</v>
      </c>
      <c r="F669" s="0" t="s">
        <v>36</v>
      </c>
      <c r="G669" s="0" t="s">
        <v>500</v>
      </c>
      <c r="H669" s="0" t="s">
        <v>2309</v>
      </c>
      <c r="I669" s="0" t="s">
        <v>2310</v>
      </c>
      <c r="J669" s="0" t="s">
        <v>2309</v>
      </c>
      <c r="M669" s="0" t="s">
        <v>2311</v>
      </c>
      <c r="N669" s="0" t="n">
        <v>1901</v>
      </c>
      <c r="O669" s="0" t="s">
        <v>2312</v>
      </c>
      <c r="P669" s="0" t="n">
        <v>1901</v>
      </c>
      <c r="Q669" s="0" t="s">
        <v>39</v>
      </c>
      <c r="R669" s="0" t="s">
        <v>2313</v>
      </c>
      <c r="S669" s="0" t="s">
        <v>2314</v>
      </c>
      <c r="V669" s="0" t="n">
        <v>1</v>
      </c>
      <c r="W669" s="0" t="n">
        <v>1</v>
      </c>
      <c r="X669" s="0" t="str">
        <f aca="false">"31811010369125"</f>
        <v>31811010369125</v>
      </c>
      <c r="Y669" s="0" t="s">
        <v>39</v>
      </c>
      <c r="Z669" s="0" t="s">
        <v>42</v>
      </c>
      <c r="AA669" s="0" t="s">
        <v>43</v>
      </c>
      <c r="AE669" s="1" t="s">
        <v>52</v>
      </c>
    </row>
    <row r="670" customFormat="false" ht="12.8" hidden="false" customHeight="false" outlineLevel="0" collapsed="false">
      <c r="A670" s="0" t="n">
        <v>530322</v>
      </c>
      <c r="B670" s="0" t="n">
        <v>568221</v>
      </c>
      <c r="C670" s="0" t="n">
        <v>642359</v>
      </c>
      <c r="D670" s="0" t="s">
        <v>35</v>
      </c>
      <c r="E670" s="0" t="s">
        <v>35</v>
      </c>
      <c r="F670" s="0" t="s">
        <v>36</v>
      </c>
      <c r="G670" s="0" t="s">
        <v>500</v>
      </c>
      <c r="H670" s="0" t="s">
        <v>2315</v>
      </c>
      <c r="I670" s="0" t="s">
        <v>2316</v>
      </c>
      <c r="J670" s="0" t="s">
        <v>2317</v>
      </c>
      <c r="M670" s="0" t="s">
        <v>2318</v>
      </c>
      <c r="N670" s="0" t="n">
        <v>1902</v>
      </c>
      <c r="O670" s="0" t="s">
        <v>515</v>
      </c>
      <c r="P670" s="0" t="n">
        <v>1902</v>
      </c>
      <c r="Q670" s="0" t="s">
        <v>39</v>
      </c>
      <c r="R670" s="0" t="s">
        <v>2319</v>
      </c>
      <c r="S670" s="0" t="s">
        <v>2320</v>
      </c>
      <c r="V670" s="0" t="n">
        <v>1</v>
      </c>
      <c r="W670" s="0" t="n">
        <v>1</v>
      </c>
      <c r="X670" s="0" t="str">
        <f aca="false">"31811010369083"</f>
        <v>31811010369083</v>
      </c>
      <c r="Y670" s="0" t="s">
        <v>39</v>
      </c>
      <c r="Z670" s="0" t="s">
        <v>42</v>
      </c>
      <c r="AA670" s="0" t="s">
        <v>43</v>
      </c>
      <c r="AE670" s="1" t="s">
        <v>52</v>
      </c>
    </row>
    <row r="671" customFormat="false" ht="12.8" hidden="false" customHeight="false" outlineLevel="0" collapsed="false">
      <c r="A671" s="0" t="n">
        <v>531210</v>
      </c>
      <c r="B671" s="0" t="n">
        <v>569164</v>
      </c>
      <c r="C671" s="0" t="n">
        <v>643423</v>
      </c>
      <c r="D671" s="0" t="s">
        <v>35</v>
      </c>
      <c r="E671" s="0" t="s">
        <v>35</v>
      </c>
      <c r="F671" s="0" t="s">
        <v>36</v>
      </c>
      <c r="G671" s="0" t="s">
        <v>500</v>
      </c>
      <c r="H671" s="0" t="s">
        <v>2321</v>
      </c>
      <c r="I671" s="0" t="s">
        <v>2322</v>
      </c>
      <c r="J671" s="0" t="s">
        <v>2323</v>
      </c>
      <c r="M671" s="0" t="s">
        <v>2324</v>
      </c>
      <c r="N671" s="0" t="n">
        <v>1903</v>
      </c>
      <c r="O671" s="0" t="s">
        <v>515</v>
      </c>
      <c r="P671" s="0" t="n">
        <v>1903</v>
      </c>
      <c r="Q671" s="0" t="s">
        <v>39</v>
      </c>
      <c r="R671" s="0" t="s">
        <v>2325</v>
      </c>
      <c r="S671" s="0" t="s">
        <v>2326</v>
      </c>
      <c r="V671" s="0" t="n">
        <v>1</v>
      </c>
      <c r="W671" s="0" t="n">
        <v>1</v>
      </c>
      <c r="X671" s="0" t="str">
        <f aca="false">"31811010369000"</f>
        <v>31811010369000</v>
      </c>
      <c r="Y671" s="0" t="s">
        <v>39</v>
      </c>
      <c r="Z671" s="0" t="s">
        <v>42</v>
      </c>
      <c r="AA671" s="0" t="s">
        <v>43</v>
      </c>
      <c r="AE671" s="1" t="s">
        <v>52</v>
      </c>
    </row>
    <row r="672" customFormat="false" ht="12.8" hidden="false" customHeight="false" outlineLevel="0" collapsed="false">
      <c r="A672" s="0" t="n">
        <v>284415</v>
      </c>
      <c r="B672" s="0" t="n">
        <v>310852</v>
      </c>
      <c r="C672" s="0" t="n">
        <v>348127</v>
      </c>
      <c r="D672" s="0" t="s">
        <v>35</v>
      </c>
      <c r="E672" s="0" t="s">
        <v>35</v>
      </c>
      <c r="F672" s="0" t="s">
        <v>36</v>
      </c>
      <c r="G672" s="0" t="s">
        <v>500</v>
      </c>
      <c r="H672" s="0" t="s">
        <v>2327</v>
      </c>
      <c r="I672" s="0" t="s">
        <v>2298</v>
      </c>
      <c r="J672" s="0" t="s">
        <v>2328</v>
      </c>
      <c r="M672" s="0" t="s">
        <v>2329</v>
      </c>
      <c r="N672" s="0" t="n">
        <v>1883</v>
      </c>
      <c r="O672" s="0" t="s">
        <v>515</v>
      </c>
      <c r="P672" s="0" t="n">
        <v>1883</v>
      </c>
      <c r="Q672" s="0" t="s">
        <v>39</v>
      </c>
      <c r="R672" s="0" t="s">
        <v>2330</v>
      </c>
      <c r="S672" s="0" t="s">
        <v>2331</v>
      </c>
      <c r="V672" s="0" t="n">
        <v>1</v>
      </c>
      <c r="W672" s="0" t="n">
        <v>1</v>
      </c>
      <c r="X672" s="0" t="str">
        <f aca="false">"31811012040914"</f>
        <v>31811012040914</v>
      </c>
      <c r="Y672" s="0" t="s">
        <v>39</v>
      </c>
      <c r="Z672" s="0" t="s">
        <v>42</v>
      </c>
      <c r="AA672" s="0" t="s">
        <v>43</v>
      </c>
      <c r="AE672" s="1" t="s">
        <v>52</v>
      </c>
      <c r="AH672" s="1" t="s">
        <v>2332</v>
      </c>
    </row>
    <row r="673" customFormat="false" ht="12.8" hidden="false" customHeight="false" outlineLevel="0" collapsed="false">
      <c r="A673" s="0" t="n">
        <v>284417</v>
      </c>
      <c r="B673" s="0" t="n">
        <v>310852</v>
      </c>
      <c r="C673" s="0" t="n">
        <v>348127</v>
      </c>
      <c r="D673" s="0" t="s">
        <v>35</v>
      </c>
      <c r="E673" s="0" t="s">
        <v>35</v>
      </c>
      <c r="F673" s="0" t="s">
        <v>36</v>
      </c>
      <c r="G673" s="0" t="s">
        <v>500</v>
      </c>
      <c r="H673" s="0" t="s">
        <v>2333</v>
      </c>
      <c r="I673" s="0" t="s">
        <v>2298</v>
      </c>
      <c r="J673" s="0" t="s">
        <v>2334</v>
      </c>
      <c r="M673" s="0" t="s">
        <v>2335</v>
      </c>
      <c r="N673" s="0" t="n">
        <v>1884</v>
      </c>
      <c r="O673" s="0" t="s">
        <v>515</v>
      </c>
      <c r="P673" s="0" t="n">
        <v>1884</v>
      </c>
      <c r="Q673" s="0" t="s">
        <v>39</v>
      </c>
      <c r="R673" s="0" t="s">
        <v>2330</v>
      </c>
      <c r="S673" s="0" t="s">
        <v>2331</v>
      </c>
      <c r="V673" s="0" t="n">
        <v>1</v>
      </c>
      <c r="W673" s="0" t="n">
        <v>1</v>
      </c>
      <c r="X673" s="0" t="str">
        <f aca="false">"31811012040914"</f>
        <v>31811012040914</v>
      </c>
      <c r="Y673" s="0" t="s">
        <v>39</v>
      </c>
      <c r="Z673" s="0" t="s">
        <v>42</v>
      </c>
      <c r="AA673" s="0" t="s">
        <v>43</v>
      </c>
      <c r="AE673" s="1" t="s">
        <v>52</v>
      </c>
      <c r="AH673" s="1" t="s">
        <v>2332</v>
      </c>
    </row>
    <row r="674" customFormat="false" ht="12.8" hidden="false" customHeight="false" outlineLevel="0" collapsed="false">
      <c r="A674" s="0" t="n">
        <v>284416</v>
      </c>
      <c r="B674" s="0" t="n">
        <v>310852</v>
      </c>
      <c r="C674" s="0" t="n">
        <v>348127</v>
      </c>
      <c r="D674" s="0" t="s">
        <v>35</v>
      </c>
      <c r="E674" s="0" t="s">
        <v>35</v>
      </c>
      <c r="F674" s="0" t="s">
        <v>36</v>
      </c>
      <c r="G674" s="0" t="s">
        <v>500</v>
      </c>
      <c r="H674" s="0" t="s">
        <v>2336</v>
      </c>
      <c r="I674" s="0" t="s">
        <v>2298</v>
      </c>
      <c r="J674" s="0" t="s">
        <v>2337</v>
      </c>
      <c r="M674" s="0" t="s">
        <v>2338</v>
      </c>
      <c r="N674" s="0" t="n">
        <v>1887</v>
      </c>
      <c r="O674" s="0" t="s">
        <v>515</v>
      </c>
      <c r="P674" s="0" t="n">
        <v>1887</v>
      </c>
      <c r="Q674" s="0" t="s">
        <v>39</v>
      </c>
      <c r="R674" s="0" t="s">
        <v>2330</v>
      </c>
      <c r="S674" s="0" t="s">
        <v>2331</v>
      </c>
      <c r="V674" s="0" t="n">
        <v>1</v>
      </c>
      <c r="W674" s="0" t="n">
        <v>1</v>
      </c>
      <c r="X674" s="0" t="str">
        <f aca="false">"31811012040914"</f>
        <v>31811012040914</v>
      </c>
      <c r="Y674" s="0" t="s">
        <v>39</v>
      </c>
      <c r="Z674" s="0" t="s">
        <v>42</v>
      </c>
      <c r="AA674" s="0" t="s">
        <v>43</v>
      </c>
      <c r="AE674" s="1" t="s">
        <v>52</v>
      </c>
      <c r="AH674" s="1" t="s">
        <v>2332</v>
      </c>
    </row>
    <row r="675" customFormat="false" ht="12.8" hidden="false" customHeight="false" outlineLevel="0" collapsed="false">
      <c r="A675" s="0" t="n">
        <v>284417</v>
      </c>
      <c r="B675" s="0" t="n">
        <v>310853</v>
      </c>
      <c r="C675" s="0" t="n">
        <v>348128</v>
      </c>
      <c r="D675" s="0" t="s">
        <v>35</v>
      </c>
      <c r="E675" s="0" t="s">
        <v>35</v>
      </c>
      <c r="F675" s="0" t="s">
        <v>36</v>
      </c>
      <c r="G675" s="0" t="s">
        <v>500</v>
      </c>
      <c r="H675" s="0" t="s">
        <v>2333</v>
      </c>
      <c r="I675" s="0" t="s">
        <v>2298</v>
      </c>
      <c r="J675" s="0" t="s">
        <v>2334</v>
      </c>
      <c r="M675" s="0" t="s">
        <v>2335</v>
      </c>
      <c r="N675" s="0" t="n">
        <v>1884</v>
      </c>
      <c r="O675" s="0" t="s">
        <v>515</v>
      </c>
      <c r="P675" s="0" t="n">
        <v>1884</v>
      </c>
      <c r="Q675" s="0" t="s">
        <v>39</v>
      </c>
      <c r="R675" s="0" t="s">
        <v>2339</v>
      </c>
      <c r="S675" s="0" t="s">
        <v>2340</v>
      </c>
      <c r="V675" s="0" t="n">
        <v>1</v>
      </c>
      <c r="W675" s="0" t="n">
        <v>1</v>
      </c>
      <c r="X675" s="0" t="str">
        <f aca="false">"31811012012905"</f>
        <v>31811012012905</v>
      </c>
      <c r="Y675" s="0" t="s">
        <v>39</v>
      </c>
      <c r="Z675" s="0" t="s">
        <v>42</v>
      </c>
      <c r="AA675" s="0" t="s">
        <v>43</v>
      </c>
      <c r="AE675" s="1" t="s">
        <v>52</v>
      </c>
    </row>
    <row r="676" customFormat="false" ht="12.8" hidden="false" customHeight="false" outlineLevel="0" collapsed="false">
      <c r="A676" s="0" t="n">
        <v>140457</v>
      </c>
      <c r="B676" s="0" t="n">
        <v>151706</v>
      </c>
      <c r="C676" s="0" t="n">
        <v>169698</v>
      </c>
      <c r="D676" s="0" t="s">
        <v>35</v>
      </c>
      <c r="E676" s="0" t="s">
        <v>35</v>
      </c>
      <c r="F676" s="0" t="s">
        <v>36</v>
      </c>
      <c r="G676" s="0" t="s">
        <v>37</v>
      </c>
      <c r="H676" s="0" t="s">
        <v>2341</v>
      </c>
      <c r="J676" s="0" t="s">
        <v>2342</v>
      </c>
      <c r="L676" s="0" t="n">
        <v>870241745</v>
      </c>
      <c r="M676" s="0" t="s">
        <v>2343</v>
      </c>
      <c r="N676" s="0" t="s">
        <v>2344</v>
      </c>
      <c r="O676" s="0" t="s">
        <v>2345</v>
      </c>
      <c r="P676" s="0" t="n">
        <v>1970</v>
      </c>
      <c r="Q676" s="0" t="s">
        <v>39</v>
      </c>
      <c r="R676" s="0" t="s">
        <v>2346</v>
      </c>
      <c r="S676" s="0" t="s">
        <v>2347</v>
      </c>
      <c r="V676" s="0" t="n">
        <v>1</v>
      </c>
      <c r="W676" s="0" t="n">
        <v>1</v>
      </c>
      <c r="X676" s="0" t="str">
        <f aca="false">"31811010357435"</f>
        <v>31811010357435</v>
      </c>
      <c r="Y676" s="0" t="s">
        <v>39</v>
      </c>
      <c r="Z676" s="0" t="s">
        <v>42</v>
      </c>
      <c r="AA676" s="0" t="s">
        <v>43</v>
      </c>
      <c r="AE676" s="1" t="s">
        <v>52</v>
      </c>
      <c r="AH676" s="1" t="s">
        <v>2348</v>
      </c>
    </row>
    <row r="677" customFormat="false" ht="12.8" hidden="false" customHeight="false" outlineLevel="0" collapsed="false">
      <c r="A677" s="0" t="n">
        <v>387440</v>
      </c>
      <c r="B677" s="0" t="n">
        <v>418995</v>
      </c>
      <c r="C677" s="0" t="n">
        <v>467508</v>
      </c>
      <c r="D677" s="0" t="s">
        <v>35</v>
      </c>
      <c r="E677" s="0" t="s">
        <v>35</v>
      </c>
      <c r="F677" s="0" t="s">
        <v>36</v>
      </c>
      <c r="G677" s="0" t="s">
        <v>37</v>
      </c>
      <c r="H677" s="0" t="s">
        <v>2349</v>
      </c>
      <c r="J677" s="0" t="s">
        <v>2350</v>
      </c>
      <c r="M677" s="0" t="s">
        <v>2351</v>
      </c>
      <c r="N677" s="0" t="n">
        <v>1901</v>
      </c>
      <c r="O677" s="0" t="s">
        <v>2352</v>
      </c>
      <c r="P677" s="0" t="n">
        <v>1901</v>
      </c>
      <c r="Q677" s="0" t="s">
        <v>39</v>
      </c>
      <c r="R677" s="0" t="s">
        <v>2353</v>
      </c>
      <c r="S677" s="0" t="s">
        <v>2354</v>
      </c>
      <c r="V677" s="0" t="n">
        <v>1</v>
      </c>
      <c r="W677" s="0" t="n">
        <v>1</v>
      </c>
      <c r="X677" s="0" t="str">
        <f aca="false">"31811010357419"</f>
        <v>31811010357419</v>
      </c>
      <c r="Y677" s="0" t="s">
        <v>39</v>
      </c>
      <c r="Z677" s="0" t="s">
        <v>42</v>
      </c>
      <c r="AA677" s="0" t="s">
        <v>43</v>
      </c>
      <c r="AE677" s="1" t="s">
        <v>52</v>
      </c>
    </row>
    <row r="678" customFormat="false" ht="12.8" hidden="false" customHeight="false" outlineLevel="0" collapsed="false">
      <c r="A678" s="0" t="n">
        <v>247954</v>
      </c>
      <c r="B678" s="0" t="n">
        <v>271718</v>
      </c>
      <c r="C678" s="0" t="n">
        <v>305538</v>
      </c>
      <c r="D678" s="0" t="s">
        <v>35</v>
      </c>
      <c r="E678" s="0" t="s">
        <v>35</v>
      </c>
      <c r="F678" s="0" t="s">
        <v>36</v>
      </c>
      <c r="G678" s="0" t="s">
        <v>37</v>
      </c>
      <c r="H678" s="0" t="s">
        <v>2355</v>
      </c>
      <c r="J678" s="0" t="s">
        <v>2356</v>
      </c>
      <c r="M678" s="0" t="s">
        <v>2357</v>
      </c>
      <c r="N678" s="0" t="s">
        <v>952</v>
      </c>
      <c r="O678" s="0" t="s">
        <v>2358</v>
      </c>
      <c r="P678" s="0" t="n">
        <v>1965</v>
      </c>
      <c r="Q678" s="0" t="s">
        <v>39</v>
      </c>
      <c r="R678" s="0" t="s">
        <v>2359</v>
      </c>
      <c r="S678" s="0" t="s">
        <v>2360</v>
      </c>
      <c r="V678" s="0" t="n">
        <v>1</v>
      </c>
      <c r="W678" s="0" t="n">
        <v>1</v>
      </c>
      <c r="X678" s="0" t="str">
        <f aca="false">"31811010357427"</f>
        <v>31811010357427</v>
      </c>
      <c r="Y678" s="0" t="s">
        <v>39</v>
      </c>
      <c r="Z678" s="0" t="s">
        <v>42</v>
      </c>
      <c r="AA678" s="0" t="s">
        <v>43</v>
      </c>
      <c r="AE678" s="1" t="s">
        <v>52</v>
      </c>
      <c r="AH678" s="1" t="s">
        <v>2348</v>
      </c>
    </row>
    <row r="679" customFormat="false" ht="12.8" hidden="false" customHeight="false" outlineLevel="0" collapsed="false">
      <c r="A679" s="0" t="n">
        <v>507524</v>
      </c>
      <c r="B679" s="0" t="n">
        <v>489211</v>
      </c>
      <c r="C679" s="0" t="n">
        <v>548921</v>
      </c>
      <c r="D679" s="0" t="s">
        <v>35</v>
      </c>
      <c r="E679" s="0" t="s">
        <v>35</v>
      </c>
      <c r="F679" s="0" t="s">
        <v>36</v>
      </c>
      <c r="G679" s="0" t="s">
        <v>37</v>
      </c>
      <c r="H679" s="0" t="s">
        <v>2361</v>
      </c>
      <c r="J679" s="0" t="s">
        <v>2362</v>
      </c>
      <c r="M679" s="0" t="s">
        <v>2363</v>
      </c>
      <c r="N679" s="0" t="n">
        <v>1970</v>
      </c>
      <c r="O679" s="0" t="s">
        <v>2364</v>
      </c>
      <c r="P679" s="0" t="n">
        <v>1970</v>
      </c>
      <c r="Q679" s="0" t="s">
        <v>39</v>
      </c>
      <c r="R679" s="0" t="s">
        <v>2365</v>
      </c>
      <c r="S679" s="0" t="s">
        <v>2366</v>
      </c>
      <c r="T679" s="0" t="s">
        <v>2367</v>
      </c>
      <c r="V679" s="0" t="n">
        <v>1</v>
      </c>
      <c r="W679" s="0" t="n">
        <v>1</v>
      </c>
      <c r="X679" s="0" t="str">
        <f aca="false">"31811003178624"</f>
        <v>31811003178624</v>
      </c>
      <c r="Y679" s="0" t="s">
        <v>39</v>
      </c>
      <c r="Z679" s="0" t="s">
        <v>42</v>
      </c>
      <c r="AA679" s="0" t="s">
        <v>43</v>
      </c>
      <c r="AE679" s="1" t="s">
        <v>52</v>
      </c>
      <c r="AH679" s="1" t="s">
        <v>2368</v>
      </c>
    </row>
    <row r="680" customFormat="false" ht="12.8" hidden="false" customHeight="false" outlineLevel="0" collapsed="false">
      <c r="A680" s="0" t="n">
        <v>507524</v>
      </c>
      <c r="B680" s="0" t="n">
        <v>489211</v>
      </c>
      <c r="C680" s="0" t="n">
        <v>548922</v>
      </c>
      <c r="D680" s="0" t="s">
        <v>35</v>
      </c>
      <c r="E680" s="0" t="s">
        <v>35</v>
      </c>
      <c r="F680" s="0" t="s">
        <v>36</v>
      </c>
      <c r="G680" s="0" t="s">
        <v>37</v>
      </c>
      <c r="H680" s="0" t="s">
        <v>2361</v>
      </c>
      <c r="J680" s="0" t="s">
        <v>2362</v>
      </c>
      <c r="M680" s="0" t="s">
        <v>2363</v>
      </c>
      <c r="N680" s="0" t="n">
        <v>1970</v>
      </c>
      <c r="O680" s="0" t="s">
        <v>2364</v>
      </c>
      <c r="P680" s="0" t="n">
        <v>1970</v>
      </c>
      <c r="Q680" s="0" t="s">
        <v>39</v>
      </c>
      <c r="R680" s="0" t="s">
        <v>2365</v>
      </c>
      <c r="S680" s="0" t="s">
        <v>2366</v>
      </c>
      <c r="T680" s="0" t="s">
        <v>2369</v>
      </c>
      <c r="V680" s="0" t="n">
        <v>1</v>
      </c>
      <c r="W680" s="0" t="n">
        <v>1</v>
      </c>
      <c r="X680" s="0" t="str">
        <f aca="false">"31811003178632"</f>
        <v>31811003178632</v>
      </c>
      <c r="Y680" s="0" t="s">
        <v>39</v>
      </c>
      <c r="Z680" s="0" t="s">
        <v>42</v>
      </c>
      <c r="AA680" s="0" t="s">
        <v>43</v>
      </c>
      <c r="AE680" s="1" t="s">
        <v>52</v>
      </c>
      <c r="AH680" s="1" t="s">
        <v>2368</v>
      </c>
    </row>
    <row r="681" customFormat="false" ht="12.8" hidden="false" customHeight="false" outlineLevel="0" collapsed="false">
      <c r="A681" s="0" t="n">
        <v>274251</v>
      </c>
      <c r="B681" s="0" t="n">
        <v>300060</v>
      </c>
      <c r="C681" s="0" t="n">
        <v>336410</v>
      </c>
      <c r="D681" s="0" t="s">
        <v>35</v>
      </c>
      <c r="E681" s="0" t="s">
        <v>35</v>
      </c>
      <c r="F681" s="0" t="s">
        <v>36</v>
      </c>
      <c r="G681" s="0" t="s">
        <v>37</v>
      </c>
      <c r="H681" s="0" t="s">
        <v>2370</v>
      </c>
      <c r="J681" s="0" t="s">
        <v>2371</v>
      </c>
      <c r="M681" s="0" t="s">
        <v>2372</v>
      </c>
      <c r="N681" s="0" t="n">
        <v>1966</v>
      </c>
      <c r="O681" s="0" t="s">
        <v>2373</v>
      </c>
      <c r="P681" s="0" t="n">
        <v>1966</v>
      </c>
      <c r="Q681" s="0" t="s">
        <v>39</v>
      </c>
      <c r="R681" s="0" t="s">
        <v>2374</v>
      </c>
      <c r="S681" s="0" t="s">
        <v>2375</v>
      </c>
      <c r="V681" s="0" t="n">
        <v>1</v>
      </c>
      <c r="W681" s="0" t="n">
        <v>1</v>
      </c>
      <c r="X681" s="0" t="str">
        <f aca="false">"31811010361221"</f>
        <v>31811010361221</v>
      </c>
      <c r="Y681" s="0" t="s">
        <v>39</v>
      </c>
      <c r="Z681" s="0" t="s">
        <v>42</v>
      </c>
      <c r="AA681" s="0" t="s">
        <v>43</v>
      </c>
      <c r="AE681" s="1" t="s">
        <v>52</v>
      </c>
    </row>
    <row r="682" customFormat="false" ht="12.8" hidden="false" customHeight="false" outlineLevel="0" collapsed="false">
      <c r="A682" s="0" t="n">
        <v>394808</v>
      </c>
      <c r="B682" s="0" t="n">
        <v>426509</v>
      </c>
      <c r="C682" s="0" t="n">
        <v>475590</v>
      </c>
      <c r="D682" s="0" t="s">
        <v>35</v>
      </c>
      <c r="E682" s="0" t="s">
        <v>35</v>
      </c>
      <c r="F682" s="0" t="s">
        <v>480</v>
      </c>
      <c r="G682" s="0" t="s">
        <v>1192</v>
      </c>
      <c r="H682" s="0" t="s">
        <v>2376</v>
      </c>
      <c r="J682" s="0" t="s">
        <v>2376</v>
      </c>
      <c r="M682" s="0" t="s">
        <v>2377</v>
      </c>
      <c r="O682" s="0" t="s">
        <v>2378</v>
      </c>
      <c r="P682" s="0" t="n">
        <v>1946</v>
      </c>
      <c r="Q682" s="0" t="s">
        <v>39</v>
      </c>
      <c r="R682" s="0" t="s">
        <v>2379</v>
      </c>
      <c r="S682" s="0" t="s">
        <v>2380</v>
      </c>
      <c r="T682" s="1" t="s">
        <v>2381</v>
      </c>
      <c r="V682" s="0" t="n">
        <v>1</v>
      </c>
      <c r="W682" s="0" t="n">
        <v>1</v>
      </c>
      <c r="X682" s="0" t="str">
        <f aca="false">"31811012013325"</f>
        <v>31811012013325</v>
      </c>
      <c r="Y682" s="0" t="s">
        <v>39</v>
      </c>
      <c r="Z682" s="0" t="s">
        <v>42</v>
      </c>
      <c r="AA682" s="0" t="s">
        <v>622</v>
      </c>
      <c r="AE682" s="1" t="s">
        <v>52</v>
      </c>
    </row>
    <row r="683" customFormat="false" ht="12.8" hidden="false" customHeight="false" outlineLevel="0" collapsed="false">
      <c r="A683" s="0" t="n">
        <v>394808</v>
      </c>
      <c r="B683" s="0" t="n">
        <v>426509</v>
      </c>
      <c r="C683" s="0" t="n">
        <v>475591</v>
      </c>
      <c r="D683" s="0" t="s">
        <v>35</v>
      </c>
      <c r="E683" s="0" t="s">
        <v>35</v>
      </c>
      <c r="F683" s="0" t="s">
        <v>480</v>
      </c>
      <c r="G683" s="0" t="s">
        <v>1192</v>
      </c>
      <c r="H683" s="0" t="s">
        <v>2376</v>
      </c>
      <c r="J683" s="0" t="s">
        <v>2376</v>
      </c>
      <c r="M683" s="0" t="s">
        <v>2377</v>
      </c>
      <c r="O683" s="0" t="s">
        <v>2378</v>
      </c>
      <c r="P683" s="0" t="n">
        <v>1946</v>
      </c>
      <c r="Q683" s="0" t="s">
        <v>39</v>
      </c>
      <c r="R683" s="0" t="s">
        <v>2379</v>
      </c>
      <c r="S683" s="0" t="s">
        <v>2380</v>
      </c>
      <c r="T683" s="1" t="s">
        <v>2382</v>
      </c>
      <c r="V683" s="0" t="n">
        <v>1</v>
      </c>
      <c r="W683" s="0" t="n">
        <v>1</v>
      </c>
      <c r="X683" s="0" t="str">
        <f aca="false">"31811012013937"</f>
        <v>31811012013937</v>
      </c>
      <c r="Y683" s="0" t="s">
        <v>39</v>
      </c>
      <c r="Z683" s="0" t="s">
        <v>42</v>
      </c>
      <c r="AA683" s="0" t="s">
        <v>622</v>
      </c>
      <c r="AE683" s="1" t="s">
        <v>52</v>
      </c>
    </row>
    <row r="684" customFormat="false" ht="12.8" hidden="false" customHeight="false" outlineLevel="0" collapsed="false">
      <c r="A684" s="0" t="n">
        <v>394808</v>
      </c>
      <c r="B684" s="0" t="n">
        <v>426509</v>
      </c>
      <c r="C684" s="0" t="n">
        <v>475592</v>
      </c>
      <c r="D684" s="0" t="s">
        <v>35</v>
      </c>
      <c r="E684" s="0" t="s">
        <v>35</v>
      </c>
      <c r="F684" s="0" t="s">
        <v>480</v>
      </c>
      <c r="G684" s="0" t="s">
        <v>1192</v>
      </c>
      <c r="H684" s="0" t="s">
        <v>2376</v>
      </c>
      <c r="J684" s="0" t="s">
        <v>2376</v>
      </c>
      <c r="M684" s="0" t="s">
        <v>2377</v>
      </c>
      <c r="O684" s="0" t="s">
        <v>2378</v>
      </c>
      <c r="P684" s="0" t="n">
        <v>1946</v>
      </c>
      <c r="Q684" s="0" t="s">
        <v>39</v>
      </c>
      <c r="R684" s="0" t="s">
        <v>2379</v>
      </c>
      <c r="S684" s="0" t="s">
        <v>2380</v>
      </c>
      <c r="T684" s="1" t="s">
        <v>2383</v>
      </c>
      <c r="V684" s="0" t="n">
        <v>1</v>
      </c>
      <c r="W684" s="0" t="n">
        <v>1</v>
      </c>
      <c r="X684" s="0" t="str">
        <f aca="false">"31811012013945"</f>
        <v>31811012013945</v>
      </c>
      <c r="Y684" s="0" t="s">
        <v>39</v>
      </c>
      <c r="Z684" s="0" t="s">
        <v>42</v>
      </c>
      <c r="AA684" s="0" t="s">
        <v>622</v>
      </c>
      <c r="AE684" s="1" t="s">
        <v>52</v>
      </c>
    </row>
    <row r="685" customFormat="false" ht="12.8" hidden="false" customHeight="false" outlineLevel="0" collapsed="false">
      <c r="A685" s="0" t="n">
        <v>394808</v>
      </c>
      <c r="B685" s="0" t="n">
        <v>426509</v>
      </c>
      <c r="C685" s="0" t="n">
        <v>475593</v>
      </c>
      <c r="D685" s="0" t="s">
        <v>35</v>
      </c>
      <c r="E685" s="0" t="s">
        <v>35</v>
      </c>
      <c r="F685" s="0" t="s">
        <v>480</v>
      </c>
      <c r="G685" s="0" t="s">
        <v>1192</v>
      </c>
      <c r="H685" s="0" t="s">
        <v>2376</v>
      </c>
      <c r="J685" s="0" t="s">
        <v>2376</v>
      </c>
      <c r="M685" s="0" t="s">
        <v>2377</v>
      </c>
      <c r="O685" s="0" t="s">
        <v>2378</v>
      </c>
      <c r="P685" s="0" t="n">
        <v>1946</v>
      </c>
      <c r="Q685" s="0" t="s">
        <v>39</v>
      </c>
      <c r="R685" s="0" t="s">
        <v>2379</v>
      </c>
      <c r="S685" s="0" t="s">
        <v>2380</v>
      </c>
      <c r="T685" s="1" t="s">
        <v>2384</v>
      </c>
      <c r="V685" s="0" t="n">
        <v>1</v>
      </c>
      <c r="W685" s="0" t="n">
        <v>1</v>
      </c>
      <c r="X685" s="0" t="str">
        <f aca="false">"31811012013952"</f>
        <v>31811012013952</v>
      </c>
      <c r="Y685" s="0" t="s">
        <v>39</v>
      </c>
      <c r="Z685" s="0" t="s">
        <v>42</v>
      </c>
      <c r="AA685" s="0" t="s">
        <v>622</v>
      </c>
      <c r="AE685" s="1" t="s">
        <v>52</v>
      </c>
    </row>
    <row r="686" customFormat="false" ht="12.8" hidden="false" customHeight="false" outlineLevel="0" collapsed="false">
      <c r="A686" s="0" t="n">
        <v>394808</v>
      </c>
      <c r="B686" s="0" t="n">
        <v>426509</v>
      </c>
      <c r="C686" s="0" t="n">
        <v>475594</v>
      </c>
      <c r="D686" s="0" t="s">
        <v>35</v>
      </c>
      <c r="E686" s="0" t="s">
        <v>35</v>
      </c>
      <c r="F686" s="0" t="s">
        <v>480</v>
      </c>
      <c r="G686" s="0" t="s">
        <v>1192</v>
      </c>
      <c r="H686" s="0" t="s">
        <v>2376</v>
      </c>
      <c r="J686" s="0" t="s">
        <v>2376</v>
      </c>
      <c r="M686" s="0" t="s">
        <v>2377</v>
      </c>
      <c r="O686" s="0" t="s">
        <v>2378</v>
      </c>
      <c r="P686" s="0" t="n">
        <v>1946</v>
      </c>
      <c r="Q686" s="0" t="s">
        <v>39</v>
      </c>
      <c r="R686" s="0" t="s">
        <v>2379</v>
      </c>
      <c r="S686" s="0" t="s">
        <v>2380</v>
      </c>
      <c r="T686" s="0" t="n">
        <v>1948</v>
      </c>
      <c r="V686" s="0" t="n">
        <v>1</v>
      </c>
      <c r="W686" s="0" t="n">
        <v>1</v>
      </c>
      <c r="X686" s="0" t="str">
        <f aca="false">"31811012013960"</f>
        <v>31811012013960</v>
      </c>
      <c r="Y686" s="0" t="s">
        <v>39</v>
      </c>
      <c r="Z686" s="0" t="s">
        <v>42</v>
      </c>
      <c r="AA686" s="0" t="s">
        <v>622</v>
      </c>
      <c r="AE686" s="1" t="s">
        <v>52</v>
      </c>
    </row>
    <row r="687" customFormat="false" ht="12.8" hidden="false" customHeight="false" outlineLevel="0" collapsed="false">
      <c r="A687" s="0" t="n">
        <v>394808</v>
      </c>
      <c r="B687" s="0" t="n">
        <v>426509</v>
      </c>
      <c r="C687" s="0" t="n">
        <v>475595</v>
      </c>
      <c r="D687" s="0" t="s">
        <v>35</v>
      </c>
      <c r="E687" s="0" t="s">
        <v>35</v>
      </c>
      <c r="F687" s="0" t="s">
        <v>480</v>
      </c>
      <c r="G687" s="0" t="s">
        <v>1192</v>
      </c>
      <c r="H687" s="0" t="s">
        <v>2376</v>
      </c>
      <c r="J687" s="0" t="s">
        <v>2376</v>
      </c>
      <c r="M687" s="0" t="s">
        <v>2377</v>
      </c>
      <c r="O687" s="0" t="s">
        <v>2378</v>
      </c>
      <c r="P687" s="0" t="n">
        <v>1946</v>
      </c>
      <c r="Q687" s="0" t="s">
        <v>39</v>
      </c>
      <c r="R687" s="0" t="s">
        <v>2379</v>
      </c>
      <c r="S687" s="0" t="s">
        <v>2380</v>
      </c>
      <c r="T687" s="0" t="n">
        <v>1947</v>
      </c>
      <c r="V687" s="0" t="n">
        <v>1</v>
      </c>
      <c r="W687" s="0" t="n">
        <v>1</v>
      </c>
      <c r="X687" s="0" t="str">
        <f aca="false">"31811012012608"</f>
        <v>31811012012608</v>
      </c>
      <c r="Y687" s="0" t="s">
        <v>39</v>
      </c>
      <c r="Z687" s="0" t="s">
        <v>42</v>
      </c>
      <c r="AA687" s="0" t="s">
        <v>622</v>
      </c>
      <c r="AE687" s="1" t="s">
        <v>52</v>
      </c>
    </row>
    <row r="688" customFormat="false" ht="12.8" hidden="false" customHeight="false" outlineLevel="0" collapsed="false">
      <c r="A688" s="0" t="n">
        <v>394808</v>
      </c>
      <c r="B688" s="0" t="n">
        <v>426509</v>
      </c>
      <c r="C688" s="0" t="n">
        <v>475596</v>
      </c>
      <c r="D688" s="0" t="s">
        <v>35</v>
      </c>
      <c r="E688" s="0" t="s">
        <v>35</v>
      </c>
      <c r="F688" s="0" t="s">
        <v>480</v>
      </c>
      <c r="G688" s="0" t="s">
        <v>1192</v>
      </c>
      <c r="H688" s="0" t="s">
        <v>2376</v>
      </c>
      <c r="J688" s="0" t="s">
        <v>2376</v>
      </c>
      <c r="M688" s="0" t="s">
        <v>2377</v>
      </c>
      <c r="O688" s="0" t="s">
        <v>2378</v>
      </c>
      <c r="P688" s="0" t="n">
        <v>1946</v>
      </c>
      <c r="Q688" s="0" t="s">
        <v>39</v>
      </c>
      <c r="R688" s="0" t="s">
        <v>2379</v>
      </c>
      <c r="S688" s="0" t="s">
        <v>2380</v>
      </c>
      <c r="T688" s="0" t="n">
        <v>1946</v>
      </c>
      <c r="V688" s="0" t="n">
        <v>1</v>
      </c>
      <c r="W688" s="0" t="n">
        <v>1</v>
      </c>
      <c r="X688" s="0" t="str">
        <f aca="false">"31811012012681"</f>
        <v>31811012012681</v>
      </c>
      <c r="Y688" s="0" t="s">
        <v>39</v>
      </c>
      <c r="Z688" s="0" t="s">
        <v>42</v>
      </c>
      <c r="AA688" s="0" t="s">
        <v>622</v>
      </c>
      <c r="AE688" s="1" t="s">
        <v>52</v>
      </c>
    </row>
    <row r="689" customFormat="false" ht="12.8" hidden="false" customHeight="false" outlineLevel="0" collapsed="false">
      <c r="A689" s="0" t="n">
        <v>520464</v>
      </c>
      <c r="B689" s="0" t="n">
        <v>557879</v>
      </c>
      <c r="C689" s="0" t="n">
        <v>630104</v>
      </c>
      <c r="D689" s="0" t="s">
        <v>35</v>
      </c>
      <c r="E689" s="0" t="s">
        <v>35</v>
      </c>
      <c r="F689" s="0" t="s">
        <v>480</v>
      </c>
      <c r="G689" s="0" t="s">
        <v>37</v>
      </c>
      <c r="H689" s="0" t="s">
        <v>2385</v>
      </c>
      <c r="J689" s="0" t="s">
        <v>2385</v>
      </c>
      <c r="M689" s="0" t="s">
        <v>2386</v>
      </c>
      <c r="N689" s="1" t="s">
        <v>2387</v>
      </c>
      <c r="O689" s="0" t="s">
        <v>2388</v>
      </c>
      <c r="P689" s="0" t="n">
        <v>1938</v>
      </c>
      <c r="Q689" s="0" t="s">
        <v>39</v>
      </c>
      <c r="R689" s="0" t="s">
        <v>2389</v>
      </c>
      <c r="S689" s="0" t="s">
        <v>2390</v>
      </c>
      <c r="T689" s="0" t="s">
        <v>2391</v>
      </c>
      <c r="V689" s="0" t="n">
        <v>1</v>
      </c>
      <c r="W689" s="0" t="n">
        <v>1</v>
      </c>
      <c r="X689" s="0" t="str">
        <f aca="false">"31811012059898"</f>
        <v>31811012059898</v>
      </c>
      <c r="Y689" s="0" t="s">
        <v>39</v>
      </c>
      <c r="Z689" s="0" t="s">
        <v>42</v>
      </c>
      <c r="AA689" s="0" t="s">
        <v>43</v>
      </c>
      <c r="AE689" s="1" t="s">
        <v>52</v>
      </c>
    </row>
    <row r="690" customFormat="false" ht="12.8" hidden="false" customHeight="false" outlineLevel="0" collapsed="false">
      <c r="A690" s="0" t="n">
        <v>330545</v>
      </c>
      <c r="B690" s="0" t="n">
        <v>359086</v>
      </c>
      <c r="C690" s="0" t="n">
        <v>400344</v>
      </c>
      <c r="D690" s="0" t="s">
        <v>35</v>
      </c>
      <c r="E690" s="0" t="s">
        <v>35</v>
      </c>
      <c r="F690" s="0" t="s">
        <v>36</v>
      </c>
      <c r="G690" s="0" t="s">
        <v>37</v>
      </c>
      <c r="H690" s="0" t="s">
        <v>2392</v>
      </c>
      <c r="I690" s="0" t="s">
        <v>2393</v>
      </c>
      <c r="J690" s="0" t="s">
        <v>2394</v>
      </c>
      <c r="M690" s="0" t="s">
        <v>2395</v>
      </c>
      <c r="N690" s="0" t="n">
        <v>1965</v>
      </c>
      <c r="O690" s="0" t="s">
        <v>2396</v>
      </c>
      <c r="P690" s="0" t="n">
        <v>1965</v>
      </c>
      <c r="Q690" s="0" t="s">
        <v>39</v>
      </c>
      <c r="R690" s="0" t="s">
        <v>2397</v>
      </c>
      <c r="S690" s="0" t="s">
        <v>2398</v>
      </c>
      <c r="V690" s="0" t="n">
        <v>1</v>
      </c>
      <c r="W690" s="0" t="n">
        <v>1</v>
      </c>
      <c r="X690" s="0" t="str">
        <f aca="false">"31811010386673"</f>
        <v>31811010386673</v>
      </c>
      <c r="Y690" s="0" t="s">
        <v>39</v>
      </c>
      <c r="Z690" s="0" t="s">
        <v>42</v>
      </c>
      <c r="AA690" s="0" t="s">
        <v>43</v>
      </c>
      <c r="AE690" s="1" t="s">
        <v>52</v>
      </c>
    </row>
    <row r="691" customFormat="false" ht="12.8" hidden="false" customHeight="false" outlineLevel="0" collapsed="false">
      <c r="A691" s="0" t="n">
        <v>266488</v>
      </c>
      <c r="B691" s="0" t="n">
        <v>291793</v>
      </c>
      <c r="C691" s="0" t="n">
        <v>327574</v>
      </c>
      <c r="D691" s="0" t="s">
        <v>35</v>
      </c>
      <c r="E691" s="0" t="s">
        <v>35</v>
      </c>
      <c r="F691" s="0" t="s">
        <v>480</v>
      </c>
      <c r="G691" s="0" t="s">
        <v>37</v>
      </c>
      <c r="H691" s="0" t="s">
        <v>2399</v>
      </c>
      <c r="J691" s="0" t="s">
        <v>2399</v>
      </c>
      <c r="M691" s="0" t="s">
        <v>2400</v>
      </c>
      <c r="N691" s="1" t="s">
        <v>2401</v>
      </c>
      <c r="O691" s="0" t="s">
        <v>2402</v>
      </c>
      <c r="P691" s="0" t="n">
        <v>1873</v>
      </c>
      <c r="Q691" s="0" t="s">
        <v>39</v>
      </c>
      <c r="R691" s="0" t="s">
        <v>2403</v>
      </c>
      <c r="S691" s="0" t="s">
        <v>2404</v>
      </c>
      <c r="T691" s="0" t="s">
        <v>2405</v>
      </c>
      <c r="V691" s="0" t="n">
        <v>1</v>
      </c>
      <c r="W691" s="0" t="n">
        <v>1</v>
      </c>
      <c r="X691" s="0" t="str">
        <f aca="false">"31811012021583"</f>
        <v>31811012021583</v>
      </c>
      <c r="Y691" s="0" t="s">
        <v>39</v>
      </c>
      <c r="Z691" s="0" t="s">
        <v>42</v>
      </c>
      <c r="AA691" s="0" t="s">
        <v>622</v>
      </c>
      <c r="AE691" s="1" t="s">
        <v>52</v>
      </c>
    </row>
    <row r="692" customFormat="false" ht="12.8" hidden="false" customHeight="false" outlineLevel="0" collapsed="false">
      <c r="A692" s="0" t="n">
        <v>135222</v>
      </c>
      <c r="B692" s="0" t="n">
        <v>145761</v>
      </c>
      <c r="C692" s="0" t="n">
        <v>162105</v>
      </c>
      <c r="D692" s="0" t="s">
        <v>35</v>
      </c>
      <c r="E692" s="0" t="s">
        <v>35</v>
      </c>
      <c r="F692" s="0" t="s">
        <v>480</v>
      </c>
      <c r="G692" s="0" t="s">
        <v>37</v>
      </c>
      <c r="H692" s="0" t="s">
        <v>2406</v>
      </c>
      <c r="J692" s="0" t="s">
        <v>2406</v>
      </c>
      <c r="M692" s="0" t="s">
        <v>2407</v>
      </c>
      <c r="O692" s="0" t="s">
        <v>2408</v>
      </c>
      <c r="P692" s="0" t="n">
        <v>1957</v>
      </c>
      <c r="Q692" s="0" t="s">
        <v>39</v>
      </c>
      <c r="R692" s="0" t="s">
        <v>2409</v>
      </c>
      <c r="S692" s="0" t="s">
        <v>2410</v>
      </c>
      <c r="T692" s="0" t="s">
        <v>2411</v>
      </c>
      <c r="V692" s="0" t="n">
        <v>1</v>
      </c>
      <c r="W692" s="0" t="n">
        <v>1</v>
      </c>
      <c r="X692" s="0" t="str">
        <f aca="false">"31811012046853"</f>
        <v>31811012046853</v>
      </c>
      <c r="Y692" s="0" t="s">
        <v>39</v>
      </c>
      <c r="Z692" s="0" t="s">
        <v>42</v>
      </c>
      <c r="AA692" s="0" t="s">
        <v>622</v>
      </c>
      <c r="AE692" s="1" t="s">
        <v>52</v>
      </c>
    </row>
    <row r="693" customFormat="false" ht="12.8" hidden="false" customHeight="false" outlineLevel="0" collapsed="false">
      <c r="A693" s="0" t="n">
        <v>135222</v>
      </c>
      <c r="B693" s="0" t="n">
        <v>145761</v>
      </c>
      <c r="C693" s="0" t="n">
        <v>162106</v>
      </c>
      <c r="D693" s="0" t="s">
        <v>35</v>
      </c>
      <c r="E693" s="0" t="s">
        <v>35</v>
      </c>
      <c r="F693" s="0" t="s">
        <v>480</v>
      </c>
      <c r="G693" s="0" t="s">
        <v>37</v>
      </c>
      <c r="H693" s="0" t="s">
        <v>2406</v>
      </c>
      <c r="J693" s="0" t="s">
        <v>2406</v>
      </c>
      <c r="M693" s="0" t="s">
        <v>2407</v>
      </c>
      <c r="O693" s="0" t="s">
        <v>2408</v>
      </c>
      <c r="P693" s="0" t="n">
        <v>1957</v>
      </c>
      <c r="Q693" s="0" t="s">
        <v>39</v>
      </c>
      <c r="R693" s="0" t="s">
        <v>2409</v>
      </c>
      <c r="S693" s="0" t="s">
        <v>2410</v>
      </c>
      <c r="T693" s="0" t="s">
        <v>2412</v>
      </c>
      <c r="V693" s="0" t="n">
        <v>1</v>
      </c>
      <c r="W693" s="0" t="n">
        <v>1</v>
      </c>
      <c r="X693" s="0" t="str">
        <f aca="false">"31811012046861"</f>
        <v>31811012046861</v>
      </c>
      <c r="Y693" s="0" t="s">
        <v>39</v>
      </c>
      <c r="Z693" s="0" t="s">
        <v>42</v>
      </c>
      <c r="AA693" s="0" t="s">
        <v>622</v>
      </c>
      <c r="AE693" s="1" t="s">
        <v>52</v>
      </c>
    </row>
    <row r="694" customFormat="false" ht="12.8" hidden="false" customHeight="false" outlineLevel="0" collapsed="false">
      <c r="A694" s="0" t="n">
        <v>135222</v>
      </c>
      <c r="B694" s="0" t="n">
        <v>145761</v>
      </c>
      <c r="C694" s="0" t="n">
        <v>162107</v>
      </c>
      <c r="D694" s="0" t="s">
        <v>35</v>
      </c>
      <c r="E694" s="0" t="s">
        <v>35</v>
      </c>
      <c r="F694" s="0" t="s">
        <v>480</v>
      </c>
      <c r="G694" s="0" t="s">
        <v>37</v>
      </c>
      <c r="H694" s="0" t="s">
        <v>2406</v>
      </c>
      <c r="J694" s="0" t="s">
        <v>2406</v>
      </c>
      <c r="M694" s="0" t="s">
        <v>2407</v>
      </c>
      <c r="O694" s="0" t="s">
        <v>2408</v>
      </c>
      <c r="P694" s="0" t="n">
        <v>1957</v>
      </c>
      <c r="Q694" s="0" t="s">
        <v>39</v>
      </c>
      <c r="R694" s="0" t="s">
        <v>2409</v>
      </c>
      <c r="S694" s="0" t="s">
        <v>2410</v>
      </c>
      <c r="T694" s="0" t="s">
        <v>2413</v>
      </c>
      <c r="V694" s="0" t="n">
        <v>1</v>
      </c>
      <c r="W694" s="0" t="n">
        <v>1</v>
      </c>
      <c r="X694" s="0" t="str">
        <f aca="false">"31811012046879"</f>
        <v>31811012046879</v>
      </c>
      <c r="Y694" s="0" t="s">
        <v>39</v>
      </c>
      <c r="Z694" s="0" t="s">
        <v>42</v>
      </c>
      <c r="AA694" s="0" t="s">
        <v>622</v>
      </c>
      <c r="AE694" s="1" t="s">
        <v>52</v>
      </c>
    </row>
    <row r="695" customFormat="false" ht="12.8" hidden="false" customHeight="false" outlineLevel="0" collapsed="false">
      <c r="A695" s="0" t="n">
        <v>135222</v>
      </c>
      <c r="B695" s="0" t="n">
        <v>145761</v>
      </c>
      <c r="C695" s="0" t="n">
        <v>162108</v>
      </c>
      <c r="D695" s="0" t="s">
        <v>35</v>
      </c>
      <c r="E695" s="0" t="s">
        <v>35</v>
      </c>
      <c r="F695" s="0" t="s">
        <v>480</v>
      </c>
      <c r="G695" s="0" t="s">
        <v>37</v>
      </c>
      <c r="H695" s="0" t="s">
        <v>2406</v>
      </c>
      <c r="J695" s="0" t="s">
        <v>2406</v>
      </c>
      <c r="M695" s="0" t="s">
        <v>2407</v>
      </c>
      <c r="O695" s="0" t="s">
        <v>2408</v>
      </c>
      <c r="P695" s="0" t="n">
        <v>1957</v>
      </c>
      <c r="Q695" s="0" t="s">
        <v>39</v>
      </c>
      <c r="R695" s="0" t="s">
        <v>2409</v>
      </c>
      <c r="S695" s="0" t="s">
        <v>2410</v>
      </c>
      <c r="T695" s="0" t="s">
        <v>2414</v>
      </c>
      <c r="V695" s="0" t="n">
        <v>1</v>
      </c>
      <c r="W695" s="0" t="n">
        <v>1</v>
      </c>
      <c r="X695" s="0" t="str">
        <f aca="false">"31811012046887"</f>
        <v>31811012046887</v>
      </c>
      <c r="Y695" s="0" t="s">
        <v>39</v>
      </c>
      <c r="Z695" s="0" t="s">
        <v>42</v>
      </c>
      <c r="AA695" s="0" t="s">
        <v>622</v>
      </c>
      <c r="AE695" s="1" t="s">
        <v>52</v>
      </c>
    </row>
    <row r="696" customFormat="false" ht="12.8" hidden="false" customHeight="false" outlineLevel="0" collapsed="false">
      <c r="A696" s="0" t="n">
        <v>135222</v>
      </c>
      <c r="B696" s="0" t="n">
        <v>145761</v>
      </c>
      <c r="C696" s="0" t="n">
        <v>162109</v>
      </c>
      <c r="D696" s="0" t="s">
        <v>35</v>
      </c>
      <c r="E696" s="0" t="s">
        <v>35</v>
      </c>
      <c r="F696" s="0" t="s">
        <v>480</v>
      </c>
      <c r="G696" s="0" t="s">
        <v>37</v>
      </c>
      <c r="H696" s="0" t="s">
        <v>2406</v>
      </c>
      <c r="J696" s="0" t="s">
        <v>2406</v>
      </c>
      <c r="M696" s="0" t="s">
        <v>2407</v>
      </c>
      <c r="O696" s="0" t="s">
        <v>2408</v>
      </c>
      <c r="P696" s="0" t="n">
        <v>1957</v>
      </c>
      <c r="Q696" s="0" t="s">
        <v>39</v>
      </c>
      <c r="R696" s="0" t="s">
        <v>2409</v>
      </c>
      <c r="S696" s="0" t="s">
        <v>2410</v>
      </c>
      <c r="T696" s="0" t="s">
        <v>2415</v>
      </c>
      <c r="V696" s="0" t="n">
        <v>1</v>
      </c>
      <c r="W696" s="0" t="n">
        <v>1</v>
      </c>
      <c r="X696" s="0" t="str">
        <f aca="false">"31811012047174"</f>
        <v>31811012047174</v>
      </c>
      <c r="Y696" s="0" t="s">
        <v>39</v>
      </c>
      <c r="Z696" s="0" t="s">
        <v>42</v>
      </c>
      <c r="AA696" s="0" t="s">
        <v>622</v>
      </c>
      <c r="AE696" s="1" t="s">
        <v>52</v>
      </c>
    </row>
    <row r="697" customFormat="false" ht="12.8" hidden="false" customHeight="false" outlineLevel="0" collapsed="false">
      <c r="A697" s="0" t="n">
        <v>135222</v>
      </c>
      <c r="B697" s="0" t="n">
        <v>145761</v>
      </c>
      <c r="C697" s="0" t="n">
        <v>162110</v>
      </c>
      <c r="D697" s="0" t="s">
        <v>35</v>
      </c>
      <c r="E697" s="0" t="s">
        <v>35</v>
      </c>
      <c r="F697" s="0" t="s">
        <v>480</v>
      </c>
      <c r="G697" s="0" t="s">
        <v>37</v>
      </c>
      <c r="H697" s="0" t="s">
        <v>2406</v>
      </c>
      <c r="J697" s="0" t="s">
        <v>2406</v>
      </c>
      <c r="M697" s="0" t="s">
        <v>2407</v>
      </c>
      <c r="O697" s="0" t="s">
        <v>2408</v>
      </c>
      <c r="P697" s="0" t="n">
        <v>1957</v>
      </c>
      <c r="Q697" s="0" t="s">
        <v>39</v>
      </c>
      <c r="R697" s="0" t="s">
        <v>2409</v>
      </c>
      <c r="S697" s="0" t="s">
        <v>2410</v>
      </c>
      <c r="T697" s="0" t="s">
        <v>2416</v>
      </c>
      <c r="V697" s="0" t="n">
        <v>1</v>
      </c>
      <c r="W697" s="0" t="n">
        <v>1</v>
      </c>
      <c r="X697" s="0" t="str">
        <f aca="false">"31811012047182"</f>
        <v>31811012047182</v>
      </c>
      <c r="Y697" s="0" t="s">
        <v>39</v>
      </c>
      <c r="Z697" s="0" t="s">
        <v>42</v>
      </c>
      <c r="AA697" s="0" t="s">
        <v>622</v>
      </c>
      <c r="AE697" s="1" t="s">
        <v>52</v>
      </c>
    </row>
    <row r="698" customFormat="false" ht="12.8" hidden="false" customHeight="false" outlineLevel="0" collapsed="false">
      <c r="A698" s="0" t="n">
        <v>135222</v>
      </c>
      <c r="B698" s="0" t="n">
        <v>145761</v>
      </c>
      <c r="C698" s="0" t="n">
        <v>162111</v>
      </c>
      <c r="D698" s="0" t="s">
        <v>35</v>
      </c>
      <c r="E698" s="0" t="s">
        <v>35</v>
      </c>
      <c r="F698" s="0" t="s">
        <v>480</v>
      </c>
      <c r="G698" s="0" t="s">
        <v>37</v>
      </c>
      <c r="H698" s="0" t="s">
        <v>2406</v>
      </c>
      <c r="J698" s="0" t="s">
        <v>2406</v>
      </c>
      <c r="M698" s="0" t="s">
        <v>2407</v>
      </c>
      <c r="O698" s="0" t="s">
        <v>2408</v>
      </c>
      <c r="P698" s="0" t="n">
        <v>1957</v>
      </c>
      <c r="Q698" s="0" t="s">
        <v>39</v>
      </c>
      <c r="R698" s="0" t="s">
        <v>2409</v>
      </c>
      <c r="S698" s="0" t="s">
        <v>2410</v>
      </c>
      <c r="T698" s="0" t="s">
        <v>2417</v>
      </c>
      <c r="V698" s="0" t="n">
        <v>1</v>
      </c>
      <c r="W698" s="0" t="n">
        <v>1</v>
      </c>
      <c r="X698" s="0" t="str">
        <f aca="false">"31811012047190"</f>
        <v>31811012047190</v>
      </c>
      <c r="Y698" s="0" t="s">
        <v>39</v>
      </c>
      <c r="Z698" s="0" t="s">
        <v>42</v>
      </c>
      <c r="AA698" s="0" t="s">
        <v>622</v>
      </c>
      <c r="AE698" s="1" t="s">
        <v>52</v>
      </c>
    </row>
    <row r="699" customFormat="false" ht="12.8" hidden="false" customHeight="false" outlineLevel="0" collapsed="false">
      <c r="A699" s="0" t="n">
        <v>135222</v>
      </c>
      <c r="B699" s="0" t="n">
        <v>145761</v>
      </c>
      <c r="C699" s="0" t="n">
        <v>162112</v>
      </c>
      <c r="D699" s="0" t="s">
        <v>35</v>
      </c>
      <c r="E699" s="0" t="s">
        <v>35</v>
      </c>
      <c r="F699" s="0" t="s">
        <v>480</v>
      </c>
      <c r="G699" s="0" t="s">
        <v>37</v>
      </c>
      <c r="H699" s="0" t="s">
        <v>2406</v>
      </c>
      <c r="J699" s="0" t="s">
        <v>2406</v>
      </c>
      <c r="M699" s="0" t="s">
        <v>2407</v>
      </c>
      <c r="O699" s="0" t="s">
        <v>2408</v>
      </c>
      <c r="P699" s="0" t="n">
        <v>1957</v>
      </c>
      <c r="Q699" s="0" t="s">
        <v>39</v>
      </c>
      <c r="R699" s="0" t="s">
        <v>2409</v>
      </c>
      <c r="S699" s="0" t="s">
        <v>2410</v>
      </c>
      <c r="T699" s="0" t="s">
        <v>2418</v>
      </c>
      <c r="V699" s="0" t="n">
        <v>1</v>
      </c>
      <c r="W699" s="0" t="n">
        <v>1</v>
      </c>
      <c r="X699" s="0" t="str">
        <f aca="false">"31811012047208"</f>
        <v>31811012047208</v>
      </c>
      <c r="Y699" s="0" t="s">
        <v>39</v>
      </c>
      <c r="Z699" s="0" t="s">
        <v>42</v>
      </c>
      <c r="AA699" s="0" t="s">
        <v>622</v>
      </c>
      <c r="AE699" s="1" t="s">
        <v>52</v>
      </c>
    </row>
    <row r="700" customFormat="false" ht="12.8" hidden="false" customHeight="false" outlineLevel="0" collapsed="false">
      <c r="A700" s="0" t="n">
        <v>135222</v>
      </c>
      <c r="B700" s="0" t="n">
        <v>145761</v>
      </c>
      <c r="C700" s="0" t="n">
        <v>162113</v>
      </c>
      <c r="D700" s="0" t="s">
        <v>35</v>
      </c>
      <c r="E700" s="0" t="s">
        <v>35</v>
      </c>
      <c r="F700" s="0" t="s">
        <v>480</v>
      </c>
      <c r="G700" s="0" t="s">
        <v>37</v>
      </c>
      <c r="H700" s="0" t="s">
        <v>2406</v>
      </c>
      <c r="J700" s="0" t="s">
        <v>2406</v>
      </c>
      <c r="M700" s="0" t="s">
        <v>2407</v>
      </c>
      <c r="O700" s="0" t="s">
        <v>2408</v>
      </c>
      <c r="P700" s="0" t="n">
        <v>1957</v>
      </c>
      <c r="Q700" s="0" t="s">
        <v>39</v>
      </c>
      <c r="R700" s="0" t="s">
        <v>2409</v>
      </c>
      <c r="S700" s="0" t="s">
        <v>2410</v>
      </c>
      <c r="T700" s="0" t="s">
        <v>2419</v>
      </c>
      <c r="V700" s="0" t="n">
        <v>1</v>
      </c>
      <c r="W700" s="0" t="n">
        <v>1</v>
      </c>
      <c r="X700" s="0" t="str">
        <f aca="false">"31811012047497"</f>
        <v>31811012047497</v>
      </c>
      <c r="Y700" s="0" t="s">
        <v>39</v>
      </c>
      <c r="Z700" s="0" t="s">
        <v>42</v>
      </c>
      <c r="AA700" s="0" t="s">
        <v>622</v>
      </c>
      <c r="AE700" s="1" t="s">
        <v>52</v>
      </c>
    </row>
    <row r="701" customFormat="false" ht="12.8" hidden="false" customHeight="false" outlineLevel="0" collapsed="false">
      <c r="A701" s="0" t="n">
        <v>135222</v>
      </c>
      <c r="B701" s="0" t="n">
        <v>145761</v>
      </c>
      <c r="C701" s="0" t="n">
        <v>162114</v>
      </c>
      <c r="D701" s="0" t="s">
        <v>35</v>
      </c>
      <c r="E701" s="0" t="s">
        <v>35</v>
      </c>
      <c r="F701" s="0" t="s">
        <v>480</v>
      </c>
      <c r="G701" s="0" t="s">
        <v>37</v>
      </c>
      <c r="H701" s="0" t="s">
        <v>2406</v>
      </c>
      <c r="J701" s="0" t="s">
        <v>2406</v>
      </c>
      <c r="M701" s="0" t="s">
        <v>2407</v>
      </c>
      <c r="O701" s="0" t="s">
        <v>2408</v>
      </c>
      <c r="P701" s="0" t="n">
        <v>1957</v>
      </c>
      <c r="Q701" s="0" t="s">
        <v>39</v>
      </c>
      <c r="R701" s="0" t="s">
        <v>2409</v>
      </c>
      <c r="S701" s="0" t="s">
        <v>2410</v>
      </c>
      <c r="T701" s="0" t="s">
        <v>2420</v>
      </c>
      <c r="V701" s="0" t="n">
        <v>1</v>
      </c>
      <c r="W701" s="0" t="n">
        <v>1</v>
      </c>
      <c r="X701" s="0" t="str">
        <f aca="false">"31811012047505"</f>
        <v>31811012047505</v>
      </c>
      <c r="Y701" s="0" t="s">
        <v>39</v>
      </c>
      <c r="Z701" s="0" t="s">
        <v>42</v>
      </c>
      <c r="AA701" s="0" t="s">
        <v>622</v>
      </c>
      <c r="AE701" s="1" t="s">
        <v>52</v>
      </c>
    </row>
    <row r="702" customFormat="false" ht="12.8" hidden="false" customHeight="false" outlineLevel="0" collapsed="false">
      <c r="A702" s="0" t="n">
        <v>135222</v>
      </c>
      <c r="B702" s="0" t="n">
        <v>145761</v>
      </c>
      <c r="C702" s="0" t="n">
        <v>162115</v>
      </c>
      <c r="D702" s="0" t="s">
        <v>35</v>
      </c>
      <c r="E702" s="0" t="s">
        <v>35</v>
      </c>
      <c r="F702" s="0" t="s">
        <v>480</v>
      </c>
      <c r="G702" s="0" t="s">
        <v>37</v>
      </c>
      <c r="H702" s="0" t="s">
        <v>2406</v>
      </c>
      <c r="J702" s="0" t="s">
        <v>2406</v>
      </c>
      <c r="M702" s="0" t="s">
        <v>2407</v>
      </c>
      <c r="O702" s="0" t="s">
        <v>2408</v>
      </c>
      <c r="P702" s="0" t="n">
        <v>1957</v>
      </c>
      <c r="Q702" s="0" t="s">
        <v>39</v>
      </c>
      <c r="R702" s="0" t="s">
        <v>2409</v>
      </c>
      <c r="S702" s="0" t="s">
        <v>2410</v>
      </c>
      <c r="T702" s="0" t="s">
        <v>2421</v>
      </c>
      <c r="V702" s="0" t="n">
        <v>1</v>
      </c>
      <c r="W702" s="0" t="n">
        <v>1</v>
      </c>
      <c r="X702" s="0" t="str">
        <f aca="false">"31811012047513"</f>
        <v>31811012047513</v>
      </c>
      <c r="Y702" s="0" t="s">
        <v>39</v>
      </c>
      <c r="Z702" s="0" t="s">
        <v>42</v>
      </c>
      <c r="AA702" s="0" t="s">
        <v>622</v>
      </c>
      <c r="AE702" s="1" t="s">
        <v>52</v>
      </c>
    </row>
    <row r="703" customFormat="false" ht="12.8" hidden="false" customHeight="false" outlineLevel="0" collapsed="false">
      <c r="A703" s="0" t="n">
        <v>135222</v>
      </c>
      <c r="B703" s="0" t="n">
        <v>145761</v>
      </c>
      <c r="C703" s="0" t="n">
        <v>162116</v>
      </c>
      <c r="D703" s="0" t="s">
        <v>35</v>
      </c>
      <c r="E703" s="0" t="s">
        <v>35</v>
      </c>
      <c r="F703" s="0" t="s">
        <v>480</v>
      </c>
      <c r="G703" s="0" t="s">
        <v>37</v>
      </c>
      <c r="H703" s="0" t="s">
        <v>2406</v>
      </c>
      <c r="J703" s="0" t="s">
        <v>2406</v>
      </c>
      <c r="M703" s="0" t="s">
        <v>2407</v>
      </c>
      <c r="O703" s="0" t="s">
        <v>2408</v>
      </c>
      <c r="P703" s="0" t="n">
        <v>1957</v>
      </c>
      <c r="Q703" s="0" t="s">
        <v>39</v>
      </c>
      <c r="R703" s="0" t="s">
        <v>2409</v>
      </c>
      <c r="S703" s="0" t="s">
        <v>2410</v>
      </c>
      <c r="T703" s="0" t="s">
        <v>2422</v>
      </c>
      <c r="V703" s="0" t="n">
        <v>1</v>
      </c>
      <c r="W703" s="0" t="n">
        <v>1</v>
      </c>
      <c r="X703" s="0" t="str">
        <f aca="false">"31811012047521"</f>
        <v>31811012047521</v>
      </c>
      <c r="Y703" s="0" t="s">
        <v>39</v>
      </c>
      <c r="Z703" s="0" t="s">
        <v>42</v>
      </c>
      <c r="AA703" s="0" t="s">
        <v>622</v>
      </c>
      <c r="AE703" s="1" t="s">
        <v>52</v>
      </c>
    </row>
    <row r="704" customFormat="false" ht="12.8" hidden="false" customHeight="false" outlineLevel="0" collapsed="false">
      <c r="A704" s="0" t="n">
        <v>135222</v>
      </c>
      <c r="B704" s="0" t="n">
        <v>145761</v>
      </c>
      <c r="C704" s="0" t="n">
        <v>162117</v>
      </c>
      <c r="D704" s="0" t="s">
        <v>35</v>
      </c>
      <c r="E704" s="0" t="s">
        <v>35</v>
      </c>
      <c r="F704" s="0" t="s">
        <v>480</v>
      </c>
      <c r="G704" s="0" t="s">
        <v>37</v>
      </c>
      <c r="H704" s="0" t="s">
        <v>2406</v>
      </c>
      <c r="J704" s="0" t="s">
        <v>2406</v>
      </c>
      <c r="M704" s="0" t="s">
        <v>2407</v>
      </c>
      <c r="O704" s="0" t="s">
        <v>2408</v>
      </c>
      <c r="P704" s="0" t="n">
        <v>1957</v>
      </c>
      <c r="Q704" s="0" t="s">
        <v>39</v>
      </c>
      <c r="R704" s="0" t="s">
        <v>2409</v>
      </c>
      <c r="S704" s="0" t="s">
        <v>2410</v>
      </c>
      <c r="T704" s="0" t="s">
        <v>2423</v>
      </c>
      <c r="V704" s="0" t="n">
        <v>1</v>
      </c>
      <c r="W704" s="0" t="n">
        <v>1</v>
      </c>
      <c r="X704" s="0" t="str">
        <f aca="false">"31811012047828"</f>
        <v>31811012047828</v>
      </c>
      <c r="Y704" s="0" t="s">
        <v>39</v>
      </c>
      <c r="Z704" s="0" t="s">
        <v>42</v>
      </c>
      <c r="AA704" s="0" t="s">
        <v>622</v>
      </c>
      <c r="AE704" s="1" t="s">
        <v>52</v>
      </c>
    </row>
    <row r="705" customFormat="false" ht="12.8" hidden="false" customHeight="false" outlineLevel="0" collapsed="false">
      <c r="A705" s="0" t="n">
        <v>135222</v>
      </c>
      <c r="B705" s="0" t="n">
        <v>145761</v>
      </c>
      <c r="C705" s="0" t="n">
        <v>162118</v>
      </c>
      <c r="D705" s="0" t="s">
        <v>35</v>
      </c>
      <c r="E705" s="0" t="s">
        <v>35</v>
      </c>
      <c r="F705" s="0" t="s">
        <v>480</v>
      </c>
      <c r="G705" s="0" t="s">
        <v>37</v>
      </c>
      <c r="H705" s="0" t="s">
        <v>2406</v>
      </c>
      <c r="J705" s="0" t="s">
        <v>2406</v>
      </c>
      <c r="M705" s="0" t="s">
        <v>2407</v>
      </c>
      <c r="O705" s="0" t="s">
        <v>2408</v>
      </c>
      <c r="P705" s="0" t="n">
        <v>1957</v>
      </c>
      <c r="Q705" s="0" t="s">
        <v>39</v>
      </c>
      <c r="R705" s="0" t="s">
        <v>2409</v>
      </c>
      <c r="S705" s="0" t="s">
        <v>2410</v>
      </c>
      <c r="T705" s="0" t="s">
        <v>2424</v>
      </c>
      <c r="V705" s="0" t="n">
        <v>1</v>
      </c>
      <c r="W705" s="0" t="n">
        <v>1</v>
      </c>
      <c r="X705" s="0" t="str">
        <f aca="false">"31811012047836"</f>
        <v>31811012047836</v>
      </c>
      <c r="Y705" s="0" t="s">
        <v>39</v>
      </c>
      <c r="Z705" s="0" t="s">
        <v>42</v>
      </c>
      <c r="AA705" s="0" t="s">
        <v>622</v>
      </c>
      <c r="AE705" s="1" t="s">
        <v>52</v>
      </c>
    </row>
    <row r="706" customFormat="false" ht="12.8" hidden="false" customHeight="false" outlineLevel="0" collapsed="false">
      <c r="A706" s="0" t="n">
        <v>135222</v>
      </c>
      <c r="B706" s="0" t="n">
        <v>145761</v>
      </c>
      <c r="C706" s="0" t="n">
        <v>162119</v>
      </c>
      <c r="D706" s="0" t="s">
        <v>35</v>
      </c>
      <c r="E706" s="0" t="s">
        <v>35</v>
      </c>
      <c r="F706" s="0" t="s">
        <v>480</v>
      </c>
      <c r="G706" s="0" t="s">
        <v>37</v>
      </c>
      <c r="H706" s="0" t="s">
        <v>2406</v>
      </c>
      <c r="J706" s="0" t="s">
        <v>2406</v>
      </c>
      <c r="M706" s="0" t="s">
        <v>2407</v>
      </c>
      <c r="O706" s="0" t="s">
        <v>2408</v>
      </c>
      <c r="P706" s="0" t="n">
        <v>1957</v>
      </c>
      <c r="Q706" s="0" t="s">
        <v>39</v>
      </c>
      <c r="R706" s="0" t="s">
        <v>2409</v>
      </c>
      <c r="S706" s="0" t="s">
        <v>2410</v>
      </c>
      <c r="T706" s="0" t="s">
        <v>2425</v>
      </c>
      <c r="V706" s="0" t="n">
        <v>1</v>
      </c>
      <c r="W706" s="0" t="n">
        <v>1</v>
      </c>
      <c r="X706" s="0" t="str">
        <f aca="false">"31811012047810"</f>
        <v>31811012047810</v>
      </c>
      <c r="Y706" s="0" t="s">
        <v>39</v>
      </c>
      <c r="Z706" s="0" t="s">
        <v>42</v>
      </c>
      <c r="AA706" s="0" t="s">
        <v>622</v>
      </c>
      <c r="AE706" s="1" t="s">
        <v>52</v>
      </c>
    </row>
    <row r="707" customFormat="false" ht="12.8" hidden="false" customHeight="false" outlineLevel="0" collapsed="false">
      <c r="A707" s="0" t="n">
        <v>135222</v>
      </c>
      <c r="B707" s="0" t="n">
        <v>145761</v>
      </c>
      <c r="C707" s="0" t="n">
        <v>162120</v>
      </c>
      <c r="D707" s="0" t="s">
        <v>35</v>
      </c>
      <c r="E707" s="0" t="s">
        <v>35</v>
      </c>
      <c r="F707" s="0" t="s">
        <v>480</v>
      </c>
      <c r="G707" s="0" t="s">
        <v>37</v>
      </c>
      <c r="H707" s="0" t="s">
        <v>2406</v>
      </c>
      <c r="J707" s="0" t="s">
        <v>2406</v>
      </c>
      <c r="M707" s="0" t="s">
        <v>2407</v>
      </c>
      <c r="O707" s="0" t="s">
        <v>2408</v>
      </c>
      <c r="P707" s="0" t="n">
        <v>1957</v>
      </c>
      <c r="Q707" s="0" t="s">
        <v>39</v>
      </c>
      <c r="R707" s="0" t="s">
        <v>2409</v>
      </c>
      <c r="S707" s="0" t="s">
        <v>2410</v>
      </c>
      <c r="T707" s="0" t="s">
        <v>2426</v>
      </c>
      <c r="V707" s="0" t="n">
        <v>1</v>
      </c>
      <c r="W707" s="0" t="n">
        <v>1</v>
      </c>
      <c r="X707" s="0" t="str">
        <f aca="false">"31811012047844"</f>
        <v>31811012047844</v>
      </c>
      <c r="Y707" s="0" t="s">
        <v>39</v>
      </c>
      <c r="Z707" s="0" t="s">
        <v>42</v>
      </c>
      <c r="AA707" s="0" t="s">
        <v>622</v>
      </c>
      <c r="AE707" s="1" t="s">
        <v>52</v>
      </c>
    </row>
    <row r="708" customFormat="false" ht="12.8" hidden="false" customHeight="false" outlineLevel="0" collapsed="false">
      <c r="A708" s="0" t="n">
        <v>135222</v>
      </c>
      <c r="B708" s="0" t="n">
        <v>145761</v>
      </c>
      <c r="C708" s="0" t="n">
        <v>162121</v>
      </c>
      <c r="D708" s="0" t="s">
        <v>35</v>
      </c>
      <c r="E708" s="0" t="s">
        <v>35</v>
      </c>
      <c r="F708" s="0" t="s">
        <v>480</v>
      </c>
      <c r="G708" s="0" t="s">
        <v>37</v>
      </c>
      <c r="H708" s="0" t="s">
        <v>2406</v>
      </c>
      <c r="J708" s="0" t="s">
        <v>2406</v>
      </c>
      <c r="M708" s="0" t="s">
        <v>2407</v>
      </c>
      <c r="O708" s="0" t="s">
        <v>2408</v>
      </c>
      <c r="P708" s="0" t="n">
        <v>1957</v>
      </c>
      <c r="Q708" s="0" t="s">
        <v>39</v>
      </c>
      <c r="R708" s="0" t="s">
        <v>2409</v>
      </c>
      <c r="S708" s="0" t="s">
        <v>2410</v>
      </c>
      <c r="T708" s="0" t="s">
        <v>2427</v>
      </c>
      <c r="V708" s="0" t="n">
        <v>1</v>
      </c>
      <c r="W708" s="0" t="n">
        <v>1</v>
      </c>
      <c r="X708" s="0" t="str">
        <f aca="false">"31811012046572"</f>
        <v>31811012046572</v>
      </c>
      <c r="Y708" s="0" t="s">
        <v>39</v>
      </c>
      <c r="Z708" s="0" t="s">
        <v>42</v>
      </c>
      <c r="AA708" s="0" t="s">
        <v>622</v>
      </c>
      <c r="AE708" s="1" t="s">
        <v>52</v>
      </c>
    </row>
    <row r="709" customFormat="false" ht="12.8" hidden="false" customHeight="false" outlineLevel="0" collapsed="false">
      <c r="A709" s="0" t="n">
        <v>135222</v>
      </c>
      <c r="B709" s="0" t="n">
        <v>145761</v>
      </c>
      <c r="C709" s="0" t="n">
        <v>162122</v>
      </c>
      <c r="D709" s="0" t="s">
        <v>35</v>
      </c>
      <c r="E709" s="0" t="s">
        <v>35</v>
      </c>
      <c r="F709" s="0" t="s">
        <v>480</v>
      </c>
      <c r="G709" s="0" t="s">
        <v>37</v>
      </c>
      <c r="H709" s="0" t="s">
        <v>2406</v>
      </c>
      <c r="J709" s="0" t="s">
        <v>2406</v>
      </c>
      <c r="M709" s="0" t="s">
        <v>2407</v>
      </c>
      <c r="O709" s="0" t="s">
        <v>2408</v>
      </c>
      <c r="P709" s="0" t="n">
        <v>1957</v>
      </c>
      <c r="Q709" s="0" t="s">
        <v>39</v>
      </c>
      <c r="R709" s="0" t="s">
        <v>2409</v>
      </c>
      <c r="S709" s="0" t="s">
        <v>2410</v>
      </c>
      <c r="T709" s="0" t="s">
        <v>2428</v>
      </c>
      <c r="V709" s="0" t="n">
        <v>1</v>
      </c>
      <c r="W709" s="0" t="n">
        <v>1</v>
      </c>
      <c r="X709" s="0" t="str">
        <f aca="false">"31811012046580"</f>
        <v>31811012046580</v>
      </c>
      <c r="Y709" s="0" t="s">
        <v>39</v>
      </c>
      <c r="Z709" s="0" t="s">
        <v>42</v>
      </c>
      <c r="AA709" s="0" t="s">
        <v>622</v>
      </c>
      <c r="AE709" s="1" t="s">
        <v>52</v>
      </c>
    </row>
    <row r="710" customFormat="false" ht="12.8" hidden="false" customHeight="false" outlineLevel="0" collapsed="false">
      <c r="A710" s="0" t="n">
        <v>135222</v>
      </c>
      <c r="B710" s="0" t="n">
        <v>145761</v>
      </c>
      <c r="C710" s="0" t="n">
        <v>162123</v>
      </c>
      <c r="D710" s="0" t="s">
        <v>35</v>
      </c>
      <c r="E710" s="0" t="s">
        <v>35</v>
      </c>
      <c r="F710" s="0" t="s">
        <v>480</v>
      </c>
      <c r="G710" s="0" t="s">
        <v>37</v>
      </c>
      <c r="H710" s="0" t="s">
        <v>2406</v>
      </c>
      <c r="J710" s="0" t="s">
        <v>2406</v>
      </c>
      <c r="M710" s="0" t="s">
        <v>2407</v>
      </c>
      <c r="O710" s="0" t="s">
        <v>2408</v>
      </c>
      <c r="P710" s="0" t="n">
        <v>1957</v>
      </c>
      <c r="Q710" s="0" t="s">
        <v>39</v>
      </c>
      <c r="R710" s="0" t="s">
        <v>2409</v>
      </c>
      <c r="S710" s="0" t="s">
        <v>2410</v>
      </c>
      <c r="T710" s="0" t="s">
        <v>2429</v>
      </c>
      <c r="V710" s="0" t="n">
        <v>1</v>
      </c>
      <c r="W710" s="0" t="n">
        <v>1</v>
      </c>
      <c r="X710" s="0" t="str">
        <f aca="false">"31811012046598"</f>
        <v>31811012046598</v>
      </c>
      <c r="Y710" s="0" t="s">
        <v>39</v>
      </c>
      <c r="Z710" s="0" t="s">
        <v>42</v>
      </c>
      <c r="AA710" s="0" t="s">
        <v>622</v>
      </c>
      <c r="AE710" s="1" t="s">
        <v>52</v>
      </c>
    </row>
    <row r="711" customFormat="false" ht="12.8" hidden="false" customHeight="false" outlineLevel="0" collapsed="false">
      <c r="A711" s="0" t="n">
        <v>135222</v>
      </c>
      <c r="B711" s="0" t="n">
        <v>145761</v>
      </c>
      <c r="C711" s="0" t="n">
        <v>162124</v>
      </c>
      <c r="D711" s="0" t="s">
        <v>35</v>
      </c>
      <c r="E711" s="0" t="s">
        <v>35</v>
      </c>
      <c r="F711" s="0" t="s">
        <v>480</v>
      </c>
      <c r="G711" s="0" t="s">
        <v>37</v>
      </c>
      <c r="H711" s="0" t="s">
        <v>2406</v>
      </c>
      <c r="J711" s="0" t="s">
        <v>2406</v>
      </c>
      <c r="M711" s="0" t="s">
        <v>2407</v>
      </c>
      <c r="O711" s="0" t="s">
        <v>2408</v>
      </c>
      <c r="P711" s="0" t="n">
        <v>1957</v>
      </c>
      <c r="Q711" s="0" t="s">
        <v>39</v>
      </c>
      <c r="R711" s="0" t="s">
        <v>2409</v>
      </c>
      <c r="S711" s="0" t="s">
        <v>2410</v>
      </c>
      <c r="T711" s="0" t="s">
        <v>2430</v>
      </c>
      <c r="V711" s="0" t="n">
        <v>1</v>
      </c>
      <c r="W711" s="0" t="n">
        <v>1</v>
      </c>
      <c r="X711" s="0" t="str">
        <f aca="false">"31811012046606"</f>
        <v>31811012046606</v>
      </c>
      <c r="Y711" s="0" t="s">
        <v>39</v>
      </c>
      <c r="Z711" s="0" t="s">
        <v>42</v>
      </c>
      <c r="AA711" s="0" t="s">
        <v>622</v>
      </c>
      <c r="AE711" s="1" t="s">
        <v>52</v>
      </c>
    </row>
    <row r="712" customFormat="false" ht="12.8" hidden="false" customHeight="false" outlineLevel="0" collapsed="false">
      <c r="A712" s="0" t="n">
        <v>135222</v>
      </c>
      <c r="B712" s="0" t="n">
        <v>145761</v>
      </c>
      <c r="C712" s="0" t="n">
        <v>162125</v>
      </c>
      <c r="D712" s="0" t="s">
        <v>35</v>
      </c>
      <c r="E712" s="0" t="s">
        <v>35</v>
      </c>
      <c r="F712" s="0" t="s">
        <v>480</v>
      </c>
      <c r="G712" s="0" t="s">
        <v>37</v>
      </c>
      <c r="H712" s="0" t="s">
        <v>2406</v>
      </c>
      <c r="J712" s="0" t="s">
        <v>2406</v>
      </c>
      <c r="M712" s="0" t="s">
        <v>2407</v>
      </c>
      <c r="O712" s="0" t="s">
        <v>2408</v>
      </c>
      <c r="P712" s="0" t="n">
        <v>1957</v>
      </c>
      <c r="Q712" s="0" t="s">
        <v>39</v>
      </c>
      <c r="R712" s="0" t="s">
        <v>2409</v>
      </c>
      <c r="S712" s="0" t="s">
        <v>2410</v>
      </c>
      <c r="T712" s="0" t="s">
        <v>2431</v>
      </c>
      <c r="V712" s="0" t="n">
        <v>1</v>
      </c>
      <c r="W712" s="0" t="n">
        <v>1</v>
      </c>
      <c r="X712" s="0" t="str">
        <f aca="false">"31811012047539"</f>
        <v>31811012047539</v>
      </c>
      <c r="Y712" s="0" t="s">
        <v>39</v>
      </c>
      <c r="Z712" s="0" t="s">
        <v>42</v>
      </c>
      <c r="AA712" s="0" t="s">
        <v>622</v>
      </c>
      <c r="AE712" s="1" t="s">
        <v>52</v>
      </c>
    </row>
    <row r="713" customFormat="false" ht="12.8" hidden="false" customHeight="false" outlineLevel="0" collapsed="false">
      <c r="A713" s="0" t="n">
        <v>135222</v>
      </c>
      <c r="B713" s="0" t="n">
        <v>145761</v>
      </c>
      <c r="C713" s="0" t="n">
        <v>162126</v>
      </c>
      <c r="D713" s="0" t="s">
        <v>35</v>
      </c>
      <c r="E713" s="0" t="s">
        <v>35</v>
      </c>
      <c r="F713" s="0" t="s">
        <v>480</v>
      </c>
      <c r="G713" s="0" t="s">
        <v>37</v>
      </c>
      <c r="H713" s="0" t="s">
        <v>2406</v>
      </c>
      <c r="J713" s="0" t="s">
        <v>2406</v>
      </c>
      <c r="M713" s="0" t="s">
        <v>2407</v>
      </c>
      <c r="O713" s="0" t="s">
        <v>2408</v>
      </c>
      <c r="P713" s="0" t="n">
        <v>1957</v>
      </c>
      <c r="Q713" s="0" t="s">
        <v>39</v>
      </c>
      <c r="R713" s="0" t="s">
        <v>2409</v>
      </c>
      <c r="S713" s="0" t="s">
        <v>2410</v>
      </c>
      <c r="T713" s="0" t="s">
        <v>2432</v>
      </c>
      <c r="V713" s="0" t="n">
        <v>1</v>
      </c>
      <c r="W713" s="0" t="n">
        <v>1</v>
      </c>
      <c r="X713" s="0" t="str">
        <f aca="false">"31811012047547"</f>
        <v>31811012047547</v>
      </c>
      <c r="Y713" s="0" t="s">
        <v>39</v>
      </c>
      <c r="Z713" s="0" t="s">
        <v>42</v>
      </c>
      <c r="AA713" s="0" t="s">
        <v>622</v>
      </c>
      <c r="AE713" s="1" t="s">
        <v>52</v>
      </c>
    </row>
    <row r="714" customFormat="false" ht="12.8" hidden="false" customHeight="false" outlineLevel="0" collapsed="false">
      <c r="A714" s="0" t="n">
        <v>135222</v>
      </c>
      <c r="B714" s="0" t="n">
        <v>145761</v>
      </c>
      <c r="C714" s="0" t="n">
        <v>162127</v>
      </c>
      <c r="D714" s="0" t="s">
        <v>35</v>
      </c>
      <c r="E714" s="0" t="s">
        <v>35</v>
      </c>
      <c r="F714" s="0" t="s">
        <v>480</v>
      </c>
      <c r="G714" s="0" t="s">
        <v>37</v>
      </c>
      <c r="H714" s="0" t="s">
        <v>2406</v>
      </c>
      <c r="J714" s="0" t="s">
        <v>2406</v>
      </c>
      <c r="M714" s="0" t="s">
        <v>2407</v>
      </c>
      <c r="O714" s="0" t="s">
        <v>2408</v>
      </c>
      <c r="P714" s="0" t="n">
        <v>1957</v>
      </c>
      <c r="Q714" s="0" t="s">
        <v>39</v>
      </c>
      <c r="R714" s="0" t="s">
        <v>2409</v>
      </c>
      <c r="S714" s="0" t="s">
        <v>2410</v>
      </c>
      <c r="T714" s="0" t="s">
        <v>2433</v>
      </c>
      <c r="V714" s="0" t="n">
        <v>1</v>
      </c>
      <c r="W714" s="0" t="n">
        <v>1</v>
      </c>
      <c r="X714" s="0" t="str">
        <f aca="false">"31811012046895"</f>
        <v>31811012046895</v>
      </c>
      <c r="Y714" s="0" t="s">
        <v>39</v>
      </c>
      <c r="Z714" s="0" t="s">
        <v>42</v>
      </c>
      <c r="AA714" s="0" t="s">
        <v>622</v>
      </c>
      <c r="AE714" s="1" t="s">
        <v>52</v>
      </c>
    </row>
    <row r="715" customFormat="false" ht="12.8" hidden="false" customHeight="false" outlineLevel="0" collapsed="false">
      <c r="A715" s="0" t="n">
        <v>397778</v>
      </c>
      <c r="B715" s="0" t="n">
        <v>429547</v>
      </c>
      <c r="C715" s="0" t="n">
        <v>478784</v>
      </c>
      <c r="D715" s="0" t="s">
        <v>35</v>
      </c>
      <c r="E715" s="0" t="s">
        <v>35</v>
      </c>
      <c r="F715" s="0" t="s">
        <v>36</v>
      </c>
      <c r="G715" s="0" t="s">
        <v>412</v>
      </c>
      <c r="H715" s="0" t="s">
        <v>2434</v>
      </c>
      <c r="I715" s="0" t="s">
        <v>2435</v>
      </c>
      <c r="J715" s="0" t="s">
        <v>2434</v>
      </c>
      <c r="M715" s="0" t="s">
        <v>2436</v>
      </c>
      <c r="N715" s="0" t="n">
        <v>1970</v>
      </c>
      <c r="P715" s="0" t="n">
        <v>1970</v>
      </c>
      <c r="Q715" s="0" t="s">
        <v>39</v>
      </c>
      <c r="R715" s="0" t="s">
        <v>2437</v>
      </c>
      <c r="S715" s="0" t="s">
        <v>2438</v>
      </c>
      <c r="V715" s="0" t="n">
        <v>1</v>
      </c>
      <c r="W715" s="0" t="n">
        <v>1</v>
      </c>
      <c r="X715" s="0" t="str">
        <f aca="false">"31811010746991"</f>
        <v>31811010746991</v>
      </c>
      <c r="Y715" s="0" t="s">
        <v>39</v>
      </c>
      <c r="Z715" s="0" t="s">
        <v>42</v>
      </c>
      <c r="AA715" s="0" t="s">
        <v>43</v>
      </c>
      <c r="AE715" s="1" t="s">
        <v>52</v>
      </c>
    </row>
    <row r="716" customFormat="false" ht="12.8" hidden="false" customHeight="false" outlineLevel="0" collapsed="false">
      <c r="A716" s="0" t="n">
        <v>491028</v>
      </c>
      <c r="B716" s="0" t="n">
        <v>471988</v>
      </c>
      <c r="C716" s="0" t="n">
        <v>527696</v>
      </c>
      <c r="D716" s="0" t="s">
        <v>35</v>
      </c>
      <c r="E716" s="0" t="s">
        <v>35</v>
      </c>
      <c r="F716" s="0" t="s">
        <v>36</v>
      </c>
      <c r="G716" s="0" t="s">
        <v>412</v>
      </c>
      <c r="H716" s="0" t="s">
        <v>2439</v>
      </c>
      <c r="I716" s="0" t="s">
        <v>2440</v>
      </c>
      <c r="J716" s="0" t="s">
        <v>2439</v>
      </c>
      <c r="M716" s="0" t="s">
        <v>2441</v>
      </c>
      <c r="Q716" s="0" t="s">
        <v>39</v>
      </c>
      <c r="R716" s="0" t="s">
        <v>2442</v>
      </c>
      <c r="S716" s="0" t="s">
        <v>2443</v>
      </c>
      <c r="T716" s="0" t="s">
        <v>62</v>
      </c>
      <c r="V716" s="0" t="n">
        <v>1</v>
      </c>
      <c r="W716" s="0" t="n">
        <v>1</v>
      </c>
      <c r="X716" s="0" t="str">
        <f aca="false">"31811010746983"</f>
        <v>31811010746983</v>
      </c>
      <c r="Y716" s="0" t="s">
        <v>39</v>
      </c>
      <c r="Z716" s="0" t="s">
        <v>42</v>
      </c>
      <c r="AA716" s="0" t="s">
        <v>43</v>
      </c>
      <c r="AE716" s="1" t="s">
        <v>52</v>
      </c>
    </row>
    <row r="717" customFormat="false" ht="12.8" hidden="false" customHeight="false" outlineLevel="0" collapsed="false">
      <c r="A717" s="0" t="n">
        <v>472984</v>
      </c>
      <c r="B717" s="0" t="n">
        <v>505072</v>
      </c>
      <c r="C717" s="0" t="n">
        <v>567157</v>
      </c>
      <c r="D717" s="0" t="s">
        <v>35</v>
      </c>
      <c r="E717" s="0" t="s">
        <v>35</v>
      </c>
      <c r="F717" s="0" t="s">
        <v>36</v>
      </c>
      <c r="G717" s="0" t="s">
        <v>37</v>
      </c>
      <c r="H717" s="0" t="s">
        <v>2444</v>
      </c>
      <c r="I717" s="0" t="s">
        <v>2445</v>
      </c>
      <c r="J717" s="0" t="s">
        <v>2444</v>
      </c>
      <c r="M717" s="0" t="s">
        <v>2446</v>
      </c>
      <c r="N717" s="0" t="s">
        <v>2447</v>
      </c>
      <c r="O717" s="0" t="s">
        <v>2448</v>
      </c>
      <c r="P717" s="0" t="n">
        <v>1903</v>
      </c>
      <c r="Q717" s="0" t="s">
        <v>39</v>
      </c>
      <c r="R717" s="0" t="s">
        <v>2449</v>
      </c>
      <c r="S717" s="0" t="s">
        <v>2450</v>
      </c>
      <c r="V717" s="0" t="n">
        <v>1</v>
      </c>
      <c r="W717" s="0" t="n">
        <v>1</v>
      </c>
      <c r="X717" s="0" t="str">
        <f aca="false">"31811010746975"</f>
        <v>31811010746975</v>
      </c>
      <c r="Y717" s="0" t="s">
        <v>39</v>
      </c>
      <c r="Z717" s="0" t="s">
        <v>42</v>
      </c>
      <c r="AA717" s="0" t="s">
        <v>43</v>
      </c>
      <c r="AE717" s="1" t="s">
        <v>52</v>
      </c>
      <c r="AH717" s="1" t="s">
        <v>2451</v>
      </c>
    </row>
    <row r="718" customFormat="false" ht="12.8" hidden="false" customHeight="false" outlineLevel="0" collapsed="false">
      <c r="A718" s="0" t="n">
        <v>478574</v>
      </c>
      <c r="B718" s="0" t="n">
        <v>510791</v>
      </c>
      <c r="C718" s="0" t="n">
        <v>573378</v>
      </c>
      <c r="D718" s="0" t="s">
        <v>35</v>
      </c>
      <c r="E718" s="0" t="s">
        <v>35</v>
      </c>
      <c r="F718" s="0" t="s">
        <v>36</v>
      </c>
      <c r="G718" s="0" t="s">
        <v>37</v>
      </c>
      <c r="H718" s="0" t="s">
        <v>2452</v>
      </c>
      <c r="I718" s="0" t="s">
        <v>2445</v>
      </c>
      <c r="J718" s="0" t="s">
        <v>2453</v>
      </c>
      <c r="M718" s="0" t="s">
        <v>2454</v>
      </c>
      <c r="N718" s="0" t="s">
        <v>2455</v>
      </c>
      <c r="O718" s="0" t="s">
        <v>2456</v>
      </c>
      <c r="P718" s="0" t="n">
        <v>1905</v>
      </c>
      <c r="Q718" s="0" t="s">
        <v>39</v>
      </c>
      <c r="R718" s="0" t="s">
        <v>2457</v>
      </c>
      <c r="S718" s="0" t="s">
        <v>2458</v>
      </c>
      <c r="V718" s="0" t="n">
        <v>1</v>
      </c>
      <c r="W718" s="0" t="n">
        <v>1</v>
      </c>
      <c r="X718" s="0" t="str">
        <f aca="false">"31811010747031"</f>
        <v>31811010747031</v>
      </c>
      <c r="Y718" s="0" t="s">
        <v>39</v>
      </c>
      <c r="Z718" s="0" t="s">
        <v>42</v>
      </c>
      <c r="AA718" s="0" t="s">
        <v>43</v>
      </c>
      <c r="AE718" s="1" t="s">
        <v>52</v>
      </c>
    </row>
    <row r="719" customFormat="false" ht="12.8" hidden="false" customHeight="false" outlineLevel="0" collapsed="false">
      <c r="A719" s="0" t="n">
        <v>436115</v>
      </c>
      <c r="B719" s="0" t="n">
        <v>469661</v>
      </c>
      <c r="C719" s="0" t="n">
        <v>524749</v>
      </c>
      <c r="D719" s="0" t="s">
        <v>35</v>
      </c>
      <c r="E719" s="0" t="s">
        <v>35</v>
      </c>
      <c r="F719" s="0" t="s">
        <v>36</v>
      </c>
      <c r="G719" s="0" t="s">
        <v>37</v>
      </c>
      <c r="H719" s="0" t="s">
        <v>2459</v>
      </c>
      <c r="I719" s="0" t="s">
        <v>2460</v>
      </c>
      <c r="J719" s="0" t="s">
        <v>2459</v>
      </c>
      <c r="M719" s="0" t="s">
        <v>2461</v>
      </c>
      <c r="N719" s="0" t="s">
        <v>2462</v>
      </c>
      <c r="P719" s="0" t="n">
        <v>1908</v>
      </c>
      <c r="Q719" s="0" t="s">
        <v>39</v>
      </c>
      <c r="R719" s="0" t="s">
        <v>2463</v>
      </c>
      <c r="S719" s="0" t="s">
        <v>2464</v>
      </c>
      <c r="V719" s="0" t="n">
        <v>1</v>
      </c>
      <c r="W719" s="0" t="n">
        <v>1</v>
      </c>
      <c r="X719" s="0" t="str">
        <f aca="false">"31811010747049"</f>
        <v>31811010747049</v>
      </c>
      <c r="Y719" s="0" t="s">
        <v>39</v>
      </c>
      <c r="Z719" s="0" t="s">
        <v>42</v>
      </c>
      <c r="AA719" s="0" t="s">
        <v>43</v>
      </c>
      <c r="AE719" s="1" t="s">
        <v>52</v>
      </c>
    </row>
    <row r="720" customFormat="false" ht="12.8" hidden="false" customHeight="false" outlineLevel="0" collapsed="false">
      <c r="A720" s="0" t="n">
        <v>474879</v>
      </c>
      <c r="B720" s="0" t="n">
        <v>507027</v>
      </c>
      <c r="C720" s="0" t="n">
        <v>569382</v>
      </c>
      <c r="D720" s="0" t="s">
        <v>35</v>
      </c>
      <c r="E720" s="0" t="s">
        <v>35</v>
      </c>
      <c r="F720" s="0" t="s">
        <v>36</v>
      </c>
      <c r="G720" s="0" t="s">
        <v>37</v>
      </c>
      <c r="H720" s="0" t="s">
        <v>2465</v>
      </c>
      <c r="I720" s="0" t="s">
        <v>2466</v>
      </c>
      <c r="J720" s="0" t="s">
        <v>2465</v>
      </c>
      <c r="M720" s="0" t="s">
        <v>2467</v>
      </c>
      <c r="N720" s="0" t="s">
        <v>2468</v>
      </c>
      <c r="O720" s="0" t="s">
        <v>2469</v>
      </c>
      <c r="P720" s="0" t="n">
        <v>1912</v>
      </c>
      <c r="Q720" s="0" t="s">
        <v>39</v>
      </c>
      <c r="R720" s="0" t="s">
        <v>2470</v>
      </c>
      <c r="S720" s="0" t="s">
        <v>2471</v>
      </c>
      <c r="V720" s="0" t="n">
        <v>1</v>
      </c>
      <c r="W720" s="0" t="n">
        <v>1</v>
      </c>
      <c r="X720" s="0" t="str">
        <f aca="false">"31811010747023"</f>
        <v>31811010747023</v>
      </c>
      <c r="Y720" s="0" t="s">
        <v>39</v>
      </c>
      <c r="Z720" s="0" t="s">
        <v>42</v>
      </c>
      <c r="AA720" s="0" t="s">
        <v>43</v>
      </c>
      <c r="AE720" s="1" t="s">
        <v>52</v>
      </c>
    </row>
    <row r="721" customFormat="false" ht="12.8" hidden="false" customHeight="false" outlineLevel="0" collapsed="false">
      <c r="A721" s="0" t="n">
        <v>346389</v>
      </c>
      <c r="B721" s="0" t="n">
        <v>375471</v>
      </c>
      <c r="C721" s="0" t="n">
        <v>417899</v>
      </c>
      <c r="D721" s="0" t="s">
        <v>35</v>
      </c>
      <c r="E721" s="0" t="s">
        <v>35</v>
      </c>
      <c r="F721" s="0" t="s">
        <v>36</v>
      </c>
      <c r="G721" s="0" t="s">
        <v>37</v>
      </c>
      <c r="H721" s="0" t="s">
        <v>2472</v>
      </c>
      <c r="I721" s="0" t="s">
        <v>2473</v>
      </c>
      <c r="J721" s="0" t="s">
        <v>2474</v>
      </c>
      <c r="M721" s="0" t="s">
        <v>2475</v>
      </c>
      <c r="N721" s="0" t="s">
        <v>2476</v>
      </c>
      <c r="O721" s="0" t="s">
        <v>2477</v>
      </c>
      <c r="P721" s="0" t="n">
        <v>1910</v>
      </c>
      <c r="Q721" s="0" t="s">
        <v>39</v>
      </c>
      <c r="R721" s="0" t="s">
        <v>2478</v>
      </c>
      <c r="S721" s="0" t="s">
        <v>2479</v>
      </c>
      <c r="V721" s="0" t="n">
        <v>1</v>
      </c>
      <c r="W721" s="0" t="n">
        <v>1</v>
      </c>
      <c r="X721" s="0" t="str">
        <f aca="false">"31811010747015"</f>
        <v>31811010747015</v>
      </c>
      <c r="Y721" s="0" t="s">
        <v>39</v>
      </c>
      <c r="Z721" s="0" t="s">
        <v>42</v>
      </c>
      <c r="AA721" s="0" t="s">
        <v>43</v>
      </c>
      <c r="AE721" s="1" t="s">
        <v>52</v>
      </c>
    </row>
    <row r="722" customFormat="false" ht="12.8" hidden="false" customHeight="false" outlineLevel="0" collapsed="false">
      <c r="A722" s="0" t="n">
        <v>346389</v>
      </c>
      <c r="B722" s="0" t="n">
        <v>375472</v>
      </c>
      <c r="C722" s="0" t="n">
        <v>417900</v>
      </c>
      <c r="D722" s="0" t="s">
        <v>35</v>
      </c>
      <c r="E722" s="0" t="s">
        <v>35</v>
      </c>
      <c r="F722" s="0" t="s">
        <v>36</v>
      </c>
      <c r="G722" s="0" t="s">
        <v>37</v>
      </c>
      <c r="H722" s="0" t="s">
        <v>2472</v>
      </c>
      <c r="I722" s="0" t="s">
        <v>2473</v>
      </c>
      <c r="J722" s="0" t="s">
        <v>2474</v>
      </c>
      <c r="M722" s="0" t="s">
        <v>2475</v>
      </c>
      <c r="N722" s="0" t="s">
        <v>2476</v>
      </c>
      <c r="O722" s="0" t="s">
        <v>2477</v>
      </c>
      <c r="P722" s="0" t="n">
        <v>1910</v>
      </c>
      <c r="Q722" s="0" t="s">
        <v>39</v>
      </c>
      <c r="R722" s="0" t="s">
        <v>2478</v>
      </c>
      <c r="S722" s="0" t="s">
        <v>2479</v>
      </c>
      <c r="V722" s="0" t="n">
        <v>2</v>
      </c>
      <c r="W722" s="0" t="n">
        <v>1</v>
      </c>
      <c r="X722" s="0" t="str">
        <f aca="false">"31811003180414"</f>
        <v>31811003180414</v>
      </c>
      <c r="Y722" s="0" t="s">
        <v>39</v>
      </c>
      <c r="Z722" s="0" t="s">
        <v>42</v>
      </c>
      <c r="AA722" s="0" t="s">
        <v>43</v>
      </c>
      <c r="AE722" s="1" t="s">
        <v>52</v>
      </c>
    </row>
    <row r="723" customFormat="false" ht="12.8" hidden="false" customHeight="false" outlineLevel="0" collapsed="false">
      <c r="A723" s="0" t="n">
        <v>366044</v>
      </c>
      <c r="B723" s="0" t="n">
        <v>395779</v>
      </c>
      <c r="C723" s="0" t="n">
        <v>439973</v>
      </c>
      <c r="D723" s="0" t="s">
        <v>35</v>
      </c>
      <c r="E723" s="0" t="s">
        <v>35</v>
      </c>
      <c r="F723" s="0" t="s">
        <v>36</v>
      </c>
      <c r="G723" s="0" t="s">
        <v>37</v>
      </c>
      <c r="H723" s="0" t="s">
        <v>2480</v>
      </c>
      <c r="I723" s="0" t="s">
        <v>2481</v>
      </c>
      <c r="J723" s="0" t="s">
        <v>2482</v>
      </c>
      <c r="M723" s="0" t="s">
        <v>2483</v>
      </c>
      <c r="P723" s="0" t="n">
        <v>1914</v>
      </c>
      <c r="Q723" s="0" t="s">
        <v>39</v>
      </c>
      <c r="R723" s="0" t="s">
        <v>2484</v>
      </c>
      <c r="S723" s="0" t="s">
        <v>2485</v>
      </c>
      <c r="V723" s="0" t="n">
        <v>1</v>
      </c>
      <c r="W723" s="0" t="n">
        <v>1</v>
      </c>
      <c r="X723" s="0" t="str">
        <f aca="false">"31811010747080"</f>
        <v>31811010747080</v>
      </c>
      <c r="Y723" s="0" t="s">
        <v>39</v>
      </c>
      <c r="Z723" s="0" t="s">
        <v>42</v>
      </c>
      <c r="AA723" s="0" t="s">
        <v>43</v>
      </c>
      <c r="AE723" s="1" t="s">
        <v>52</v>
      </c>
    </row>
    <row r="724" customFormat="false" ht="12.8" hidden="false" customHeight="false" outlineLevel="0" collapsed="false">
      <c r="A724" s="0" t="n">
        <v>428005</v>
      </c>
      <c r="B724" s="0" t="n">
        <v>461208</v>
      </c>
      <c r="C724" s="0" t="n">
        <v>514907</v>
      </c>
      <c r="D724" s="0" t="s">
        <v>35</v>
      </c>
      <c r="E724" s="0" t="s">
        <v>35</v>
      </c>
      <c r="F724" s="0" t="s">
        <v>36</v>
      </c>
      <c r="G724" s="0" t="s">
        <v>412</v>
      </c>
      <c r="H724" s="0" t="s">
        <v>2486</v>
      </c>
      <c r="I724" s="0" t="s">
        <v>2487</v>
      </c>
      <c r="J724" s="0" t="s">
        <v>2486</v>
      </c>
      <c r="M724" s="0" t="s">
        <v>2488</v>
      </c>
      <c r="Q724" s="0" t="s">
        <v>39</v>
      </c>
      <c r="R724" s="0" t="s">
        <v>2489</v>
      </c>
      <c r="S724" s="0" t="s">
        <v>2490</v>
      </c>
      <c r="V724" s="0" t="n">
        <v>1</v>
      </c>
      <c r="W724" s="0" t="n">
        <v>1</v>
      </c>
      <c r="X724" s="0" t="str">
        <f aca="false">"31811010747072"</f>
        <v>31811010747072</v>
      </c>
      <c r="Y724" s="0" t="s">
        <v>39</v>
      </c>
      <c r="Z724" s="0" t="s">
        <v>42</v>
      </c>
      <c r="AA724" s="0" t="s">
        <v>43</v>
      </c>
      <c r="AE724" s="1" t="s">
        <v>52</v>
      </c>
    </row>
    <row r="725" customFormat="false" ht="12.8" hidden="false" customHeight="false" outlineLevel="0" collapsed="false">
      <c r="A725" s="0" t="n">
        <v>478542</v>
      </c>
      <c r="B725" s="0" t="n">
        <v>510755</v>
      </c>
      <c r="C725" s="0" t="n">
        <v>573342</v>
      </c>
      <c r="D725" s="0" t="s">
        <v>35</v>
      </c>
      <c r="E725" s="0" t="s">
        <v>35</v>
      </c>
      <c r="F725" s="0" t="s">
        <v>36</v>
      </c>
      <c r="G725" s="0" t="s">
        <v>37</v>
      </c>
      <c r="H725" s="0" t="s">
        <v>2491</v>
      </c>
      <c r="I725" s="0" t="s">
        <v>2492</v>
      </c>
      <c r="J725" s="0" t="s">
        <v>2493</v>
      </c>
      <c r="M725" s="0" t="s">
        <v>2494</v>
      </c>
      <c r="N725" s="0" t="s">
        <v>2495</v>
      </c>
      <c r="O725" s="0" t="s">
        <v>2496</v>
      </c>
      <c r="P725" s="0" t="n">
        <v>1913</v>
      </c>
      <c r="Q725" s="0" t="s">
        <v>39</v>
      </c>
      <c r="R725" s="0" t="s">
        <v>2497</v>
      </c>
      <c r="S725" s="0" t="s">
        <v>2498</v>
      </c>
      <c r="V725" s="0" t="n">
        <v>1</v>
      </c>
      <c r="W725" s="0" t="n">
        <v>1</v>
      </c>
      <c r="X725" s="0" t="str">
        <f aca="false">"31811010747064"</f>
        <v>31811010747064</v>
      </c>
      <c r="Y725" s="0" t="s">
        <v>39</v>
      </c>
      <c r="Z725" s="0" t="s">
        <v>42</v>
      </c>
      <c r="AA725" s="0" t="s">
        <v>43</v>
      </c>
      <c r="AE725" s="1" t="s">
        <v>52</v>
      </c>
    </row>
    <row r="726" customFormat="false" ht="12.8" hidden="false" customHeight="false" outlineLevel="0" collapsed="false">
      <c r="A726" s="0" t="n">
        <v>383142</v>
      </c>
      <c r="B726" s="0" t="n">
        <v>414530</v>
      </c>
      <c r="C726" s="0" t="n">
        <v>462298</v>
      </c>
      <c r="D726" s="0" t="s">
        <v>35</v>
      </c>
      <c r="E726" s="0" t="s">
        <v>35</v>
      </c>
      <c r="F726" s="0" t="s">
        <v>36</v>
      </c>
      <c r="G726" s="0" t="s">
        <v>37</v>
      </c>
      <c r="H726" s="0" t="s">
        <v>2499</v>
      </c>
      <c r="I726" s="0" t="s">
        <v>2500</v>
      </c>
      <c r="J726" s="0" t="s">
        <v>2501</v>
      </c>
      <c r="M726" s="0" t="s">
        <v>2502</v>
      </c>
      <c r="N726" s="0" t="s">
        <v>2503</v>
      </c>
      <c r="O726" s="0" t="s">
        <v>2504</v>
      </c>
      <c r="P726" s="0" t="n">
        <v>1914</v>
      </c>
      <c r="Q726" s="0" t="s">
        <v>39</v>
      </c>
      <c r="R726" s="0" t="s">
        <v>2505</v>
      </c>
      <c r="S726" s="0" t="s">
        <v>2506</v>
      </c>
      <c r="V726" s="0" t="n">
        <v>1</v>
      </c>
      <c r="W726" s="0" t="n">
        <v>1</v>
      </c>
      <c r="X726" s="0" t="str">
        <f aca="false">"31811003180422"</f>
        <v>31811003180422</v>
      </c>
      <c r="Y726" s="0" t="s">
        <v>39</v>
      </c>
      <c r="Z726" s="0" t="s">
        <v>42</v>
      </c>
      <c r="AA726" s="0" t="s">
        <v>43</v>
      </c>
      <c r="AE726" s="1" t="s">
        <v>52</v>
      </c>
    </row>
    <row r="727" customFormat="false" ht="12.8" hidden="false" customHeight="false" outlineLevel="0" collapsed="false">
      <c r="A727" s="0" t="n">
        <v>498422</v>
      </c>
      <c r="B727" s="0" t="n">
        <v>479575</v>
      </c>
      <c r="C727" s="0" t="n">
        <v>537419</v>
      </c>
      <c r="D727" s="0" t="s">
        <v>35</v>
      </c>
      <c r="E727" s="0" t="s">
        <v>35</v>
      </c>
      <c r="F727" s="0" t="s">
        <v>36</v>
      </c>
      <c r="G727" s="0" t="s">
        <v>37</v>
      </c>
      <c r="H727" s="0" t="s">
        <v>2507</v>
      </c>
      <c r="I727" s="0" t="s">
        <v>2445</v>
      </c>
      <c r="J727" s="0" t="s">
        <v>2507</v>
      </c>
      <c r="M727" s="0" t="s">
        <v>2508</v>
      </c>
      <c r="N727" s="0" t="n">
        <v>1914</v>
      </c>
      <c r="O727" s="0" t="s">
        <v>2504</v>
      </c>
      <c r="P727" s="0" t="n">
        <v>1914</v>
      </c>
      <c r="Q727" s="0" t="s">
        <v>39</v>
      </c>
      <c r="R727" s="0" t="s">
        <v>2509</v>
      </c>
      <c r="S727" s="0" t="s">
        <v>2510</v>
      </c>
      <c r="V727" s="0" t="n">
        <v>1</v>
      </c>
      <c r="W727" s="0" t="n">
        <v>1</v>
      </c>
      <c r="X727" s="0" t="str">
        <f aca="false">"31811010747056"</f>
        <v>31811010747056</v>
      </c>
      <c r="Y727" s="0" t="s">
        <v>39</v>
      </c>
      <c r="Z727" s="0" t="s">
        <v>42</v>
      </c>
      <c r="AA727" s="0" t="s">
        <v>43</v>
      </c>
      <c r="AE727" s="1" t="s">
        <v>52</v>
      </c>
    </row>
    <row r="728" customFormat="false" ht="12.8" hidden="false" customHeight="false" outlineLevel="0" collapsed="false">
      <c r="A728" s="0" t="n">
        <v>412827</v>
      </c>
      <c r="B728" s="0" t="n">
        <v>445358</v>
      </c>
      <c r="C728" s="0" t="n">
        <v>496502</v>
      </c>
      <c r="D728" s="0" t="s">
        <v>35</v>
      </c>
      <c r="E728" s="0" t="s">
        <v>35</v>
      </c>
      <c r="F728" s="0" t="s">
        <v>36</v>
      </c>
      <c r="G728" s="0" t="s">
        <v>412</v>
      </c>
      <c r="H728" s="0" t="s">
        <v>2511</v>
      </c>
      <c r="I728" s="0" t="s">
        <v>2512</v>
      </c>
      <c r="J728" s="0" t="s">
        <v>2511</v>
      </c>
      <c r="M728" s="0" t="s">
        <v>2513</v>
      </c>
      <c r="Q728" s="0" t="s">
        <v>39</v>
      </c>
      <c r="R728" s="0" t="s">
        <v>2514</v>
      </c>
      <c r="S728" s="0" t="s">
        <v>2515</v>
      </c>
      <c r="V728" s="0" t="n">
        <v>1</v>
      </c>
      <c r="W728" s="0" t="n">
        <v>1</v>
      </c>
      <c r="X728" s="0" t="str">
        <f aca="false">"31811010747114"</f>
        <v>31811010747114</v>
      </c>
      <c r="Y728" s="0" t="s">
        <v>39</v>
      </c>
      <c r="Z728" s="0" t="s">
        <v>42</v>
      </c>
      <c r="AA728" s="0" t="s">
        <v>43</v>
      </c>
      <c r="AE728" s="1" t="s">
        <v>52</v>
      </c>
    </row>
    <row r="729" customFormat="false" ht="12.8" hidden="false" customHeight="false" outlineLevel="0" collapsed="false">
      <c r="A729" s="0" t="n">
        <v>322267</v>
      </c>
      <c r="B729" s="0" t="n">
        <v>350574</v>
      </c>
      <c r="C729" s="0" t="n">
        <v>391212</v>
      </c>
      <c r="D729" s="0" t="s">
        <v>35</v>
      </c>
      <c r="E729" s="0" t="s">
        <v>35</v>
      </c>
      <c r="F729" s="0" t="s">
        <v>36</v>
      </c>
      <c r="G729" s="0" t="s">
        <v>37</v>
      </c>
      <c r="H729" s="0" t="s">
        <v>2516</v>
      </c>
      <c r="I729" s="0" t="s">
        <v>2517</v>
      </c>
      <c r="J729" s="0" t="s">
        <v>2518</v>
      </c>
      <c r="M729" s="0" t="s">
        <v>2519</v>
      </c>
      <c r="N729" s="0" t="s">
        <v>2520</v>
      </c>
      <c r="O729" s="0" t="s">
        <v>2521</v>
      </c>
      <c r="P729" s="0" t="n">
        <v>1918</v>
      </c>
      <c r="Q729" s="0" t="s">
        <v>39</v>
      </c>
      <c r="R729" s="0" t="s">
        <v>2522</v>
      </c>
      <c r="S729" s="0" t="s">
        <v>2523</v>
      </c>
      <c r="V729" s="0" t="n">
        <v>1</v>
      </c>
      <c r="W729" s="0" t="n">
        <v>1</v>
      </c>
      <c r="X729" s="0" t="str">
        <f aca="false">"31811010747106"</f>
        <v>31811010747106</v>
      </c>
      <c r="Y729" s="0" t="s">
        <v>39</v>
      </c>
      <c r="Z729" s="0" t="s">
        <v>42</v>
      </c>
      <c r="AA729" s="0" t="s">
        <v>43</v>
      </c>
      <c r="AE729" s="1" t="s">
        <v>52</v>
      </c>
    </row>
    <row r="730" customFormat="false" ht="12.8" hidden="false" customHeight="false" outlineLevel="0" collapsed="false">
      <c r="A730" s="0" t="n">
        <v>499606</v>
      </c>
      <c r="B730" s="0" t="n">
        <v>480774</v>
      </c>
      <c r="C730" s="0" t="n">
        <v>538848</v>
      </c>
      <c r="D730" s="0" t="s">
        <v>35</v>
      </c>
      <c r="E730" s="0" t="s">
        <v>35</v>
      </c>
      <c r="F730" s="0" t="s">
        <v>36</v>
      </c>
      <c r="G730" s="0" t="s">
        <v>37</v>
      </c>
      <c r="H730" s="0" t="s">
        <v>2524</v>
      </c>
      <c r="I730" s="0" t="s">
        <v>2525</v>
      </c>
      <c r="J730" s="0" t="s">
        <v>2526</v>
      </c>
      <c r="M730" s="0" t="s">
        <v>2527</v>
      </c>
      <c r="P730" s="0" t="n">
        <v>1919</v>
      </c>
      <c r="Q730" s="0" t="s">
        <v>39</v>
      </c>
      <c r="R730" s="0" t="s">
        <v>2528</v>
      </c>
      <c r="S730" s="0" t="s">
        <v>2529</v>
      </c>
      <c r="V730" s="0" t="n">
        <v>1</v>
      </c>
      <c r="W730" s="0" t="n">
        <v>1</v>
      </c>
      <c r="X730" s="0" t="str">
        <f aca="false">"31811010747098"</f>
        <v>31811010747098</v>
      </c>
      <c r="Y730" s="0" t="s">
        <v>39</v>
      </c>
      <c r="Z730" s="0" t="s">
        <v>42</v>
      </c>
      <c r="AA730" s="0" t="s">
        <v>43</v>
      </c>
      <c r="AE730" s="1" t="s">
        <v>52</v>
      </c>
    </row>
    <row r="731" customFormat="false" ht="12.8" hidden="false" customHeight="false" outlineLevel="0" collapsed="false">
      <c r="A731" s="0" t="n">
        <v>469276</v>
      </c>
      <c r="B731" s="0" t="n">
        <v>501270</v>
      </c>
      <c r="C731" s="0" t="n">
        <v>562924</v>
      </c>
      <c r="D731" s="0" t="s">
        <v>35</v>
      </c>
      <c r="E731" s="0" t="s">
        <v>35</v>
      </c>
      <c r="F731" s="0" t="s">
        <v>36</v>
      </c>
      <c r="G731" s="0" t="s">
        <v>37</v>
      </c>
      <c r="H731" s="0" t="s">
        <v>2530</v>
      </c>
      <c r="I731" s="0" t="s">
        <v>2531</v>
      </c>
      <c r="J731" s="0" t="s">
        <v>2530</v>
      </c>
      <c r="M731" s="0" t="s">
        <v>2532</v>
      </c>
      <c r="N731" s="0" t="s">
        <v>2533</v>
      </c>
      <c r="P731" s="0" t="n">
        <v>1920</v>
      </c>
      <c r="Q731" s="0" t="s">
        <v>39</v>
      </c>
      <c r="R731" s="0" t="s">
        <v>2534</v>
      </c>
      <c r="S731" s="0" t="s">
        <v>2535</v>
      </c>
      <c r="V731" s="0" t="n">
        <v>1</v>
      </c>
      <c r="W731" s="0" t="n">
        <v>1</v>
      </c>
      <c r="X731" s="0" t="str">
        <f aca="false">"31811011630137"</f>
        <v>31811011630137</v>
      </c>
      <c r="Y731" s="0" t="s">
        <v>39</v>
      </c>
      <c r="Z731" s="0" t="s">
        <v>42</v>
      </c>
      <c r="AA731" s="0" t="s">
        <v>43</v>
      </c>
      <c r="AE731" s="1" t="s">
        <v>52</v>
      </c>
      <c r="AH731" s="1" t="s">
        <v>2536</v>
      </c>
    </row>
    <row r="732" customFormat="false" ht="12.8" hidden="false" customHeight="false" outlineLevel="0" collapsed="false">
      <c r="A732" s="0" t="n">
        <v>469276</v>
      </c>
      <c r="B732" s="0" t="n">
        <v>501271</v>
      </c>
      <c r="C732" s="0" t="n">
        <v>562925</v>
      </c>
      <c r="D732" s="0" t="s">
        <v>35</v>
      </c>
      <c r="E732" s="0" t="s">
        <v>35</v>
      </c>
      <c r="F732" s="0" t="s">
        <v>36</v>
      </c>
      <c r="G732" s="0" t="s">
        <v>37</v>
      </c>
      <c r="H732" s="0" t="s">
        <v>2530</v>
      </c>
      <c r="I732" s="0" t="s">
        <v>2531</v>
      </c>
      <c r="J732" s="0" t="s">
        <v>2530</v>
      </c>
      <c r="M732" s="0" t="s">
        <v>2532</v>
      </c>
      <c r="N732" s="0" t="s">
        <v>2533</v>
      </c>
      <c r="P732" s="0" t="n">
        <v>1920</v>
      </c>
      <c r="Q732" s="0" t="s">
        <v>39</v>
      </c>
      <c r="R732" s="0" t="s">
        <v>2534</v>
      </c>
      <c r="S732" s="0" t="s">
        <v>2535</v>
      </c>
      <c r="V732" s="0" t="n">
        <v>2</v>
      </c>
      <c r="W732" s="0" t="n">
        <v>1</v>
      </c>
      <c r="X732" s="0" t="str">
        <f aca="false">"31811003180448"</f>
        <v>31811003180448</v>
      </c>
      <c r="Y732" s="0" t="s">
        <v>39</v>
      </c>
      <c r="Z732" s="0" t="s">
        <v>42</v>
      </c>
      <c r="AA732" s="0" t="s">
        <v>43</v>
      </c>
      <c r="AE732" s="1" t="s">
        <v>52</v>
      </c>
    </row>
    <row r="733" customFormat="false" ht="12.8" hidden="false" customHeight="false" outlineLevel="0" collapsed="false">
      <c r="A733" s="0" t="n">
        <v>218683</v>
      </c>
      <c r="B733" s="0" t="n">
        <v>239871</v>
      </c>
      <c r="C733" s="0" t="n">
        <v>270278</v>
      </c>
      <c r="D733" s="0" t="s">
        <v>35</v>
      </c>
      <c r="E733" s="0" t="s">
        <v>35</v>
      </c>
      <c r="F733" s="0" t="s">
        <v>36</v>
      </c>
      <c r="G733" s="0" t="s">
        <v>37</v>
      </c>
      <c r="H733" s="0" t="s">
        <v>2537</v>
      </c>
      <c r="I733" s="0" t="s">
        <v>2538</v>
      </c>
      <c r="J733" s="0" t="s">
        <v>2539</v>
      </c>
      <c r="M733" s="0" t="s">
        <v>2540</v>
      </c>
      <c r="N733" s="0" t="s">
        <v>2541</v>
      </c>
      <c r="O733" s="0" t="s">
        <v>2542</v>
      </c>
      <c r="P733" s="0" t="n">
        <v>1924</v>
      </c>
      <c r="Q733" s="0" t="s">
        <v>39</v>
      </c>
      <c r="R733" s="0" t="s">
        <v>2543</v>
      </c>
      <c r="S733" s="0" t="s">
        <v>2544</v>
      </c>
      <c r="V733" s="0" t="n">
        <v>1</v>
      </c>
      <c r="W733" s="0" t="n">
        <v>1</v>
      </c>
      <c r="X733" s="0" t="str">
        <f aca="false">"31811010746967"</f>
        <v>31811010746967</v>
      </c>
      <c r="Y733" s="0" t="s">
        <v>39</v>
      </c>
      <c r="Z733" s="0" t="s">
        <v>42</v>
      </c>
      <c r="AA733" s="0" t="s">
        <v>43</v>
      </c>
      <c r="AE733" s="1" t="s">
        <v>52</v>
      </c>
    </row>
    <row r="734" customFormat="false" ht="12.8" hidden="false" customHeight="false" outlineLevel="0" collapsed="false">
      <c r="A734" s="0" t="n">
        <v>397779</v>
      </c>
      <c r="B734" s="0" t="n">
        <v>429548</v>
      </c>
      <c r="C734" s="0" t="n">
        <v>478785</v>
      </c>
      <c r="D734" s="0" t="s">
        <v>35</v>
      </c>
      <c r="E734" s="0" t="s">
        <v>35</v>
      </c>
      <c r="F734" s="0" t="s">
        <v>36</v>
      </c>
      <c r="G734" s="0" t="s">
        <v>412</v>
      </c>
      <c r="H734" s="0" t="s">
        <v>2545</v>
      </c>
      <c r="I734" s="0" t="s">
        <v>2546</v>
      </c>
      <c r="J734" s="0" t="s">
        <v>2545</v>
      </c>
      <c r="M734" s="0" t="s">
        <v>2547</v>
      </c>
      <c r="N734" s="0" t="n">
        <v>1925</v>
      </c>
      <c r="P734" s="0" t="n">
        <v>1925</v>
      </c>
      <c r="Q734" s="0" t="s">
        <v>39</v>
      </c>
      <c r="R734" s="0" t="s">
        <v>2548</v>
      </c>
      <c r="S734" s="0" t="s">
        <v>2549</v>
      </c>
      <c r="V734" s="0" t="n">
        <v>1</v>
      </c>
      <c r="W734" s="0" t="n">
        <v>1</v>
      </c>
      <c r="X734" s="0" t="str">
        <f aca="false">"31811010746926"</f>
        <v>31811010746926</v>
      </c>
      <c r="Y734" s="0" t="s">
        <v>39</v>
      </c>
      <c r="Z734" s="0" t="s">
        <v>42</v>
      </c>
      <c r="AA734" s="0" t="s">
        <v>43</v>
      </c>
      <c r="AE734" s="1" t="s">
        <v>52</v>
      </c>
    </row>
    <row r="735" customFormat="false" ht="12.8" hidden="false" customHeight="false" outlineLevel="0" collapsed="false">
      <c r="A735" s="0" t="n">
        <v>397779</v>
      </c>
      <c r="B735" s="0" t="n">
        <v>429549</v>
      </c>
      <c r="C735" s="0" t="n">
        <v>478786</v>
      </c>
      <c r="D735" s="0" t="s">
        <v>35</v>
      </c>
      <c r="E735" s="0" t="s">
        <v>35</v>
      </c>
      <c r="F735" s="0" t="s">
        <v>36</v>
      </c>
      <c r="G735" s="0" t="s">
        <v>412</v>
      </c>
      <c r="H735" s="0" t="s">
        <v>2545</v>
      </c>
      <c r="I735" s="0" t="s">
        <v>2546</v>
      </c>
      <c r="J735" s="0" t="s">
        <v>2545</v>
      </c>
      <c r="M735" s="0" t="s">
        <v>2547</v>
      </c>
      <c r="N735" s="0" t="n">
        <v>1925</v>
      </c>
      <c r="P735" s="0" t="n">
        <v>1925</v>
      </c>
      <c r="Q735" s="0" t="s">
        <v>39</v>
      </c>
      <c r="R735" s="0" t="s">
        <v>2548</v>
      </c>
      <c r="S735" s="0" t="s">
        <v>2549</v>
      </c>
      <c r="V735" s="0" t="n">
        <v>2</v>
      </c>
      <c r="W735" s="0" t="n">
        <v>1</v>
      </c>
      <c r="X735" s="0" t="str">
        <f aca="false">"31811003180455"</f>
        <v>31811003180455</v>
      </c>
      <c r="Y735" s="0" t="s">
        <v>39</v>
      </c>
      <c r="Z735" s="0" t="s">
        <v>42</v>
      </c>
      <c r="AA735" s="0" t="s">
        <v>43</v>
      </c>
      <c r="AE735" s="1" t="s">
        <v>52</v>
      </c>
    </row>
    <row r="736" customFormat="false" ht="12.8" hidden="false" customHeight="false" outlineLevel="0" collapsed="false">
      <c r="A736" s="0" t="n">
        <v>322638</v>
      </c>
      <c r="B736" s="0" t="n">
        <v>350965</v>
      </c>
      <c r="C736" s="0" t="n">
        <v>391677</v>
      </c>
      <c r="D736" s="0" t="s">
        <v>35</v>
      </c>
      <c r="E736" s="0" t="s">
        <v>35</v>
      </c>
      <c r="F736" s="0" t="s">
        <v>36</v>
      </c>
      <c r="G736" s="0" t="s">
        <v>37</v>
      </c>
      <c r="H736" s="0" t="s">
        <v>2550</v>
      </c>
      <c r="I736" s="0" t="s">
        <v>2551</v>
      </c>
      <c r="J736" s="0" t="s">
        <v>2550</v>
      </c>
      <c r="M736" s="0" t="s">
        <v>2552</v>
      </c>
      <c r="N736" s="0" t="s">
        <v>2553</v>
      </c>
      <c r="O736" s="0" t="s">
        <v>2554</v>
      </c>
      <c r="P736" s="0" t="n">
        <v>1928</v>
      </c>
      <c r="Q736" s="0" t="s">
        <v>39</v>
      </c>
      <c r="R736" s="0" t="s">
        <v>2555</v>
      </c>
      <c r="S736" s="0" t="s">
        <v>2556</v>
      </c>
      <c r="V736" s="0" t="n">
        <v>1</v>
      </c>
      <c r="W736" s="0" t="n">
        <v>1</v>
      </c>
      <c r="X736" s="0" t="str">
        <f aca="false">"31811010746884"</f>
        <v>31811010746884</v>
      </c>
      <c r="Y736" s="0" t="s">
        <v>39</v>
      </c>
      <c r="Z736" s="0" t="s">
        <v>42</v>
      </c>
      <c r="AA736" s="0" t="s">
        <v>43</v>
      </c>
      <c r="AE736" s="1" t="s">
        <v>52</v>
      </c>
    </row>
    <row r="737" customFormat="false" ht="12.8" hidden="false" customHeight="false" outlineLevel="0" collapsed="false">
      <c r="A737" s="0" t="n">
        <v>477183</v>
      </c>
      <c r="B737" s="0" t="n">
        <v>509377</v>
      </c>
      <c r="C737" s="0" t="n">
        <v>571893</v>
      </c>
      <c r="D737" s="0" t="s">
        <v>35</v>
      </c>
      <c r="E737" s="0" t="s">
        <v>35</v>
      </c>
      <c r="F737" s="0" t="s">
        <v>36</v>
      </c>
      <c r="G737" s="0" t="s">
        <v>37</v>
      </c>
      <c r="H737" s="0" t="s">
        <v>2557</v>
      </c>
      <c r="I737" s="0" t="s">
        <v>2558</v>
      </c>
      <c r="J737" s="0" t="s">
        <v>2559</v>
      </c>
      <c r="M737" s="0" t="s">
        <v>2560</v>
      </c>
      <c r="N737" s="0" t="s">
        <v>2561</v>
      </c>
      <c r="O737" s="0" t="s">
        <v>2562</v>
      </c>
      <c r="P737" s="0" t="n">
        <v>1970</v>
      </c>
      <c r="Q737" s="0" t="s">
        <v>39</v>
      </c>
      <c r="R737" s="0" t="s">
        <v>2563</v>
      </c>
      <c r="S737" s="0" t="s">
        <v>2564</v>
      </c>
      <c r="V737" s="0" t="n">
        <v>2</v>
      </c>
      <c r="W737" s="0" t="n">
        <v>1</v>
      </c>
      <c r="X737" s="0" t="str">
        <f aca="false">"31811010746843"</f>
        <v>31811010746843</v>
      </c>
      <c r="Y737" s="0" t="s">
        <v>39</v>
      </c>
      <c r="Z737" s="0" t="s">
        <v>42</v>
      </c>
      <c r="AA737" s="0" t="s">
        <v>43</v>
      </c>
      <c r="AE737" s="1" t="s">
        <v>52</v>
      </c>
    </row>
    <row r="738" customFormat="false" ht="12.8" hidden="false" customHeight="false" outlineLevel="0" collapsed="false">
      <c r="A738" s="0" t="n">
        <v>348269</v>
      </c>
      <c r="B738" s="0" t="n">
        <v>377407</v>
      </c>
      <c r="C738" s="0" t="n">
        <v>420031</v>
      </c>
      <c r="D738" s="0" t="s">
        <v>35</v>
      </c>
      <c r="E738" s="0" t="s">
        <v>35</v>
      </c>
      <c r="F738" s="0" t="s">
        <v>36</v>
      </c>
      <c r="G738" s="0" t="s">
        <v>37</v>
      </c>
      <c r="H738" s="0" t="s">
        <v>2565</v>
      </c>
      <c r="I738" s="0" t="s">
        <v>2566</v>
      </c>
      <c r="J738" s="0" t="s">
        <v>2567</v>
      </c>
      <c r="M738" s="0" t="s">
        <v>2568</v>
      </c>
      <c r="N738" s="0" t="s">
        <v>2569</v>
      </c>
      <c r="O738" s="0" t="s">
        <v>2570</v>
      </c>
      <c r="P738" s="0" t="n">
        <v>1926</v>
      </c>
      <c r="Q738" s="0" t="s">
        <v>39</v>
      </c>
      <c r="R738" s="0" t="s">
        <v>2571</v>
      </c>
      <c r="S738" s="0" t="s">
        <v>2572</v>
      </c>
      <c r="V738" s="0" t="n">
        <v>1</v>
      </c>
      <c r="W738" s="0" t="n">
        <v>1</v>
      </c>
      <c r="X738" s="0" t="str">
        <f aca="false">"31811010746959"</f>
        <v>31811010746959</v>
      </c>
      <c r="Y738" s="0" t="s">
        <v>39</v>
      </c>
      <c r="Z738" s="0" t="s">
        <v>42</v>
      </c>
      <c r="AA738" s="0" t="s">
        <v>43</v>
      </c>
      <c r="AE738" s="1" t="s">
        <v>52</v>
      </c>
    </row>
    <row r="739" customFormat="false" ht="12.8" hidden="false" customHeight="false" outlineLevel="0" collapsed="false">
      <c r="A739" s="0" t="n">
        <v>478944</v>
      </c>
      <c r="B739" s="0" t="n">
        <v>511166</v>
      </c>
      <c r="C739" s="0" t="n">
        <v>573767</v>
      </c>
      <c r="D739" s="0" t="s">
        <v>35</v>
      </c>
      <c r="E739" s="0" t="s">
        <v>35</v>
      </c>
      <c r="F739" s="0" t="s">
        <v>36</v>
      </c>
      <c r="G739" s="0" t="s">
        <v>37</v>
      </c>
      <c r="H739" s="0" t="s">
        <v>2573</v>
      </c>
      <c r="I739" s="0" t="s">
        <v>2574</v>
      </c>
      <c r="J739" s="0" t="s">
        <v>2575</v>
      </c>
      <c r="M739" s="0" t="s">
        <v>2576</v>
      </c>
      <c r="N739" s="0" t="s">
        <v>2553</v>
      </c>
      <c r="O739" s="0" t="s">
        <v>2577</v>
      </c>
      <c r="P739" s="0" t="n">
        <v>1928</v>
      </c>
      <c r="Q739" s="0" t="s">
        <v>39</v>
      </c>
      <c r="R739" s="0" t="s">
        <v>2578</v>
      </c>
      <c r="S739" s="0" t="s">
        <v>2579</v>
      </c>
      <c r="V739" s="0" t="n">
        <v>1</v>
      </c>
      <c r="W739" s="0" t="n">
        <v>1</v>
      </c>
      <c r="X739" s="0" t="str">
        <f aca="false">"31811010746918"</f>
        <v>31811010746918</v>
      </c>
      <c r="Y739" s="0" t="s">
        <v>39</v>
      </c>
      <c r="Z739" s="0" t="s">
        <v>42</v>
      </c>
      <c r="AA739" s="0" t="s">
        <v>43</v>
      </c>
      <c r="AE739" s="1" t="s">
        <v>52</v>
      </c>
    </row>
    <row r="740" customFormat="false" ht="12.8" hidden="false" customHeight="false" outlineLevel="0" collapsed="false">
      <c r="A740" s="0" t="n">
        <v>373878</v>
      </c>
      <c r="B740" s="0" t="n">
        <v>404606</v>
      </c>
      <c r="C740" s="0" t="n">
        <v>450723</v>
      </c>
      <c r="D740" s="0" t="s">
        <v>35</v>
      </c>
      <c r="E740" s="0" t="s">
        <v>35</v>
      </c>
      <c r="F740" s="0" t="s">
        <v>36</v>
      </c>
      <c r="G740" s="0" t="s">
        <v>37</v>
      </c>
      <c r="H740" s="0" t="s">
        <v>2580</v>
      </c>
      <c r="I740" s="0" t="s">
        <v>2581</v>
      </c>
      <c r="J740" s="0" t="s">
        <v>2582</v>
      </c>
      <c r="M740" s="0" t="s">
        <v>2583</v>
      </c>
      <c r="N740" s="0" t="s">
        <v>2553</v>
      </c>
      <c r="O740" s="0" t="s">
        <v>2584</v>
      </c>
      <c r="P740" s="0" t="n">
        <v>1928</v>
      </c>
      <c r="Q740" s="0" t="s">
        <v>39</v>
      </c>
      <c r="R740" s="0" t="s">
        <v>2585</v>
      </c>
      <c r="S740" s="0" t="s">
        <v>2586</v>
      </c>
      <c r="V740" s="0" t="n">
        <v>1</v>
      </c>
      <c r="W740" s="0" t="n">
        <v>1</v>
      </c>
      <c r="X740" s="0" t="str">
        <f aca="false">"31811010746876"</f>
        <v>31811010746876</v>
      </c>
      <c r="Y740" s="0" t="s">
        <v>39</v>
      </c>
      <c r="Z740" s="0" t="s">
        <v>42</v>
      </c>
      <c r="AA740" s="0" t="s">
        <v>43</v>
      </c>
      <c r="AE740" s="1" t="s">
        <v>52</v>
      </c>
    </row>
    <row r="741" customFormat="false" ht="12.8" hidden="false" customHeight="false" outlineLevel="0" collapsed="false">
      <c r="A741" s="0" t="n">
        <v>465194</v>
      </c>
      <c r="B741" s="0" t="n">
        <v>497043</v>
      </c>
      <c r="C741" s="0" t="n">
        <v>558125</v>
      </c>
      <c r="D741" s="0" t="s">
        <v>35</v>
      </c>
      <c r="E741" s="0" t="s">
        <v>35</v>
      </c>
      <c r="F741" s="0" t="s">
        <v>36</v>
      </c>
      <c r="G741" s="0" t="s">
        <v>37</v>
      </c>
      <c r="H741" s="0" t="s">
        <v>2587</v>
      </c>
      <c r="I741" s="0" t="s">
        <v>2588</v>
      </c>
      <c r="J741" s="0" t="s">
        <v>2589</v>
      </c>
      <c r="M741" s="0" t="s">
        <v>2590</v>
      </c>
      <c r="N741" s="0" t="s">
        <v>2591</v>
      </c>
      <c r="O741" s="0" t="s">
        <v>2584</v>
      </c>
      <c r="P741" s="0" t="n">
        <v>1931</v>
      </c>
      <c r="Q741" s="0" t="s">
        <v>39</v>
      </c>
      <c r="R741" s="0" t="s">
        <v>2592</v>
      </c>
      <c r="S741" s="0" t="s">
        <v>2593</v>
      </c>
      <c r="V741" s="0" t="n">
        <v>1</v>
      </c>
      <c r="W741" s="0" t="n">
        <v>1</v>
      </c>
      <c r="X741" s="0" t="str">
        <f aca="false">"31811010746835"</f>
        <v>31811010746835</v>
      </c>
      <c r="Y741" s="0" t="s">
        <v>39</v>
      </c>
      <c r="Z741" s="0" t="s">
        <v>42</v>
      </c>
      <c r="AA741" s="0" t="s">
        <v>43</v>
      </c>
      <c r="AE741" s="1" t="s">
        <v>52</v>
      </c>
    </row>
    <row r="742" customFormat="false" ht="12.8" hidden="false" customHeight="false" outlineLevel="0" collapsed="false">
      <c r="A742" s="0" t="n">
        <v>351030</v>
      </c>
      <c r="B742" s="0" t="n">
        <v>380277</v>
      </c>
      <c r="C742" s="0" t="n">
        <v>423184</v>
      </c>
      <c r="D742" s="0" t="s">
        <v>35</v>
      </c>
      <c r="E742" s="0" t="s">
        <v>35</v>
      </c>
      <c r="F742" s="0" t="s">
        <v>36</v>
      </c>
      <c r="G742" s="0" t="s">
        <v>37</v>
      </c>
      <c r="H742" s="0" t="s">
        <v>2594</v>
      </c>
      <c r="I742" s="0" t="s">
        <v>2595</v>
      </c>
      <c r="J742" s="0" t="s">
        <v>2596</v>
      </c>
      <c r="M742" s="0" t="s">
        <v>2597</v>
      </c>
      <c r="N742" s="0" t="n">
        <v>1912</v>
      </c>
      <c r="O742" s="0" t="s">
        <v>2598</v>
      </c>
      <c r="P742" s="0" t="n">
        <v>1912</v>
      </c>
      <c r="Q742" s="0" t="s">
        <v>39</v>
      </c>
      <c r="R742" s="0" t="s">
        <v>2599</v>
      </c>
      <c r="S742" s="0" t="s">
        <v>2600</v>
      </c>
      <c r="V742" s="0" t="n">
        <v>1</v>
      </c>
      <c r="W742" s="0" t="n">
        <v>1</v>
      </c>
      <c r="X742" s="0" t="str">
        <f aca="false">"31811010746942"</f>
        <v>31811010746942</v>
      </c>
      <c r="Y742" s="0" t="s">
        <v>39</v>
      </c>
      <c r="Z742" s="0" t="s">
        <v>42</v>
      </c>
      <c r="AA742" s="0" t="s">
        <v>43</v>
      </c>
      <c r="AE742" s="1" t="s">
        <v>52</v>
      </c>
    </row>
    <row r="743" customFormat="false" ht="12.8" hidden="false" customHeight="false" outlineLevel="0" collapsed="false">
      <c r="A743" s="0" t="n">
        <v>365825</v>
      </c>
      <c r="B743" s="0" t="n">
        <v>395548</v>
      </c>
      <c r="C743" s="0" t="n">
        <v>439671</v>
      </c>
      <c r="D743" s="0" t="s">
        <v>35</v>
      </c>
      <c r="E743" s="0" t="s">
        <v>35</v>
      </c>
      <c r="F743" s="0" t="s">
        <v>36</v>
      </c>
      <c r="G743" s="0" t="s">
        <v>37</v>
      </c>
      <c r="H743" s="0" t="s">
        <v>2601</v>
      </c>
      <c r="I743" s="0" t="s">
        <v>2602</v>
      </c>
      <c r="J743" s="0" t="s">
        <v>2603</v>
      </c>
      <c r="M743" s="0" t="s">
        <v>2604</v>
      </c>
      <c r="N743" s="0" t="s">
        <v>2605</v>
      </c>
      <c r="O743" s="0" t="s">
        <v>2606</v>
      </c>
      <c r="P743" s="0" t="n">
        <v>1927</v>
      </c>
      <c r="Q743" s="0" t="s">
        <v>39</v>
      </c>
      <c r="R743" s="0" t="s">
        <v>2607</v>
      </c>
      <c r="S743" s="0" t="s">
        <v>2608</v>
      </c>
      <c r="V743" s="0" t="n">
        <v>1</v>
      </c>
      <c r="W743" s="0" t="n">
        <v>1</v>
      </c>
      <c r="X743" s="0" t="str">
        <f aca="false">"31811010746900"</f>
        <v>31811010746900</v>
      </c>
      <c r="Y743" s="0" t="s">
        <v>39</v>
      </c>
      <c r="Z743" s="0" t="s">
        <v>42</v>
      </c>
      <c r="AA743" s="0" t="s">
        <v>43</v>
      </c>
      <c r="AE743" s="1" t="s">
        <v>52</v>
      </c>
    </row>
    <row r="744" customFormat="false" ht="12.8" hidden="false" customHeight="false" outlineLevel="0" collapsed="false">
      <c r="A744" s="0" t="n">
        <v>405258</v>
      </c>
      <c r="B744" s="0" t="n">
        <v>437363</v>
      </c>
      <c r="C744" s="0" t="n">
        <v>487680</v>
      </c>
      <c r="D744" s="0" t="s">
        <v>35</v>
      </c>
      <c r="E744" s="0" t="s">
        <v>35</v>
      </c>
      <c r="F744" s="0" t="s">
        <v>36</v>
      </c>
      <c r="G744" s="0" t="s">
        <v>412</v>
      </c>
      <c r="H744" s="0" t="s">
        <v>2609</v>
      </c>
      <c r="I744" s="0" t="s">
        <v>2610</v>
      </c>
      <c r="J744" s="0" t="s">
        <v>2609</v>
      </c>
      <c r="M744" s="0" t="s">
        <v>2611</v>
      </c>
      <c r="Q744" s="0" t="s">
        <v>39</v>
      </c>
      <c r="R744" s="0" t="s">
        <v>2612</v>
      </c>
      <c r="S744" s="0" t="s">
        <v>2613</v>
      </c>
      <c r="V744" s="0" t="n">
        <v>1</v>
      </c>
      <c r="W744" s="0" t="n">
        <v>1</v>
      </c>
      <c r="X744" s="0" t="str">
        <f aca="false">"31811010746868"</f>
        <v>31811010746868</v>
      </c>
      <c r="Y744" s="0" t="s">
        <v>39</v>
      </c>
      <c r="Z744" s="0" t="s">
        <v>42</v>
      </c>
      <c r="AA744" s="0" t="s">
        <v>43</v>
      </c>
      <c r="AE744" s="1" t="s">
        <v>52</v>
      </c>
    </row>
    <row r="745" customFormat="false" ht="12.8" hidden="false" customHeight="false" outlineLevel="0" collapsed="false">
      <c r="A745" s="0" t="n">
        <v>244811</v>
      </c>
      <c r="B745" s="0" t="n">
        <v>268350</v>
      </c>
      <c r="C745" s="0" t="n">
        <v>301813</v>
      </c>
      <c r="D745" s="0" t="s">
        <v>35</v>
      </c>
      <c r="E745" s="0" t="s">
        <v>35</v>
      </c>
      <c r="F745" s="0" t="s">
        <v>36</v>
      </c>
      <c r="G745" s="0" t="s">
        <v>37</v>
      </c>
      <c r="H745" s="0" t="s">
        <v>2614</v>
      </c>
      <c r="I745" s="0" t="s">
        <v>2615</v>
      </c>
      <c r="J745" s="0" t="s">
        <v>2616</v>
      </c>
      <c r="M745" s="0" t="s">
        <v>2617</v>
      </c>
      <c r="N745" s="0" t="s">
        <v>1345</v>
      </c>
      <c r="O745" s="0" t="s">
        <v>2584</v>
      </c>
      <c r="P745" s="0" t="n">
        <v>1931</v>
      </c>
      <c r="Q745" s="0" t="s">
        <v>39</v>
      </c>
      <c r="R745" s="0" t="s">
        <v>2618</v>
      </c>
      <c r="S745" s="0" t="s">
        <v>2619</v>
      </c>
      <c r="V745" s="0" t="n">
        <v>1</v>
      </c>
      <c r="W745" s="0" t="n">
        <v>1</v>
      </c>
      <c r="X745" s="0" t="str">
        <f aca="false">"31811010746827"</f>
        <v>31811010746827</v>
      </c>
      <c r="Y745" s="0" t="s">
        <v>39</v>
      </c>
      <c r="Z745" s="0" t="s">
        <v>42</v>
      </c>
      <c r="AA745" s="0" t="s">
        <v>43</v>
      </c>
      <c r="AE745" s="1" t="s">
        <v>52</v>
      </c>
    </row>
    <row r="746" customFormat="false" ht="12.8" hidden="false" customHeight="false" outlineLevel="0" collapsed="false">
      <c r="A746" s="0" t="n">
        <v>364490</v>
      </c>
      <c r="B746" s="0" t="n">
        <v>394193</v>
      </c>
      <c r="C746" s="0" t="n">
        <v>438221</v>
      </c>
      <c r="D746" s="0" t="s">
        <v>35</v>
      </c>
      <c r="E746" s="0" t="s">
        <v>35</v>
      </c>
      <c r="F746" s="0" t="s">
        <v>36</v>
      </c>
      <c r="G746" s="0" t="s">
        <v>37</v>
      </c>
      <c r="H746" s="0" t="s">
        <v>2620</v>
      </c>
      <c r="I746" s="0" t="s">
        <v>2538</v>
      </c>
      <c r="J746" s="0" t="s">
        <v>2621</v>
      </c>
      <c r="M746" s="0" t="s">
        <v>2622</v>
      </c>
      <c r="N746" s="0" t="s">
        <v>2623</v>
      </c>
      <c r="O746" s="0" t="s">
        <v>2584</v>
      </c>
      <c r="P746" s="0" t="n">
        <v>1932</v>
      </c>
      <c r="Q746" s="0" t="s">
        <v>39</v>
      </c>
      <c r="R746" s="0" t="s">
        <v>2624</v>
      </c>
      <c r="S746" s="0" t="s">
        <v>2625</v>
      </c>
      <c r="V746" s="0" t="n">
        <v>1</v>
      </c>
      <c r="W746" s="0" t="n">
        <v>1</v>
      </c>
      <c r="X746" s="0" t="str">
        <f aca="false">"31811010746934"</f>
        <v>31811010746934</v>
      </c>
      <c r="Y746" s="0" t="s">
        <v>39</v>
      </c>
      <c r="Z746" s="0" t="s">
        <v>42</v>
      </c>
      <c r="AA746" s="0" t="s">
        <v>43</v>
      </c>
      <c r="AE746" s="1" t="s">
        <v>52</v>
      </c>
    </row>
    <row r="747" customFormat="false" ht="12.8" hidden="false" customHeight="false" outlineLevel="0" collapsed="false">
      <c r="A747" s="0" t="n">
        <v>287578</v>
      </c>
      <c r="B747" s="0" t="n">
        <v>314216</v>
      </c>
      <c r="C747" s="0" t="n">
        <v>351655</v>
      </c>
      <c r="D747" s="0" t="s">
        <v>35</v>
      </c>
      <c r="E747" s="0" t="s">
        <v>35</v>
      </c>
      <c r="F747" s="0" t="s">
        <v>36</v>
      </c>
      <c r="G747" s="0" t="s">
        <v>37</v>
      </c>
      <c r="H747" s="0" t="s">
        <v>2626</v>
      </c>
      <c r="I747" s="0" t="s">
        <v>2627</v>
      </c>
      <c r="J747" s="0" t="s">
        <v>2626</v>
      </c>
      <c r="M747" s="0" t="s">
        <v>2628</v>
      </c>
      <c r="P747" s="0" t="n">
        <v>1933</v>
      </c>
      <c r="Q747" s="0" t="s">
        <v>39</v>
      </c>
      <c r="R747" s="0" t="s">
        <v>2629</v>
      </c>
      <c r="S747" s="0" t="s">
        <v>2630</v>
      </c>
      <c r="V747" s="0" t="n">
        <v>1</v>
      </c>
      <c r="W747" s="0" t="n">
        <v>1</v>
      </c>
      <c r="X747" s="0" t="str">
        <f aca="false">"31811010746892"</f>
        <v>31811010746892</v>
      </c>
      <c r="Y747" s="0" t="s">
        <v>39</v>
      </c>
      <c r="Z747" s="0" t="s">
        <v>42</v>
      </c>
      <c r="AA747" s="0" t="s">
        <v>43</v>
      </c>
      <c r="AE747" s="1" t="s">
        <v>52</v>
      </c>
    </row>
    <row r="748" customFormat="false" ht="12.8" hidden="false" customHeight="false" outlineLevel="0" collapsed="false">
      <c r="A748" s="0" t="n">
        <v>392804</v>
      </c>
      <c r="B748" s="0" t="n">
        <v>424464</v>
      </c>
      <c r="C748" s="0" t="n">
        <v>473464</v>
      </c>
      <c r="D748" s="0" t="s">
        <v>35</v>
      </c>
      <c r="E748" s="0" t="s">
        <v>35</v>
      </c>
      <c r="F748" s="0" t="s">
        <v>36</v>
      </c>
      <c r="G748" s="0" t="s">
        <v>412</v>
      </c>
      <c r="H748" s="0" t="s">
        <v>2631</v>
      </c>
      <c r="I748" s="0" t="s">
        <v>2632</v>
      </c>
      <c r="J748" s="0" t="s">
        <v>2631</v>
      </c>
      <c r="M748" s="0" t="s">
        <v>2633</v>
      </c>
      <c r="Q748" s="0" t="s">
        <v>39</v>
      </c>
      <c r="R748" s="0" t="s">
        <v>2634</v>
      </c>
      <c r="S748" s="0" t="s">
        <v>2635</v>
      </c>
      <c r="V748" s="0" t="n">
        <v>1</v>
      </c>
      <c r="W748" s="0" t="n">
        <v>1</v>
      </c>
      <c r="X748" s="0" t="str">
        <f aca="false">"31811010746850"</f>
        <v>31811010746850</v>
      </c>
      <c r="Y748" s="0" t="s">
        <v>39</v>
      </c>
      <c r="Z748" s="0" t="s">
        <v>42</v>
      </c>
      <c r="AA748" s="0" t="s">
        <v>43</v>
      </c>
      <c r="AE748" s="1" t="s">
        <v>52</v>
      </c>
    </row>
    <row r="749" customFormat="false" ht="12.8" hidden="false" customHeight="false" outlineLevel="0" collapsed="false">
      <c r="A749" s="0" t="n">
        <v>497864</v>
      </c>
      <c r="B749" s="0" t="n">
        <v>479008</v>
      </c>
      <c r="C749" s="0" t="n">
        <v>536817</v>
      </c>
      <c r="D749" s="0" t="s">
        <v>35</v>
      </c>
      <c r="E749" s="0" t="s">
        <v>35</v>
      </c>
      <c r="F749" s="0" t="s">
        <v>36</v>
      </c>
      <c r="G749" s="0" t="s">
        <v>37</v>
      </c>
      <c r="H749" s="0" t="s">
        <v>2636</v>
      </c>
      <c r="I749" s="0" t="s">
        <v>2637</v>
      </c>
      <c r="J749" s="0" t="s">
        <v>2638</v>
      </c>
      <c r="M749" s="0" t="s">
        <v>2639</v>
      </c>
      <c r="P749" s="0" t="n">
        <v>1936</v>
      </c>
      <c r="Q749" s="0" t="s">
        <v>39</v>
      </c>
      <c r="R749" s="0" t="s">
        <v>2640</v>
      </c>
      <c r="S749" s="0" t="s">
        <v>2641</v>
      </c>
      <c r="V749" s="0" t="n">
        <v>1</v>
      </c>
      <c r="W749" s="0" t="n">
        <v>1</v>
      </c>
      <c r="X749" s="0" t="str">
        <f aca="false">"31811003180463"</f>
        <v>31811003180463</v>
      </c>
      <c r="Y749" s="0" t="s">
        <v>39</v>
      </c>
      <c r="Z749" s="0" t="s">
        <v>42</v>
      </c>
      <c r="AA749" s="0" t="s">
        <v>43</v>
      </c>
      <c r="AE749" s="1" t="s">
        <v>52</v>
      </c>
      <c r="AH749" s="1" t="s">
        <v>2642</v>
      </c>
    </row>
    <row r="750" customFormat="false" ht="12.8" hidden="false" customHeight="false" outlineLevel="0" collapsed="false">
      <c r="A750" s="0" t="n">
        <v>179254</v>
      </c>
      <c r="B750" s="0" t="n">
        <v>195990</v>
      </c>
      <c r="C750" s="0" t="n">
        <v>220256</v>
      </c>
      <c r="D750" s="0" t="s">
        <v>35</v>
      </c>
      <c r="E750" s="0" t="s">
        <v>35</v>
      </c>
      <c r="F750" s="0" t="s">
        <v>36</v>
      </c>
      <c r="G750" s="0" t="s">
        <v>37</v>
      </c>
      <c r="H750" s="0" t="s">
        <v>2643</v>
      </c>
      <c r="I750" s="0" t="s">
        <v>2644</v>
      </c>
      <c r="J750" s="0" t="s">
        <v>2645</v>
      </c>
      <c r="M750" s="0" t="s">
        <v>2646</v>
      </c>
      <c r="N750" s="0" t="s">
        <v>2647</v>
      </c>
      <c r="O750" s="0" t="s">
        <v>2584</v>
      </c>
      <c r="P750" s="0" t="n">
        <v>1936</v>
      </c>
      <c r="Q750" s="0" t="s">
        <v>39</v>
      </c>
      <c r="R750" s="0" t="s">
        <v>2648</v>
      </c>
      <c r="S750" s="0" t="s">
        <v>2649</v>
      </c>
      <c r="V750" s="0" t="n">
        <v>1</v>
      </c>
      <c r="W750" s="0" t="n">
        <v>1</v>
      </c>
      <c r="X750" s="0" t="str">
        <f aca="false">"31811010746819"</f>
        <v>31811010746819</v>
      </c>
      <c r="Y750" s="0" t="s">
        <v>39</v>
      </c>
      <c r="Z750" s="0" t="s">
        <v>42</v>
      </c>
      <c r="AA750" s="0" t="s">
        <v>43</v>
      </c>
      <c r="AE750" s="1" t="s">
        <v>52</v>
      </c>
    </row>
    <row r="751" customFormat="false" ht="12.8" hidden="false" customHeight="false" outlineLevel="0" collapsed="false">
      <c r="A751" s="0" t="n">
        <v>179254</v>
      </c>
      <c r="B751" s="0" t="n">
        <v>195991</v>
      </c>
      <c r="C751" s="0" t="n">
        <v>220257</v>
      </c>
      <c r="D751" s="0" t="s">
        <v>35</v>
      </c>
      <c r="E751" s="0" t="s">
        <v>35</v>
      </c>
      <c r="F751" s="0" t="s">
        <v>36</v>
      </c>
      <c r="G751" s="0" t="s">
        <v>37</v>
      </c>
      <c r="H751" s="0" t="s">
        <v>2643</v>
      </c>
      <c r="I751" s="0" t="s">
        <v>2644</v>
      </c>
      <c r="J751" s="0" t="s">
        <v>2645</v>
      </c>
      <c r="M751" s="0" t="s">
        <v>2646</v>
      </c>
      <c r="N751" s="0" t="s">
        <v>2647</v>
      </c>
      <c r="O751" s="0" t="s">
        <v>2584</v>
      </c>
      <c r="P751" s="0" t="n">
        <v>1936</v>
      </c>
      <c r="Q751" s="0" t="s">
        <v>39</v>
      </c>
      <c r="R751" s="0" t="s">
        <v>2648</v>
      </c>
      <c r="S751" s="0" t="s">
        <v>2649</v>
      </c>
      <c r="V751" s="0" t="n">
        <v>2</v>
      </c>
      <c r="W751" s="0" t="n">
        <v>1</v>
      </c>
      <c r="X751" s="0" t="str">
        <f aca="false">"31811003180471"</f>
        <v>31811003180471</v>
      </c>
      <c r="Y751" s="0" t="s">
        <v>39</v>
      </c>
      <c r="Z751" s="0" t="s">
        <v>42</v>
      </c>
      <c r="AA751" s="0" t="s">
        <v>43</v>
      </c>
      <c r="AE751" s="1" t="s">
        <v>52</v>
      </c>
    </row>
    <row r="752" customFormat="false" ht="12.8" hidden="false" customHeight="false" outlineLevel="0" collapsed="false">
      <c r="A752" s="0" t="n">
        <v>405259</v>
      </c>
      <c r="B752" s="0" t="n">
        <v>437364</v>
      </c>
      <c r="C752" s="0" t="n">
        <v>487681</v>
      </c>
      <c r="D752" s="0" t="s">
        <v>35</v>
      </c>
      <c r="E752" s="0" t="s">
        <v>35</v>
      </c>
      <c r="F752" s="0" t="s">
        <v>36</v>
      </c>
      <c r="G752" s="0" t="s">
        <v>412</v>
      </c>
      <c r="H752" s="0" t="s">
        <v>2650</v>
      </c>
      <c r="I752" s="0" t="s">
        <v>2651</v>
      </c>
      <c r="J752" s="0" t="s">
        <v>2650</v>
      </c>
      <c r="M752" s="0" t="s">
        <v>2652</v>
      </c>
      <c r="N752" s="0" t="n">
        <v>1937</v>
      </c>
      <c r="P752" s="0" t="n">
        <v>1937</v>
      </c>
      <c r="Q752" s="0" t="s">
        <v>39</v>
      </c>
      <c r="R752" s="0" t="s">
        <v>2653</v>
      </c>
      <c r="S752" s="0" t="s">
        <v>2654</v>
      </c>
      <c r="V752" s="0" t="n">
        <v>1</v>
      </c>
      <c r="W752" s="0" t="n">
        <v>1</v>
      </c>
      <c r="X752" s="0" t="str">
        <f aca="false">"31811010747320"</f>
        <v>31811010747320</v>
      </c>
      <c r="Y752" s="0" t="s">
        <v>39</v>
      </c>
      <c r="Z752" s="0" t="s">
        <v>42</v>
      </c>
      <c r="AA752" s="0" t="s">
        <v>43</v>
      </c>
      <c r="AE752" s="1" t="s">
        <v>52</v>
      </c>
    </row>
    <row r="753" customFormat="false" ht="12.8" hidden="false" customHeight="false" outlineLevel="0" collapsed="false">
      <c r="A753" s="0" t="n">
        <v>502852</v>
      </c>
      <c r="B753" s="0" t="n">
        <v>484223</v>
      </c>
      <c r="C753" s="0" t="n">
        <v>542563</v>
      </c>
      <c r="D753" s="0" t="s">
        <v>35</v>
      </c>
      <c r="E753" s="0" t="s">
        <v>35</v>
      </c>
      <c r="F753" s="0" t="s">
        <v>36</v>
      </c>
      <c r="G753" s="0" t="s">
        <v>37</v>
      </c>
      <c r="H753" s="0" t="s">
        <v>2655</v>
      </c>
      <c r="I753" s="0" t="s">
        <v>2656</v>
      </c>
      <c r="J753" s="0" t="s">
        <v>2655</v>
      </c>
      <c r="M753" s="0" t="s">
        <v>2657</v>
      </c>
      <c r="P753" s="0" t="n">
        <v>1937</v>
      </c>
      <c r="Q753" s="0" t="s">
        <v>39</v>
      </c>
      <c r="R753" s="0" t="s">
        <v>2658</v>
      </c>
      <c r="S753" s="0" t="s">
        <v>2659</v>
      </c>
      <c r="V753" s="0" t="n">
        <v>1</v>
      </c>
      <c r="W753" s="0" t="n">
        <v>1</v>
      </c>
      <c r="X753" s="0" t="str">
        <f aca="false">"31811010747312"</f>
        <v>31811010747312</v>
      </c>
      <c r="Y753" s="0" t="s">
        <v>39</v>
      </c>
      <c r="Z753" s="0" t="s">
        <v>42</v>
      </c>
      <c r="AA753" s="0" t="s">
        <v>43</v>
      </c>
      <c r="AE753" s="1" t="s">
        <v>52</v>
      </c>
    </row>
    <row r="754" customFormat="false" ht="12.8" hidden="false" customHeight="false" outlineLevel="0" collapsed="false">
      <c r="A754" s="0" t="n">
        <v>499624</v>
      </c>
      <c r="B754" s="0" t="n">
        <v>480792</v>
      </c>
      <c r="C754" s="0" t="n">
        <v>538867</v>
      </c>
      <c r="D754" s="0" t="s">
        <v>35</v>
      </c>
      <c r="E754" s="0" t="s">
        <v>35</v>
      </c>
      <c r="F754" s="0" t="s">
        <v>36</v>
      </c>
      <c r="G754" s="0" t="s">
        <v>37</v>
      </c>
      <c r="H754" s="0" t="s">
        <v>2660</v>
      </c>
      <c r="I754" s="0" t="s">
        <v>2661</v>
      </c>
      <c r="J754" s="0" t="s">
        <v>2662</v>
      </c>
      <c r="M754" s="0" t="s">
        <v>2663</v>
      </c>
      <c r="P754" s="0" t="n">
        <v>1937</v>
      </c>
      <c r="Q754" s="0" t="s">
        <v>39</v>
      </c>
      <c r="R754" s="0" t="s">
        <v>2664</v>
      </c>
      <c r="S754" s="0" t="s">
        <v>2665</v>
      </c>
      <c r="V754" s="0" t="n">
        <v>1</v>
      </c>
      <c r="W754" s="0" t="n">
        <v>1</v>
      </c>
      <c r="X754" s="0" t="str">
        <f aca="false">"31811010747304"</f>
        <v>31811010747304</v>
      </c>
      <c r="Y754" s="0" t="s">
        <v>39</v>
      </c>
      <c r="Z754" s="0" t="s">
        <v>42</v>
      </c>
      <c r="AA754" s="0" t="s">
        <v>43</v>
      </c>
      <c r="AE754" s="1" t="s">
        <v>52</v>
      </c>
    </row>
    <row r="755" customFormat="false" ht="12.8" hidden="false" customHeight="false" outlineLevel="0" collapsed="false">
      <c r="A755" s="0" t="n">
        <v>412828</v>
      </c>
      <c r="B755" s="0" t="n">
        <v>445359</v>
      </c>
      <c r="C755" s="0" t="n">
        <v>496503</v>
      </c>
      <c r="D755" s="0" t="s">
        <v>35</v>
      </c>
      <c r="E755" s="0" t="s">
        <v>35</v>
      </c>
      <c r="F755" s="0" t="s">
        <v>36</v>
      </c>
      <c r="G755" s="0" t="s">
        <v>412</v>
      </c>
      <c r="H755" s="0" t="s">
        <v>2666</v>
      </c>
      <c r="I755" s="0" t="s">
        <v>2667</v>
      </c>
      <c r="J755" s="0" t="s">
        <v>2666</v>
      </c>
      <c r="M755" s="0" t="s">
        <v>2668</v>
      </c>
      <c r="N755" s="0" t="n">
        <v>1937</v>
      </c>
      <c r="P755" s="0" t="n">
        <v>1937</v>
      </c>
      <c r="Q755" s="0" t="s">
        <v>39</v>
      </c>
      <c r="R755" s="0" t="s">
        <v>2669</v>
      </c>
      <c r="S755" s="0" t="s">
        <v>2670</v>
      </c>
      <c r="V755" s="0" t="n">
        <v>1</v>
      </c>
      <c r="W755" s="0" t="n">
        <v>1</v>
      </c>
      <c r="X755" s="0" t="str">
        <f aca="false">"31811010747361"</f>
        <v>31811010747361</v>
      </c>
      <c r="Y755" s="0" t="s">
        <v>39</v>
      </c>
      <c r="Z755" s="0" t="s">
        <v>42</v>
      </c>
      <c r="AA755" s="0" t="s">
        <v>43</v>
      </c>
      <c r="AE755" s="1" t="s">
        <v>52</v>
      </c>
    </row>
    <row r="756" customFormat="false" ht="12.8" hidden="false" customHeight="false" outlineLevel="0" collapsed="false">
      <c r="A756" s="0" t="n">
        <v>316860</v>
      </c>
      <c r="B756" s="0" t="n">
        <v>344999</v>
      </c>
      <c r="C756" s="0" t="n">
        <v>385256</v>
      </c>
      <c r="D756" s="0" t="s">
        <v>35</v>
      </c>
      <c r="E756" s="0" t="s">
        <v>35</v>
      </c>
      <c r="F756" s="0" t="s">
        <v>36</v>
      </c>
      <c r="G756" s="0" t="s">
        <v>37</v>
      </c>
      <c r="H756" s="0" t="s">
        <v>2671</v>
      </c>
      <c r="I756" s="0" t="s">
        <v>2672</v>
      </c>
      <c r="J756" s="0" t="s">
        <v>2673</v>
      </c>
      <c r="M756" s="0" t="s">
        <v>2674</v>
      </c>
      <c r="N756" s="0" t="s">
        <v>2675</v>
      </c>
      <c r="O756" s="0" t="s">
        <v>2584</v>
      </c>
      <c r="P756" s="0" t="n">
        <v>1940</v>
      </c>
      <c r="Q756" s="0" t="s">
        <v>39</v>
      </c>
      <c r="R756" s="0" t="s">
        <v>2676</v>
      </c>
      <c r="S756" s="0" t="s">
        <v>2677</v>
      </c>
      <c r="V756" s="0" t="n">
        <v>1</v>
      </c>
      <c r="W756" s="0" t="n">
        <v>1</v>
      </c>
      <c r="X756" s="0" t="str">
        <f aca="false">"31811010747353"</f>
        <v>31811010747353</v>
      </c>
      <c r="Y756" s="0" t="s">
        <v>39</v>
      </c>
      <c r="Z756" s="0" t="s">
        <v>42</v>
      </c>
      <c r="AA756" s="0" t="s">
        <v>43</v>
      </c>
      <c r="AE756" s="1" t="s">
        <v>52</v>
      </c>
    </row>
    <row r="757" customFormat="false" ht="12.8" hidden="false" customHeight="false" outlineLevel="0" collapsed="false">
      <c r="A757" s="0" t="n">
        <v>349714</v>
      </c>
      <c r="B757" s="0" t="n">
        <v>378912</v>
      </c>
      <c r="C757" s="0" t="n">
        <v>421692</v>
      </c>
      <c r="D757" s="0" t="s">
        <v>35</v>
      </c>
      <c r="E757" s="0" t="s">
        <v>35</v>
      </c>
      <c r="F757" s="0" t="s">
        <v>36</v>
      </c>
      <c r="G757" s="0" t="s">
        <v>37</v>
      </c>
      <c r="H757" s="0" t="s">
        <v>2678</v>
      </c>
      <c r="I757" s="0" t="s">
        <v>2679</v>
      </c>
      <c r="J757" s="0" t="s">
        <v>2680</v>
      </c>
      <c r="M757" s="0" t="s">
        <v>2681</v>
      </c>
      <c r="N757" s="0" t="s">
        <v>2682</v>
      </c>
      <c r="Q757" s="0" t="s">
        <v>39</v>
      </c>
      <c r="R757" s="0" t="s">
        <v>2683</v>
      </c>
      <c r="S757" s="0" t="s">
        <v>2684</v>
      </c>
      <c r="V757" s="0" t="n">
        <v>1</v>
      </c>
      <c r="W757" s="0" t="n">
        <v>1</v>
      </c>
      <c r="X757" s="0" t="str">
        <f aca="false">"31811010747346"</f>
        <v>31811010747346</v>
      </c>
      <c r="Y757" s="0" t="s">
        <v>39</v>
      </c>
      <c r="Z757" s="0" t="s">
        <v>42</v>
      </c>
      <c r="AA757" s="0" t="s">
        <v>43</v>
      </c>
      <c r="AE757" s="1" t="s">
        <v>52</v>
      </c>
    </row>
    <row r="758" customFormat="false" ht="12.8" hidden="false" customHeight="false" outlineLevel="0" collapsed="false">
      <c r="A758" s="0" t="n">
        <v>500938</v>
      </c>
      <c r="B758" s="0" t="n">
        <v>482220</v>
      </c>
      <c r="C758" s="0" t="n">
        <v>540368</v>
      </c>
      <c r="D758" s="0" t="s">
        <v>35</v>
      </c>
      <c r="E758" s="0" t="s">
        <v>35</v>
      </c>
      <c r="F758" s="0" t="s">
        <v>36</v>
      </c>
      <c r="G758" s="0" t="s">
        <v>37</v>
      </c>
      <c r="H758" s="0" t="s">
        <v>2685</v>
      </c>
      <c r="I758" s="0" t="s">
        <v>2686</v>
      </c>
      <c r="J758" s="0" t="s">
        <v>2687</v>
      </c>
      <c r="M758" s="0" t="s">
        <v>2688</v>
      </c>
      <c r="P758" s="0" t="n">
        <v>1943</v>
      </c>
      <c r="Q758" s="0" t="s">
        <v>39</v>
      </c>
      <c r="R758" s="0" t="s">
        <v>2689</v>
      </c>
      <c r="S758" s="0" t="s">
        <v>2690</v>
      </c>
      <c r="V758" s="0" t="n">
        <v>1</v>
      </c>
      <c r="W758" s="0" t="n">
        <v>1</v>
      </c>
      <c r="X758" s="0" t="str">
        <f aca="false">"31811010747338"</f>
        <v>31811010747338</v>
      </c>
      <c r="Y758" s="0" t="s">
        <v>39</v>
      </c>
      <c r="Z758" s="0" t="s">
        <v>42</v>
      </c>
      <c r="AA758" s="0" t="s">
        <v>43</v>
      </c>
      <c r="AE758" s="1" t="s">
        <v>52</v>
      </c>
    </row>
    <row r="759" customFormat="false" ht="12.8" hidden="false" customHeight="false" outlineLevel="0" collapsed="false">
      <c r="A759" s="0" t="n">
        <v>322674</v>
      </c>
      <c r="B759" s="0" t="n">
        <v>351003</v>
      </c>
      <c r="C759" s="0" t="n">
        <v>391715</v>
      </c>
      <c r="D759" s="0" t="s">
        <v>35</v>
      </c>
      <c r="E759" s="0" t="s">
        <v>35</v>
      </c>
      <c r="F759" s="0" t="s">
        <v>36</v>
      </c>
      <c r="G759" s="0" t="s">
        <v>37</v>
      </c>
      <c r="H759" s="0" t="s">
        <v>2691</v>
      </c>
      <c r="I759" s="0" t="s">
        <v>2692</v>
      </c>
      <c r="J759" s="0" t="s">
        <v>2691</v>
      </c>
      <c r="M759" s="0" t="s">
        <v>2693</v>
      </c>
      <c r="N759" s="0" t="s">
        <v>2694</v>
      </c>
      <c r="P759" s="0" t="n">
        <v>1944</v>
      </c>
      <c r="Q759" s="0" t="s">
        <v>39</v>
      </c>
      <c r="R759" s="0" t="s">
        <v>2695</v>
      </c>
      <c r="S759" s="0" t="s">
        <v>2696</v>
      </c>
      <c r="V759" s="0" t="n">
        <v>1</v>
      </c>
      <c r="W759" s="0" t="n">
        <v>1</v>
      </c>
      <c r="X759" s="0" t="str">
        <f aca="false">"31811010747403"</f>
        <v>31811010747403</v>
      </c>
      <c r="Y759" s="0" t="s">
        <v>39</v>
      </c>
      <c r="Z759" s="0" t="s">
        <v>42</v>
      </c>
      <c r="AA759" s="0" t="s">
        <v>43</v>
      </c>
      <c r="AE759" s="1" t="s">
        <v>52</v>
      </c>
    </row>
    <row r="760" customFormat="false" ht="12.8" hidden="false" customHeight="false" outlineLevel="0" collapsed="false">
      <c r="A760" s="0" t="n">
        <v>322709</v>
      </c>
      <c r="B760" s="0" t="n">
        <v>351039</v>
      </c>
      <c r="C760" s="0" t="n">
        <v>391751</v>
      </c>
      <c r="D760" s="0" t="s">
        <v>35</v>
      </c>
      <c r="E760" s="0" t="s">
        <v>35</v>
      </c>
      <c r="F760" s="0" t="s">
        <v>36</v>
      </c>
      <c r="G760" s="0" t="s">
        <v>37</v>
      </c>
      <c r="H760" s="0" t="s">
        <v>2697</v>
      </c>
      <c r="I760" s="0" t="s">
        <v>2698</v>
      </c>
      <c r="J760" s="0" t="s">
        <v>2699</v>
      </c>
      <c r="M760" s="0" t="s">
        <v>2700</v>
      </c>
      <c r="N760" s="0" t="s">
        <v>1675</v>
      </c>
      <c r="O760" s="0" t="s">
        <v>2584</v>
      </c>
      <c r="P760" s="0" t="n">
        <v>1945</v>
      </c>
      <c r="Q760" s="0" t="s">
        <v>39</v>
      </c>
      <c r="R760" s="0" t="s">
        <v>2701</v>
      </c>
      <c r="S760" s="0" t="s">
        <v>2702</v>
      </c>
      <c r="V760" s="0" t="n">
        <v>1</v>
      </c>
      <c r="W760" s="0" t="n">
        <v>1</v>
      </c>
      <c r="X760" s="0" t="str">
        <f aca="false">"31811010747395"</f>
        <v>31811010747395</v>
      </c>
      <c r="Y760" s="0" t="s">
        <v>39</v>
      </c>
      <c r="Z760" s="0" t="s">
        <v>42</v>
      </c>
      <c r="AA760" s="0" t="s">
        <v>43</v>
      </c>
      <c r="AE760" s="1" t="s">
        <v>52</v>
      </c>
    </row>
    <row r="761" customFormat="false" ht="12.8" hidden="false" customHeight="false" outlineLevel="0" collapsed="false">
      <c r="A761" s="0" t="n">
        <v>164497</v>
      </c>
      <c r="B761" s="0" t="n">
        <v>179158</v>
      </c>
      <c r="C761" s="0" t="n">
        <v>200892</v>
      </c>
      <c r="D761" s="0" t="s">
        <v>35</v>
      </c>
      <c r="E761" s="0" t="s">
        <v>35</v>
      </c>
      <c r="F761" s="0" t="s">
        <v>36</v>
      </c>
      <c r="G761" s="0" t="s">
        <v>37</v>
      </c>
      <c r="H761" s="0" t="s">
        <v>2703</v>
      </c>
      <c r="I761" s="0" t="s">
        <v>2704</v>
      </c>
      <c r="J761" s="0" t="s">
        <v>2705</v>
      </c>
      <c r="M761" s="0" t="s">
        <v>2706</v>
      </c>
      <c r="N761" s="0" t="n">
        <v>1942</v>
      </c>
      <c r="P761" s="0" t="n">
        <v>1942</v>
      </c>
      <c r="Q761" s="0" t="s">
        <v>39</v>
      </c>
      <c r="R761" s="0" t="s">
        <v>2707</v>
      </c>
      <c r="S761" s="0" t="s">
        <v>2708</v>
      </c>
      <c r="V761" s="0" t="n">
        <v>1</v>
      </c>
      <c r="W761" s="0" t="n">
        <v>1</v>
      </c>
      <c r="X761" s="0" t="str">
        <f aca="false">"31811010141938"</f>
        <v>31811010141938</v>
      </c>
      <c r="Y761" s="0" t="s">
        <v>39</v>
      </c>
      <c r="Z761" s="0" t="s">
        <v>42</v>
      </c>
      <c r="AA761" s="0" t="s">
        <v>43</v>
      </c>
      <c r="AE761" s="1" t="s">
        <v>52</v>
      </c>
    </row>
    <row r="762" customFormat="false" ht="12.8" hidden="false" customHeight="false" outlineLevel="0" collapsed="false">
      <c r="A762" s="0" t="n">
        <v>310647</v>
      </c>
      <c r="B762" s="0" t="n">
        <v>338526</v>
      </c>
      <c r="C762" s="0" t="n">
        <v>377789</v>
      </c>
      <c r="D762" s="0" t="s">
        <v>35</v>
      </c>
      <c r="E762" s="0" t="s">
        <v>35</v>
      </c>
      <c r="F762" s="0" t="s">
        <v>36</v>
      </c>
      <c r="G762" s="0" t="s">
        <v>37</v>
      </c>
      <c r="H762" s="0" t="s">
        <v>2709</v>
      </c>
      <c r="I762" s="0" t="s">
        <v>2710</v>
      </c>
      <c r="J762" s="0" t="s">
        <v>2711</v>
      </c>
      <c r="M762" s="0" t="s">
        <v>2712</v>
      </c>
      <c r="N762" s="0" t="s">
        <v>2713</v>
      </c>
      <c r="O762" s="0" t="s">
        <v>2584</v>
      </c>
      <c r="P762" s="0" t="n">
        <v>1943</v>
      </c>
      <c r="Q762" s="0" t="s">
        <v>39</v>
      </c>
      <c r="R762" s="0" t="s">
        <v>2714</v>
      </c>
      <c r="S762" s="0" t="s">
        <v>2715</v>
      </c>
      <c r="V762" s="0" t="n">
        <v>1</v>
      </c>
      <c r="W762" s="0" t="n">
        <v>1</v>
      </c>
      <c r="X762" s="0" t="str">
        <f aca="false">"31811010747387"</f>
        <v>31811010747387</v>
      </c>
      <c r="Y762" s="0" t="s">
        <v>39</v>
      </c>
      <c r="Z762" s="0" t="s">
        <v>42</v>
      </c>
      <c r="AA762" s="0" t="s">
        <v>43</v>
      </c>
      <c r="AE762" s="1" t="s">
        <v>52</v>
      </c>
    </row>
    <row r="763" customFormat="false" ht="12.8" hidden="false" customHeight="false" outlineLevel="0" collapsed="false">
      <c r="A763" s="0" t="n">
        <v>310647</v>
      </c>
      <c r="B763" s="0" t="n">
        <v>338527</v>
      </c>
      <c r="C763" s="0" t="n">
        <v>377790</v>
      </c>
      <c r="D763" s="0" t="s">
        <v>35</v>
      </c>
      <c r="E763" s="0" t="s">
        <v>35</v>
      </c>
      <c r="F763" s="0" t="s">
        <v>36</v>
      </c>
      <c r="G763" s="0" t="s">
        <v>37</v>
      </c>
      <c r="H763" s="0" t="s">
        <v>2709</v>
      </c>
      <c r="I763" s="0" t="s">
        <v>2710</v>
      </c>
      <c r="J763" s="0" t="s">
        <v>2711</v>
      </c>
      <c r="M763" s="0" t="s">
        <v>2712</v>
      </c>
      <c r="N763" s="0" t="s">
        <v>2713</v>
      </c>
      <c r="O763" s="0" t="s">
        <v>2584</v>
      </c>
      <c r="P763" s="0" t="n">
        <v>1943</v>
      </c>
      <c r="Q763" s="0" t="s">
        <v>39</v>
      </c>
      <c r="R763" s="0" t="s">
        <v>2716</v>
      </c>
      <c r="S763" s="0" t="s">
        <v>2717</v>
      </c>
      <c r="V763" s="0" t="n">
        <v>1</v>
      </c>
      <c r="W763" s="0" t="n">
        <v>1</v>
      </c>
      <c r="X763" s="0" t="str">
        <f aca="false">"31811010747379"</f>
        <v>31811010747379</v>
      </c>
      <c r="Y763" s="0" t="s">
        <v>39</v>
      </c>
      <c r="Z763" s="0" t="s">
        <v>42</v>
      </c>
      <c r="AA763" s="0" t="s">
        <v>43</v>
      </c>
      <c r="AE763" s="1" t="s">
        <v>52</v>
      </c>
    </row>
    <row r="764" customFormat="false" ht="12.8" hidden="false" customHeight="false" outlineLevel="0" collapsed="false">
      <c r="A764" s="0" t="n">
        <v>266680</v>
      </c>
      <c r="B764" s="0" t="n">
        <v>291997</v>
      </c>
      <c r="C764" s="0" t="n">
        <v>327783</v>
      </c>
      <c r="D764" s="0" t="s">
        <v>35</v>
      </c>
      <c r="E764" s="0" t="s">
        <v>35</v>
      </c>
      <c r="F764" s="0" t="s">
        <v>36</v>
      </c>
      <c r="G764" s="0" t="s">
        <v>37</v>
      </c>
      <c r="H764" s="0" t="s">
        <v>2718</v>
      </c>
      <c r="I764" s="0" t="s">
        <v>2719</v>
      </c>
      <c r="J764" s="0" t="s">
        <v>2718</v>
      </c>
      <c r="M764" s="0" t="s">
        <v>2720</v>
      </c>
      <c r="N764" s="0" t="s">
        <v>1675</v>
      </c>
      <c r="O764" s="0" t="s">
        <v>2721</v>
      </c>
      <c r="P764" s="0" t="n">
        <v>1945</v>
      </c>
      <c r="Q764" s="0" t="s">
        <v>39</v>
      </c>
      <c r="R764" s="0" t="s">
        <v>2722</v>
      </c>
      <c r="S764" s="0" t="s">
        <v>2723</v>
      </c>
      <c r="V764" s="0" t="n">
        <v>1</v>
      </c>
      <c r="W764" s="0" t="n">
        <v>1</v>
      </c>
      <c r="X764" s="0" t="str">
        <f aca="false">"31811010747445"</f>
        <v>31811010747445</v>
      </c>
      <c r="Y764" s="0" t="s">
        <v>39</v>
      </c>
      <c r="Z764" s="0" t="s">
        <v>42</v>
      </c>
      <c r="AA764" s="0" t="s">
        <v>43</v>
      </c>
      <c r="AE764" s="1" t="s">
        <v>52</v>
      </c>
    </row>
    <row r="765" customFormat="false" ht="12.8" hidden="false" customHeight="false" outlineLevel="0" collapsed="false">
      <c r="A765" s="0" t="n">
        <v>376225</v>
      </c>
      <c r="B765" s="0" t="n">
        <v>407288</v>
      </c>
      <c r="C765" s="0" t="n">
        <v>453704</v>
      </c>
      <c r="D765" s="0" t="s">
        <v>35</v>
      </c>
      <c r="E765" s="0" t="s">
        <v>35</v>
      </c>
      <c r="F765" s="0" t="s">
        <v>36</v>
      </c>
      <c r="G765" s="0" t="s">
        <v>37</v>
      </c>
      <c r="H765" s="0" t="s">
        <v>2724</v>
      </c>
      <c r="I765" s="0" t="s">
        <v>2725</v>
      </c>
      <c r="J765" s="0" t="s">
        <v>2726</v>
      </c>
      <c r="M765" s="0" t="s">
        <v>2727</v>
      </c>
      <c r="N765" s="0" t="s">
        <v>2728</v>
      </c>
      <c r="P765" s="0" t="n">
        <v>1945</v>
      </c>
      <c r="Q765" s="0" t="s">
        <v>39</v>
      </c>
      <c r="R765" s="0" t="s">
        <v>2729</v>
      </c>
      <c r="S765" s="0" t="s">
        <v>2730</v>
      </c>
      <c r="V765" s="0" t="n">
        <v>1</v>
      </c>
      <c r="W765" s="0" t="n">
        <v>1</v>
      </c>
      <c r="X765" s="0" t="str">
        <f aca="false">"31811010747437"</f>
        <v>31811010747437</v>
      </c>
      <c r="Y765" s="0" t="s">
        <v>39</v>
      </c>
      <c r="Z765" s="0" t="s">
        <v>42</v>
      </c>
      <c r="AA765" s="0" t="s">
        <v>43</v>
      </c>
      <c r="AE765" s="1" t="s">
        <v>52</v>
      </c>
    </row>
    <row r="766" customFormat="false" ht="12.8" hidden="false" customHeight="false" outlineLevel="0" collapsed="false">
      <c r="A766" s="0" t="n">
        <v>502411</v>
      </c>
      <c r="B766" s="0" t="n">
        <v>483751</v>
      </c>
      <c r="C766" s="0" t="n">
        <v>542025</v>
      </c>
      <c r="D766" s="0" t="s">
        <v>35</v>
      </c>
      <c r="E766" s="0" t="s">
        <v>35</v>
      </c>
      <c r="F766" s="0" t="s">
        <v>36</v>
      </c>
      <c r="G766" s="0" t="s">
        <v>37</v>
      </c>
      <c r="H766" s="0" t="s">
        <v>2731</v>
      </c>
      <c r="I766" s="0" t="s">
        <v>2679</v>
      </c>
      <c r="J766" s="0" t="s">
        <v>2731</v>
      </c>
      <c r="M766" s="0" t="s">
        <v>2732</v>
      </c>
      <c r="P766" s="0" t="n">
        <v>1946</v>
      </c>
      <c r="Q766" s="0" t="s">
        <v>39</v>
      </c>
      <c r="R766" s="0" t="s">
        <v>2733</v>
      </c>
      <c r="S766" s="0" t="s">
        <v>2734</v>
      </c>
      <c r="V766" s="0" t="n">
        <v>1</v>
      </c>
      <c r="W766" s="0" t="n">
        <v>1</v>
      </c>
      <c r="X766" s="0" t="str">
        <f aca="false">"31811010747429"</f>
        <v>31811010747429</v>
      </c>
      <c r="Y766" s="0" t="s">
        <v>39</v>
      </c>
      <c r="Z766" s="0" t="s">
        <v>42</v>
      </c>
      <c r="AA766" s="0" t="s">
        <v>43</v>
      </c>
      <c r="AE766" s="1" t="s">
        <v>52</v>
      </c>
    </row>
    <row r="767" customFormat="false" ht="12.8" hidden="false" customHeight="false" outlineLevel="0" collapsed="false">
      <c r="A767" s="0" t="n">
        <v>355632</v>
      </c>
      <c r="B767" s="0" t="n">
        <v>385040</v>
      </c>
      <c r="C767" s="0" t="n">
        <v>428409</v>
      </c>
      <c r="D767" s="0" t="s">
        <v>35</v>
      </c>
      <c r="E767" s="0" t="s">
        <v>35</v>
      </c>
      <c r="F767" s="0" t="s">
        <v>36</v>
      </c>
      <c r="G767" s="0" t="s">
        <v>37</v>
      </c>
      <c r="H767" s="0" t="s">
        <v>2735</v>
      </c>
      <c r="I767" s="0" t="s">
        <v>2736</v>
      </c>
      <c r="J767" s="0" t="s">
        <v>2735</v>
      </c>
      <c r="M767" s="0" t="s">
        <v>2737</v>
      </c>
      <c r="N767" s="0" t="s">
        <v>1113</v>
      </c>
      <c r="O767" s="0" t="s">
        <v>2721</v>
      </c>
      <c r="P767" s="0" t="n">
        <v>1946</v>
      </c>
      <c r="Q767" s="0" t="s">
        <v>39</v>
      </c>
      <c r="R767" s="0" t="s">
        <v>2738</v>
      </c>
      <c r="S767" s="0" t="s">
        <v>2739</v>
      </c>
      <c r="V767" s="0" t="n">
        <v>1</v>
      </c>
      <c r="W767" s="0" t="n">
        <v>1</v>
      </c>
      <c r="X767" s="0" t="str">
        <f aca="false">"31811010747411"</f>
        <v>31811010747411</v>
      </c>
      <c r="Y767" s="0" t="s">
        <v>39</v>
      </c>
      <c r="Z767" s="0" t="s">
        <v>42</v>
      </c>
      <c r="AA767" s="0" t="s">
        <v>43</v>
      </c>
      <c r="AE767" s="1" t="s">
        <v>52</v>
      </c>
    </row>
    <row r="768" customFormat="false" ht="12.8" hidden="false" customHeight="false" outlineLevel="0" collapsed="false">
      <c r="A768" s="0" t="n">
        <v>448377</v>
      </c>
      <c r="B768" s="0" t="n">
        <v>534259</v>
      </c>
      <c r="C768" s="0" t="n">
        <v>600746</v>
      </c>
      <c r="D768" s="0" t="s">
        <v>35</v>
      </c>
      <c r="E768" s="0" t="s">
        <v>35</v>
      </c>
      <c r="F768" s="0" t="s">
        <v>36</v>
      </c>
      <c r="G768" s="0" t="s">
        <v>37</v>
      </c>
      <c r="H768" s="0" t="s">
        <v>2740</v>
      </c>
      <c r="I768" s="0" t="s">
        <v>2741</v>
      </c>
      <c r="J768" s="0" t="s">
        <v>2740</v>
      </c>
      <c r="M768" s="0" t="s">
        <v>2742</v>
      </c>
      <c r="N768" s="0" t="n">
        <v>1946</v>
      </c>
      <c r="O768" s="0" t="s">
        <v>2743</v>
      </c>
      <c r="P768" s="0" t="n">
        <v>1946</v>
      </c>
      <c r="Q768" s="0" t="s">
        <v>39</v>
      </c>
      <c r="R768" s="0" t="s">
        <v>2744</v>
      </c>
      <c r="S768" s="0" t="s">
        <v>2745</v>
      </c>
      <c r="V768" s="0" t="n">
        <v>1</v>
      </c>
      <c r="W768" s="0" t="n">
        <v>1</v>
      </c>
      <c r="X768" s="0" t="str">
        <f aca="false">"31811010747288"</f>
        <v>31811010747288</v>
      </c>
      <c r="Y768" s="0" t="s">
        <v>39</v>
      </c>
      <c r="Z768" s="0" t="s">
        <v>42</v>
      </c>
      <c r="AA768" s="0" t="s">
        <v>43</v>
      </c>
      <c r="AE768" s="1" t="s">
        <v>52</v>
      </c>
    </row>
    <row r="769" customFormat="false" ht="12.8" hidden="false" customHeight="false" outlineLevel="0" collapsed="false">
      <c r="A769" s="0" t="n">
        <v>349029</v>
      </c>
      <c r="B769" s="0" t="n">
        <v>378192</v>
      </c>
      <c r="C769" s="0" t="n">
        <v>420927</v>
      </c>
      <c r="D769" s="0" t="s">
        <v>35</v>
      </c>
      <c r="E769" s="0" t="s">
        <v>35</v>
      </c>
      <c r="F769" s="0" t="s">
        <v>36</v>
      </c>
      <c r="G769" s="0" t="s">
        <v>37</v>
      </c>
      <c r="H769" s="0" t="s">
        <v>2746</v>
      </c>
      <c r="I769" s="0" t="s">
        <v>2747</v>
      </c>
      <c r="J769" s="0" t="s">
        <v>2748</v>
      </c>
      <c r="M769" s="0" t="s">
        <v>2749</v>
      </c>
      <c r="N769" s="0" t="n">
        <v>1946</v>
      </c>
      <c r="O769" s="0" t="s">
        <v>2750</v>
      </c>
      <c r="P769" s="0" t="n">
        <v>1946</v>
      </c>
      <c r="Q769" s="0" t="s">
        <v>39</v>
      </c>
      <c r="R769" s="0" t="s">
        <v>2751</v>
      </c>
      <c r="S769" s="0" t="s">
        <v>2752</v>
      </c>
      <c r="V769" s="0" t="n">
        <v>1</v>
      </c>
      <c r="W769" s="0" t="n">
        <v>1</v>
      </c>
      <c r="X769" s="0" t="str">
        <f aca="false">"31811010747270"</f>
        <v>31811010747270</v>
      </c>
      <c r="Y769" s="0" t="s">
        <v>39</v>
      </c>
      <c r="Z769" s="0" t="s">
        <v>42</v>
      </c>
      <c r="AA769" s="0" t="s">
        <v>43</v>
      </c>
      <c r="AE769" s="1" t="s">
        <v>52</v>
      </c>
    </row>
    <row r="770" customFormat="false" ht="12.8" hidden="false" customHeight="false" outlineLevel="0" collapsed="false">
      <c r="A770" s="0" t="n">
        <v>497842</v>
      </c>
      <c r="B770" s="0" t="n">
        <v>478987</v>
      </c>
      <c r="C770" s="0" t="n">
        <v>536794</v>
      </c>
      <c r="D770" s="0" t="s">
        <v>35</v>
      </c>
      <c r="E770" s="0" t="s">
        <v>35</v>
      </c>
      <c r="F770" s="0" t="s">
        <v>36</v>
      </c>
      <c r="G770" s="0" t="s">
        <v>37</v>
      </c>
      <c r="H770" s="0" t="s">
        <v>2753</v>
      </c>
      <c r="I770" s="0" t="s">
        <v>2754</v>
      </c>
      <c r="J770" s="0" t="s">
        <v>2753</v>
      </c>
      <c r="M770" s="0" t="s">
        <v>2755</v>
      </c>
      <c r="P770" s="0" t="n">
        <v>1947</v>
      </c>
      <c r="Q770" s="0" t="s">
        <v>39</v>
      </c>
      <c r="R770" s="0" t="s">
        <v>2756</v>
      </c>
      <c r="S770" s="0" t="s">
        <v>2757</v>
      </c>
      <c r="V770" s="0" t="n">
        <v>1</v>
      </c>
      <c r="W770" s="0" t="n">
        <v>1</v>
      </c>
      <c r="X770" s="0" t="str">
        <f aca="false">"31811010747262"</f>
        <v>31811010747262</v>
      </c>
      <c r="Y770" s="0" t="s">
        <v>39</v>
      </c>
      <c r="Z770" s="0" t="s">
        <v>42</v>
      </c>
      <c r="AA770" s="0" t="s">
        <v>43</v>
      </c>
      <c r="AE770" s="1" t="s">
        <v>52</v>
      </c>
    </row>
    <row r="771" customFormat="false" ht="12.8" hidden="false" customHeight="false" outlineLevel="0" collapsed="false">
      <c r="A771" s="0" t="n">
        <v>349270</v>
      </c>
      <c r="B771" s="0" t="n">
        <v>378442</v>
      </c>
      <c r="C771" s="0" t="n">
        <v>421203</v>
      </c>
      <c r="D771" s="0" t="s">
        <v>35</v>
      </c>
      <c r="E771" s="0" t="s">
        <v>35</v>
      </c>
      <c r="F771" s="0" t="s">
        <v>36</v>
      </c>
      <c r="G771" s="0" t="s">
        <v>37</v>
      </c>
      <c r="H771" s="0" t="s">
        <v>2758</v>
      </c>
      <c r="I771" s="0" t="s">
        <v>2759</v>
      </c>
      <c r="J771" s="0" t="s">
        <v>2758</v>
      </c>
      <c r="M771" s="0" t="s">
        <v>2760</v>
      </c>
      <c r="N771" s="0" t="s">
        <v>2761</v>
      </c>
      <c r="O771" s="0" t="s">
        <v>2721</v>
      </c>
      <c r="P771" s="0" t="n">
        <v>1947</v>
      </c>
      <c r="Q771" s="0" t="s">
        <v>39</v>
      </c>
      <c r="R771" s="0" t="s">
        <v>2762</v>
      </c>
      <c r="S771" s="0" t="s">
        <v>2763</v>
      </c>
      <c r="V771" s="0" t="n">
        <v>1</v>
      </c>
      <c r="W771" s="0" t="n">
        <v>1</v>
      </c>
      <c r="X771" s="0" t="str">
        <f aca="false">"31811010747247"</f>
        <v>31811010747247</v>
      </c>
      <c r="Y771" s="0" t="s">
        <v>39</v>
      </c>
      <c r="Z771" s="0" t="s">
        <v>42</v>
      </c>
      <c r="AA771" s="0" t="s">
        <v>43</v>
      </c>
      <c r="AE771" s="1" t="s">
        <v>52</v>
      </c>
    </row>
    <row r="772" customFormat="false" ht="12.8" hidden="false" customHeight="false" outlineLevel="0" collapsed="false">
      <c r="A772" s="0" t="n">
        <v>282244</v>
      </c>
      <c r="B772" s="0" t="n">
        <v>308559</v>
      </c>
      <c r="C772" s="0" t="n">
        <v>345592</v>
      </c>
      <c r="D772" s="0" t="s">
        <v>35</v>
      </c>
      <c r="E772" s="0" t="s">
        <v>35</v>
      </c>
      <c r="F772" s="0" t="s">
        <v>36</v>
      </c>
      <c r="G772" s="0" t="s">
        <v>37</v>
      </c>
      <c r="H772" s="0" t="s">
        <v>2764</v>
      </c>
      <c r="I772" s="0" t="s">
        <v>2679</v>
      </c>
      <c r="J772" s="0" t="s">
        <v>2764</v>
      </c>
      <c r="M772" s="0" t="s">
        <v>2765</v>
      </c>
      <c r="N772" s="0" t="s">
        <v>2761</v>
      </c>
      <c r="O772" s="0" t="s">
        <v>2721</v>
      </c>
      <c r="P772" s="0" t="n">
        <v>1947</v>
      </c>
      <c r="Q772" s="0" t="s">
        <v>39</v>
      </c>
      <c r="R772" s="0" t="s">
        <v>2766</v>
      </c>
      <c r="S772" s="0" t="s">
        <v>2767</v>
      </c>
      <c r="V772" s="0" t="n">
        <v>1</v>
      </c>
      <c r="W772" s="0" t="n">
        <v>1</v>
      </c>
      <c r="X772" s="0" t="str">
        <f aca="false">"31811010747239"</f>
        <v>31811010747239</v>
      </c>
      <c r="Y772" s="0" t="s">
        <v>39</v>
      </c>
      <c r="Z772" s="0" t="s">
        <v>42</v>
      </c>
      <c r="AA772" s="0" t="s">
        <v>43</v>
      </c>
      <c r="AE772" s="1" t="s">
        <v>52</v>
      </c>
    </row>
    <row r="773" customFormat="false" ht="12.8" hidden="false" customHeight="false" outlineLevel="0" collapsed="false">
      <c r="A773" s="0" t="n">
        <v>351048</v>
      </c>
      <c r="B773" s="0" t="n">
        <v>380296</v>
      </c>
      <c r="C773" s="0" t="n">
        <v>423204</v>
      </c>
      <c r="D773" s="0" t="s">
        <v>35</v>
      </c>
      <c r="E773" s="0" t="s">
        <v>35</v>
      </c>
      <c r="F773" s="0" t="s">
        <v>36</v>
      </c>
      <c r="G773" s="0" t="s">
        <v>37</v>
      </c>
      <c r="H773" s="0" t="s">
        <v>2768</v>
      </c>
      <c r="I773" s="0" t="s">
        <v>2769</v>
      </c>
      <c r="J773" s="0" t="s">
        <v>2768</v>
      </c>
      <c r="M773" s="0" t="s">
        <v>2770</v>
      </c>
      <c r="N773" s="0" t="s">
        <v>2771</v>
      </c>
      <c r="P773" s="0" t="n">
        <v>1948</v>
      </c>
      <c r="Q773" s="0" t="s">
        <v>39</v>
      </c>
      <c r="R773" s="0" t="s">
        <v>2772</v>
      </c>
      <c r="S773" s="0" t="s">
        <v>2773</v>
      </c>
      <c r="V773" s="0" t="n">
        <v>1</v>
      </c>
      <c r="W773" s="0" t="n">
        <v>1</v>
      </c>
      <c r="X773" s="0" t="str">
        <f aca="false">"31811010747221"</f>
        <v>31811010747221</v>
      </c>
      <c r="Y773" s="0" t="s">
        <v>39</v>
      </c>
      <c r="Z773" s="0" t="s">
        <v>42</v>
      </c>
      <c r="AA773" s="0" t="s">
        <v>43</v>
      </c>
      <c r="AE773" s="1" t="s">
        <v>52</v>
      </c>
    </row>
    <row r="774" customFormat="false" ht="12.8" hidden="false" customHeight="false" outlineLevel="0" collapsed="false">
      <c r="A774" s="0" t="n">
        <v>281923</v>
      </c>
      <c r="B774" s="0" t="n">
        <v>308212</v>
      </c>
      <c r="C774" s="0" t="n">
        <v>345236</v>
      </c>
      <c r="D774" s="0" t="s">
        <v>35</v>
      </c>
      <c r="E774" s="0" t="s">
        <v>35</v>
      </c>
      <c r="F774" s="0" t="s">
        <v>36</v>
      </c>
      <c r="G774" s="0" t="s">
        <v>37</v>
      </c>
      <c r="H774" s="0" t="s">
        <v>2774</v>
      </c>
      <c r="I774" s="0" t="s">
        <v>2775</v>
      </c>
      <c r="J774" s="0" t="s">
        <v>2774</v>
      </c>
      <c r="M774" s="0" t="s">
        <v>2776</v>
      </c>
      <c r="N774" s="0" t="n">
        <v>1949</v>
      </c>
      <c r="O774" s="0" t="s">
        <v>2777</v>
      </c>
      <c r="P774" s="0" t="n">
        <v>1949</v>
      </c>
      <c r="Q774" s="0" t="s">
        <v>39</v>
      </c>
      <c r="R774" s="0" t="s">
        <v>2778</v>
      </c>
      <c r="S774" s="0" t="s">
        <v>2779</v>
      </c>
      <c r="V774" s="0" t="n">
        <v>1</v>
      </c>
      <c r="W774" s="0" t="n">
        <v>1</v>
      </c>
      <c r="X774" s="0" t="str">
        <f aca="false">"31811010747213"</f>
        <v>31811010747213</v>
      </c>
      <c r="Y774" s="0" t="s">
        <v>39</v>
      </c>
      <c r="Z774" s="0" t="s">
        <v>42</v>
      </c>
      <c r="AA774" s="0" t="s">
        <v>43</v>
      </c>
      <c r="AE774" s="1" t="s">
        <v>52</v>
      </c>
    </row>
    <row r="775" customFormat="false" ht="12.8" hidden="false" customHeight="false" outlineLevel="0" collapsed="false">
      <c r="A775" s="0" t="n">
        <v>269083</v>
      </c>
      <c r="B775" s="0" t="n">
        <v>294596</v>
      </c>
      <c r="C775" s="0" t="n">
        <v>330536</v>
      </c>
      <c r="D775" s="0" t="s">
        <v>35</v>
      </c>
      <c r="E775" s="0" t="s">
        <v>35</v>
      </c>
      <c r="F775" s="0" t="s">
        <v>36</v>
      </c>
      <c r="G775" s="0" t="s">
        <v>37</v>
      </c>
      <c r="H775" s="0" t="s">
        <v>2780</v>
      </c>
      <c r="I775" s="0" t="s">
        <v>2781</v>
      </c>
      <c r="J775" s="0" t="s">
        <v>2782</v>
      </c>
      <c r="M775" s="0" t="s">
        <v>2783</v>
      </c>
      <c r="N775" s="0" t="n">
        <v>1949</v>
      </c>
      <c r="P775" s="0" t="n">
        <v>1949</v>
      </c>
      <c r="Q775" s="0" t="s">
        <v>39</v>
      </c>
      <c r="R775" s="0" t="s">
        <v>2784</v>
      </c>
      <c r="S775" s="0" t="s">
        <v>2785</v>
      </c>
      <c r="V775" s="0" t="n">
        <v>1</v>
      </c>
      <c r="W775" s="0" t="n">
        <v>1</v>
      </c>
      <c r="X775" s="0" t="str">
        <f aca="false">"31811010747205"</f>
        <v>31811010747205</v>
      </c>
      <c r="Y775" s="0" t="s">
        <v>39</v>
      </c>
      <c r="Z775" s="0" t="s">
        <v>42</v>
      </c>
      <c r="AA775" s="0" t="s">
        <v>43</v>
      </c>
      <c r="AE775" s="1" t="s">
        <v>52</v>
      </c>
      <c r="AH775" s="1" t="s">
        <v>2786</v>
      </c>
    </row>
    <row r="776" customFormat="false" ht="12.8" hidden="false" customHeight="false" outlineLevel="0" collapsed="false">
      <c r="A776" s="0" t="n">
        <v>412829</v>
      </c>
      <c r="B776" s="0" t="n">
        <v>445360</v>
      </c>
      <c r="C776" s="0" t="n">
        <v>496504</v>
      </c>
      <c r="D776" s="0" t="s">
        <v>35</v>
      </c>
      <c r="E776" s="0" t="s">
        <v>35</v>
      </c>
      <c r="F776" s="0" t="s">
        <v>36</v>
      </c>
      <c r="G776" s="0" t="s">
        <v>412</v>
      </c>
      <c r="H776" s="0" t="s">
        <v>2787</v>
      </c>
      <c r="I776" s="0" t="s">
        <v>2788</v>
      </c>
      <c r="J776" s="0" t="s">
        <v>2787</v>
      </c>
      <c r="M776" s="0" t="s">
        <v>2789</v>
      </c>
      <c r="Q776" s="0" t="s">
        <v>39</v>
      </c>
      <c r="R776" s="0" t="s">
        <v>2790</v>
      </c>
      <c r="S776" s="0" t="s">
        <v>2791</v>
      </c>
      <c r="V776" s="0" t="n">
        <v>1</v>
      </c>
      <c r="W776" s="0" t="n">
        <v>1</v>
      </c>
      <c r="X776" s="0" t="str">
        <f aca="false">"31811010747197"</f>
        <v>31811010747197</v>
      </c>
      <c r="Y776" s="0" t="s">
        <v>39</v>
      </c>
      <c r="Z776" s="0" t="s">
        <v>42</v>
      </c>
      <c r="AA776" s="0" t="s">
        <v>43</v>
      </c>
      <c r="AE776" s="1" t="s">
        <v>52</v>
      </c>
    </row>
    <row r="777" customFormat="false" ht="12.8" hidden="false" customHeight="false" outlineLevel="0" collapsed="false">
      <c r="A777" s="0" t="n">
        <v>430588</v>
      </c>
      <c r="B777" s="0" t="n">
        <v>463852</v>
      </c>
      <c r="C777" s="0" t="n">
        <v>517900</v>
      </c>
      <c r="D777" s="0" t="s">
        <v>35</v>
      </c>
      <c r="E777" s="0" t="s">
        <v>35</v>
      </c>
      <c r="F777" s="0" t="s">
        <v>36</v>
      </c>
      <c r="G777" s="0" t="s">
        <v>37</v>
      </c>
      <c r="H777" s="0" t="s">
        <v>2792</v>
      </c>
      <c r="I777" s="0" t="s">
        <v>2793</v>
      </c>
      <c r="J777" s="0" t="s">
        <v>2794</v>
      </c>
      <c r="M777" s="0" t="s">
        <v>2795</v>
      </c>
      <c r="N777" s="0" t="s">
        <v>2796</v>
      </c>
      <c r="O777" s="0" t="s">
        <v>2797</v>
      </c>
      <c r="P777" s="0" t="n">
        <v>1952</v>
      </c>
      <c r="Q777" s="0" t="s">
        <v>39</v>
      </c>
      <c r="R777" s="0" t="s">
        <v>2798</v>
      </c>
      <c r="S777" s="0" t="s">
        <v>2799</v>
      </c>
      <c r="V777" s="0" t="n">
        <v>1</v>
      </c>
      <c r="W777" s="0" t="n">
        <v>1</v>
      </c>
      <c r="X777" s="0" t="str">
        <f aca="false">"31811010747189"</f>
        <v>31811010747189</v>
      </c>
      <c r="Y777" s="0" t="s">
        <v>39</v>
      </c>
      <c r="Z777" s="0" t="s">
        <v>42</v>
      </c>
      <c r="AA777" s="0" t="s">
        <v>43</v>
      </c>
      <c r="AE777" s="1" t="s">
        <v>52</v>
      </c>
      <c r="AH777" s="1" t="s">
        <v>2800</v>
      </c>
    </row>
    <row r="778" customFormat="false" ht="12.8" hidden="false" customHeight="false" outlineLevel="0" collapsed="false">
      <c r="A778" s="0" t="n">
        <v>430588</v>
      </c>
      <c r="B778" s="0" t="n">
        <v>463853</v>
      </c>
      <c r="C778" s="0" t="n">
        <v>517901</v>
      </c>
      <c r="D778" s="0" t="s">
        <v>35</v>
      </c>
      <c r="E778" s="0" t="s">
        <v>35</v>
      </c>
      <c r="F778" s="0" t="s">
        <v>36</v>
      </c>
      <c r="G778" s="0" t="s">
        <v>37</v>
      </c>
      <c r="H778" s="0" t="s">
        <v>2792</v>
      </c>
      <c r="I778" s="0" t="s">
        <v>2793</v>
      </c>
      <c r="J778" s="0" t="s">
        <v>2794</v>
      </c>
      <c r="M778" s="0" t="s">
        <v>2795</v>
      </c>
      <c r="N778" s="0" t="s">
        <v>2796</v>
      </c>
      <c r="O778" s="0" t="s">
        <v>2797</v>
      </c>
      <c r="P778" s="0" t="n">
        <v>1952</v>
      </c>
      <c r="Q778" s="0" t="s">
        <v>39</v>
      </c>
      <c r="R778" s="0" t="s">
        <v>2798</v>
      </c>
      <c r="S778" s="0" t="s">
        <v>2799</v>
      </c>
      <c r="V778" s="0" t="n">
        <v>2</v>
      </c>
      <c r="W778" s="0" t="n">
        <v>1</v>
      </c>
      <c r="X778" s="0" t="str">
        <f aca="false">"31811003180489"</f>
        <v>31811003180489</v>
      </c>
      <c r="Y778" s="0" t="s">
        <v>39</v>
      </c>
      <c r="Z778" s="0" t="s">
        <v>42</v>
      </c>
      <c r="AA778" s="0" t="s">
        <v>43</v>
      </c>
      <c r="AE778" s="1" t="s">
        <v>52</v>
      </c>
    </row>
    <row r="779" customFormat="false" ht="12.8" hidden="false" customHeight="false" outlineLevel="0" collapsed="false">
      <c r="A779" s="0" t="n">
        <v>380525</v>
      </c>
      <c r="B779" s="0" t="n">
        <v>411805</v>
      </c>
      <c r="C779" s="0" t="n">
        <v>458914</v>
      </c>
      <c r="D779" s="0" t="s">
        <v>35</v>
      </c>
      <c r="E779" s="0" t="s">
        <v>35</v>
      </c>
      <c r="F779" s="0" t="s">
        <v>36</v>
      </c>
      <c r="G779" s="0" t="s">
        <v>37</v>
      </c>
      <c r="H779" s="0" t="s">
        <v>2801</v>
      </c>
      <c r="I779" s="0" t="s">
        <v>2802</v>
      </c>
      <c r="J779" s="0" t="s">
        <v>2801</v>
      </c>
      <c r="M779" s="0" t="s">
        <v>2803</v>
      </c>
      <c r="P779" s="0" t="n">
        <v>1952</v>
      </c>
      <c r="Q779" s="0" t="s">
        <v>39</v>
      </c>
      <c r="R779" s="0" t="s">
        <v>2804</v>
      </c>
      <c r="S779" s="0" t="s">
        <v>2805</v>
      </c>
      <c r="V779" s="0" t="n">
        <v>1</v>
      </c>
      <c r="W779" s="0" t="n">
        <v>1</v>
      </c>
      <c r="X779" s="0" t="str">
        <f aca="false">"31811010747171"</f>
        <v>31811010747171</v>
      </c>
      <c r="Y779" s="0" t="s">
        <v>39</v>
      </c>
      <c r="Z779" s="0" t="s">
        <v>42</v>
      </c>
      <c r="AA779" s="0" t="s">
        <v>43</v>
      </c>
      <c r="AE779" s="1" t="s">
        <v>52</v>
      </c>
    </row>
    <row r="780" customFormat="false" ht="12.8" hidden="false" customHeight="false" outlineLevel="0" collapsed="false">
      <c r="A780" s="0" t="n">
        <v>219745</v>
      </c>
      <c r="B780" s="0" t="n">
        <v>241040</v>
      </c>
      <c r="C780" s="0" t="n">
        <v>271647</v>
      </c>
      <c r="D780" s="0" t="s">
        <v>35</v>
      </c>
      <c r="E780" s="0" t="s">
        <v>35</v>
      </c>
      <c r="F780" s="0" t="s">
        <v>36</v>
      </c>
      <c r="G780" s="0" t="s">
        <v>37</v>
      </c>
      <c r="H780" s="0" t="s">
        <v>2806</v>
      </c>
      <c r="I780" s="0" t="s">
        <v>2807</v>
      </c>
      <c r="J780" s="0" t="s">
        <v>2808</v>
      </c>
      <c r="M780" s="0" t="s">
        <v>2809</v>
      </c>
      <c r="N780" s="0" t="n">
        <v>1950</v>
      </c>
      <c r="O780" s="0" t="s">
        <v>2810</v>
      </c>
      <c r="P780" s="0" t="n">
        <v>1950</v>
      </c>
      <c r="Q780" s="0" t="s">
        <v>39</v>
      </c>
      <c r="R780" s="0" t="s">
        <v>2811</v>
      </c>
      <c r="S780" s="0" t="s">
        <v>2812</v>
      </c>
      <c r="V780" s="0" t="n">
        <v>1</v>
      </c>
      <c r="W780" s="0" t="n">
        <v>1</v>
      </c>
      <c r="X780" s="0" t="str">
        <f aca="false">"31811010747163"</f>
        <v>31811010747163</v>
      </c>
      <c r="Y780" s="0" t="s">
        <v>39</v>
      </c>
      <c r="Z780" s="0" t="s">
        <v>42</v>
      </c>
      <c r="AA780" s="0" t="s">
        <v>43</v>
      </c>
      <c r="AE780" s="1" t="s">
        <v>52</v>
      </c>
    </row>
    <row r="781" customFormat="false" ht="12.8" hidden="false" customHeight="false" outlineLevel="0" collapsed="false">
      <c r="A781" s="0" t="n">
        <v>499619</v>
      </c>
      <c r="B781" s="0" t="n">
        <v>480787</v>
      </c>
      <c r="C781" s="0" t="n">
        <v>538861</v>
      </c>
      <c r="D781" s="0" t="s">
        <v>35</v>
      </c>
      <c r="E781" s="0" t="s">
        <v>35</v>
      </c>
      <c r="F781" s="0" t="s">
        <v>36</v>
      </c>
      <c r="G781" s="0" t="s">
        <v>37</v>
      </c>
      <c r="H781" s="0" t="s">
        <v>2813</v>
      </c>
      <c r="I781" s="0" t="s">
        <v>2602</v>
      </c>
      <c r="J781" s="0" t="s">
        <v>2813</v>
      </c>
      <c r="M781" s="0" t="s">
        <v>2814</v>
      </c>
      <c r="P781" s="0" t="n">
        <v>1951</v>
      </c>
      <c r="Q781" s="0" t="s">
        <v>39</v>
      </c>
      <c r="R781" s="0" t="s">
        <v>2815</v>
      </c>
      <c r="S781" s="0" t="s">
        <v>2816</v>
      </c>
      <c r="V781" s="0" t="n">
        <v>1</v>
      </c>
      <c r="W781" s="0" t="n">
        <v>1</v>
      </c>
      <c r="X781" s="0" t="str">
        <f aca="false">"31811010747155"</f>
        <v>31811010747155</v>
      </c>
      <c r="Y781" s="0" t="s">
        <v>39</v>
      </c>
      <c r="Z781" s="0" t="s">
        <v>42</v>
      </c>
      <c r="AA781" s="0" t="s">
        <v>43</v>
      </c>
      <c r="AE781" s="1" t="s">
        <v>52</v>
      </c>
    </row>
    <row r="782" customFormat="false" ht="12.8" hidden="false" customHeight="false" outlineLevel="0" collapsed="false">
      <c r="A782" s="0" t="n">
        <v>481192</v>
      </c>
      <c r="B782" s="0" t="n">
        <v>513492</v>
      </c>
      <c r="C782" s="0" t="n">
        <v>576226</v>
      </c>
      <c r="D782" s="0" t="s">
        <v>35</v>
      </c>
      <c r="E782" s="0" t="s">
        <v>35</v>
      </c>
      <c r="F782" s="0" t="s">
        <v>36</v>
      </c>
      <c r="G782" s="0" t="s">
        <v>37</v>
      </c>
      <c r="H782" s="0" t="s">
        <v>2817</v>
      </c>
      <c r="I782" s="0" t="s">
        <v>2818</v>
      </c>
      <c r="J782" s="0" t="s">
        <v>2817</v>
      </c>
      <c r="M782" s="0" t="s">
        <v>2819</v>
      </c>
      <c r="N782" s="0" t="s">
        <v>2771</v>
      </c>
      <c r="P782" s="0" t="n">
        <v>1952</v>
      </c>
      <c r="Q782" s="0" t="s">
        <v>39</v>
      </c>
      <c r="R782" s="0" t="s">
        <v>2820</v>
      </c>
      <c r="S782" s="0" t="s">
        <v>2821</v>
      </c>
      <c r="V782" s="0" t="n">
        <v>1</v>
      </c>
      <c r="W782" s="0" t="n">
        <v>1</v>
      </c>
      <c r="X782" s="0" t="str">
        <f aca="false">"31811010747148"</f>
        <v>31811010747148</v>
      </c>
      <c r="Y782" s="0" t="s">
        <v>39</v>
      </c>
      <c r="Z782" s="0" t="s">
        <v>42</v>
      </c>
      <c r="AA782" s="0" t="s">
        <v>43</v>
      </c>
      <c r="AE782" s="1" t="s">
        <v>52</v>
      </c>
    </row>
    <row r="783" customFormat="false" ht="12.8" hidden="false" customHeight="false" outlineLevel="0" collapsed="false">
      <c r="A783" s="0" t="n">
        <v>469943</v>
      </c>
      <c r="B783" s="0" t="n">
        <v>501965</v>
      </c>
      <c r="C783" s="0" t="n">
        <v>563662</v>
      </c>
      <c r="D783" s="0" t="s">
        <v>35</v>
      </c>
      <c r="E783" s="0" t="s">
        <v>35</v>
      </c>
      <c r="F783" s="0" t="s">
        <v>36</v>
      </c>
      <c r="G783" s="0" t="s">
        <v>37</v>
      </c>
      <c r="H783" s="0" t="s">
        <v>2822</v>
      </c>
      <c r="I783" s="0" t="s">
        <v>2823</v>
      </c>
      <c r="J783" s="0" t="s">
        <v>2822</v>
      </c>
      <c r="M783" s="0" t="s">
        <v>2824</v>
      </c>
      <c r="P783" s="0" t="n">
        <v>1954</v>
      </c>
      <c r="Q783" s="0" t="s">
        <v>39</v>
      </c>
      <c r="R783" s="0" t="s">
        <v>2825</v>
      </c>
      <c r="S783" s="0" t="s">
        <v>2826</v>
      </c>
      <c r="V783" s="0" t="n">
        <v>1</v>
      </c>
      <c r="W783" s="0" t="n">
        <v>1</v>
      </c>
      <c r="X783" s="0" t="str">
        <f aca="false">"31811010747130"</f>
        <v>31811010747130</v>
      </c>
      <c r="Y783" s="0" t="s">
        <v>39</v>
      </c>
      <c r="Z783" s="0" t="s">
        <v>42</v>
      </c>
      <c r="AA783" s="0" t="s">
        <v>43</v>
      </c>
      <c r="AE783" s="1" t="s">
        <v>52</v>
      </c>
    </row>
    <row r="784" customFormat="false" ht="12.8" hidden="false" customHeight="false" outlineLevel="0" collapsed="false">
      <c r="A784" s="0" t="n">
        <v>351028</v>
      </c>
      <c r="B784" s="0" t="n">
        <v>380275</v>
      </c>
      <c r="C784" s="0" t="n">
        <v>423182</v>
      </c>
      <c r="D784" s="0" t="s">
        <v>35</v>
      </c>
      <c r="E784" s="0" t="s">
        <v>35</v>
      </c>
      <c r="F784" s="0" t="s">
        <v>36</v>
      </c>
      <c r="G784" s="0" t="s">
        <v>37</v>
      </c>
      <c r="H784" s="0" t="s">
        <v>2827</v>
      </c>
      <c r="I784" s="0" t="s">
        <v>2828</v>
      </c>
      <c r="J784" s="0" t="s">
        <v>2827</v>
      </c>
      <c r="M784" s="0" t="s">
        <v>2829</v>
      </c>
      <c r="N784" s="0" t="n">
        <v>1953</v>
      </c>
      <c r="P784" s="0" t="n">
        <v>1953</v>
      </c>
      <c r="Q784" s="0" t="s">
        <v>39</v>
      </c>
      <c r="R784" s="0" t="s">
        <v>2830</v>
      </c>
      <c r="S784" s="0" t="s">
        <v>2831</v>
      </c>
      <c r="V784" s="0" t="n">
        <v>1</v>
      </c>
      <c r="W784" s="0" t="n">
        <v>1</v>
      </c>
      <c r="X784" s="0" t="str">
        <f aca="false">"31811010747601"</f>
        <v>31811010747601</v>
      </c>
      <c r="Y784" s="0" t="s">
        <v>39</v>
      </c>
      <c r="Z784" s="0" t="s">
        <v>42</v>
      </c>
      <c r="AA784" s="0" t="s">
        <v>43</v>
      </c>
      <c r="AE784" s="1" t="s">
        <v>52</v>
      </c>
    </row>
    <row r="785" customFormat="false" ht="12.8" hidden="false" customHeight="false" outlineLevel="0" collapsed="false">
      <c r="A785" s="0" t="n">
        <v>465060</v>
      </c>
      <c r="B785" s="0" t="n">
        <v>496908</v>
      </c>
      <c r="C785" s="0" t="n">
        <v>557986</v>
      </c>
      <c r="D785" s="0" t="s">
        <v>35</v>
      </c>
      <c r="E785" s="0" t="s">
        <v>35</v>
      </c>
      <c r="F785" s="0" t="s">
        <v>36</v>
      </c>
      <c r="G785" s="0" t="s">
        <v>37</v>
      </c>
      <c r="H785" s="0" t="s">
        <v>2832</v>
      </c>
      <c r="I785" s="0" t="s">
        <v>2833</v>
      </c>
      <c r="J785" s="0" t="s">
        <v>2832</v>
      </c>
      <c r="M785" s="0" t="s">
        <v>2834</v>
      </c>
      <c r="P785" s="0" t="s">
        <v>2835</v>
      </c>
      <c r="Q785" s="0" t="s">
        <v>39</v>
      </c>
      <c r="R785" s="0" t="s">
        <v>2836</v>
      </c>
      <c r="S785" s="0" t="s">
        <v>2837</v>
      </c>
      <c r="V785" s="0" t="n">
        <v>1</v>
      </c>
      <c r="W785" s="0" t="n">
        <v>1</v>
      </c>
      <c r="X785" s="0" t="str">
        <f aca="false">"31811010747593"</f>
        <v>31811010747593</v>
      </c>
      <c r="Y785" s="0" t="s">
        <v>39</v>
      </c>
      <c r="Z785" s="0" t="s">
        <v>42</v>
      </c>
      <c r="AA785" s="0" t="s">
        <v>43</v>
      </c>
      <c r="AE785" s="1" t="s">
        <v>52</v>
      </c>
      <c r="AH785" s="1" t="s">
        <v>2838</v>
      </c>
    </row>
    <row r="786" customFormat="false" ht="12.8" hidden="false" customHeight="false" outlineLevel="0" collapsed="false">
      <c r="A786" s="0" t="n">
        <v>47730</v>
      </c>
      <c r="B786" s="0" t="n">
        <v>51789</v>
      </c>
      <c r="C786" s="0" t="n">
        <v>57234</v>
      </c>
      <c r="D786" s="0" t="s">
        <v>35</v>
      </c>
      <c r="E786" s="0" t="s">
        <v>35</v>
      </c>
      <c r="F786" s="0" t="s">
        <v>36</v>
      </c>
      <c r="G786" s="0" t="s">
        <v>37</v>
      </c>
      <c r="H786" s="0" t="s">
        <v>2839</v>
      </c>
      <c r="I786" s="0" t="s">
        <v>2840</v>
      </c>
      <c r="J786" s="0" t="s">
        <v>2839</v>
      </c>
      <c r="M786" s="0" t="s">
        <v>2841</v>
      </c>
      <c r="N786" s="0" t="s">
        <v>2842</v>
      </c>
      <c r="O786" s="0" t="s">
        <v>2504</v>
      </c>
      <c r="P786" s="0" t="n">
        <v>1953</v>
      </c>
      <c r="Q786" s="0" t="s">
        <v>39</v>
      </c>
      <c r="R786" s="0" t="s">
        <v>2843</v>
      </c>
      <c r="S786" s="0" t="s">
        <v>2844</v>
      </c>
      <c r="V786" s="0" t="n">
        <v>1</v>
      </c>
      <c r="W786" s="0" t="n">
        <v>1</v>
      </c>
      <c r="X786" s="0" t="str">
        <f aca="false">"31811010747585"</f>
        <v>31811010747585</v>
      </c>
      <c r="Y786" s="0" t="s">
        <v>39</v>
      </c>
      <c r="Z786" s="0" t="s">
        <v>42</v>
      </c>
      <c r="AA786" s="0" t="s">
        <v>43</v>
      </c>
      <c r="AE786" s="1" t="s">
        <v>52</v>
      </c>
    </row>
    <row r="787" customFormat="false" ht="12.8" hidden="false" customHeight="false" outlineLevel="0" collapsed="false">
      <c r="A787" s="0" t="n">
        <v>47730</v>
      </c>
      <c r="B787" s="0" t="n">
        <v>51790</v>
      </c>
      <c r="C787" s="0" t="n">
        <v>57235</v>
      </c>
      <c r="D787" s="0" t="s">
        <v>35</v>
      </c>
      <c r="E787" s="0" t="s">
        <v>35</v>
      </c>
      <c r="F787" s="0" t="s">
        <v>36</v>
      </c>
      <c r="G787" s="0" t="s">
        <v>37</v>
      </c>
      <c r="H787" s="0" t="s">
        <v>2839</v>
      </c>
      <c r="I787" s="0" t="s">
        <v>2840</v>
      </c>
      <c r="J787" s="0" t="s">
        <v>2839</v>
      </c>
      <c r="M787" s="0" t="s">
        <v>2841</v>
      </c>
      <c r="N787" s="0" t="s">
        <v>2842</v>
      </c>
      <c r="O787" s="0" t="s">
        <v>2504</v>
      </c>
      <c r="P787" s="0" t="n">
        <v>1953</v>
      </c>
      <c r="Q787" s="0" t="s">
        <v>39</v>
      </c>
      <c r="R787" s="0" t="s">
        <v>2843</v>
      </c>
      <c r="S787" s="0" t="s">
        <v>2844</v>
      </c>
      <c r="V787" s="0" t="n">
        <v>2</v>
      </c>
      <c r="W787" s="0" t="n">
        <v>1</v>
      </c>
      <c r="X787" s="0" t="str">
        <f aca="false">"31811003180497"</f>
        <v>31811003180497</v>
      </c>
      <c r="Y787" s="0" t="s">
        <v>39</v>
      </c>
      <c r="Z787" s="0" t="s">
        <v>42</v>
      </c>
      <c r="AA787" s="0" t="s">
        <v>43</v>
      </c>
      <c r="AE787" s="1" t="s">
        <v>52</v>
      </c>
    </row>
    <row r="788" customFormat="false" ht="12.8" hidden="false" customHeight="false" outlineLevel="0" collapsed="false">
      <c r="A788" s="0" t="n">
        <v>322681</v>
      </c>
      <c r="B788" s="0" t="n">
        <v>351010</v>
      </c>
      <c r="C788" s="0" t="n">
        <v>391722</v>
      </c>
      <c r="D788" s="0" t="s">
        <v>35</v>
      </c>
      <c r="E788" s="0" t="s">
        <v>35</v>
      </c>
      <c r="F788" s="0" t="s">
        <v>36</v>
      </c>
      <c r="G788" s="0" t="s">
        <v>37</v>
      </c>
      <c r="H788" s="0" t="s">
        <v>2845</v>
      </c>
      <c r="I788" s="0" t="s">
        <v>2846</v>
      </c>
      <c r="J788" s="0" t="s">
        <v>2845</v>
      </c>
      <c r="M788" s="0" t="s">
        <v>2847</v>
      </c>
      <c r="N788" s="1" t="s">
        <v>2848</v>
      </c>
      <c r="P788" s="0" t="n">
        <v>1954</v>
      </c>
      <c r="Q788" s="0" t="s">
        <v>39</v>
      </c>
      <c r="R788" s="0" t="s">
        <v>2849</v>
      </c>
      <c r="S788" s="0" t="s">
        <v>2850</v>
      </c>
      <c r="V788" s="0" t="n">
        <v>1</v>
      </c>
      <c r="W788" s="0" t="n">
        <v>1</v>
      </c>
      <c r="X788" s="0" t="str">
        <f aca="false">"31811010747577"</f>
        <v>31811010747577</v>
      </c>
      <c r="Y788" s="0" t="s">
        <v>39</v>
      </c>
      <c r="Z788" s="0" t="s">
        <v>42</v>
      </c>
      <c r="AA788" s="0" t="s">
        <v>43</v>
      </c>
      <c r="AE788" s="1" t="s">
        <v>52</v>
      </c>
      <c r="AH788" s="1" t="s">
        <v>2851</v>
      </c>
    </row>
    <row r="789" customFormat="false" ht="12.8" hidden="false" customHeight="false" outlineLevel="0" collapsed="false">
      <c r="A789" s="0" t="n">
        <v>351210</v>
      </c>
      <c r="B789" s="0" t="n">
        <v>380464</v>
      </c>
      <c r="C789" s="0" t="n">
        <v>423399</v>
      </c>
      <c r="D789" s="0" t="s">
        <v>35</v>
      </c>
      <c r="E789" s="0" t="s">
        <v>35</v>
      </c>
      <c r="F789" s="0" t="s">
        <v>36</v>
      </c>
      <c r="G789" s="0" t="s">
        <v>37</v>
      </c>
      <c r="H789" s="0" t="s">
        <v>2852</v>
      </c>
      <c r="I789" s="0" t="s">
        <v>2853</v>
      </c>
      <c r="J789" s="0" t="s">
        <v>2852</v>
      </c>
      <c r="M789" s="0" t="s">
        <v>2854</v>
      </c>
      <c r="N789" s="1" t="s">
        <v>2855</v>
      </c>
      <c r="P789" s="0" t="n">
        <v>1954</v>
      </c>
      <c r="Q789" s="0" t="s">
        <v>39</v>
      </c>
      <c r="R789" s="0" t="s">
        <v>2856</v>
      </c>
      <c r="S789" s="0" t="s">
        <v>2857</v>
      </c>
      <c r="V789" s="0" t="n">
        <v>1</v>
      </c>
      <c r="W789" s="0" t="n">
        <v>1</v>
      </c>
      <c r="X789" s="0" t="str">
        <f aca="false">"31811010747569"</f>
        <v>31811010747569</v>
      </c>
      <c r="Y789" s="0" t="s">
        <v>39</v>
      </c>
      <c r="Z789" s="0" t="s">
        <v>42</v>
      </c>
      <c r="AA789" s="0" t="s">
        <v>43</v>
      </c>
      <c r="AE789" s="1" t="s">
        <v>52</v>
      </c>
    </row>
    <row r="790" customFormat="false" ht="12.8" hidden="false" customHeight="false" outlineLevel="0" collapsed="false">
      <c r="A790" s="0" t="n">
        <v>328791</v>
      </c>
      <c r="B790" s="0" t="n">
        <v>357292</v>
      </c>
      <c r="C790" s="0" t="n">
        <v>398502</v>
      </c>
      <c r="D790" s="0" t="s">
        <v>35</v>
      </c>
      <c r="E790" s="0" t="s">
        <v>35</v>
      </c>
      <c r="F790" s="0" t="s">
        <v>36</v>
      </c>
      <c r="G790" s="0" t="s">
        <v>37</v>
      </c>
      <c r="H790" s="0" t="s">
        <v>2858</v>
      </c>
      <c r="I790" s="0" t="s">
        <v>2859</v>
      </c>
      <c r="J790" s="0" t="s">
        <v>2858</v>
      </c>
      <c r="M790" s="0" t="s">
        <v>2860</v>
      </c>
      <c r="N790" s="1" t="s">
        <v>2861</v>
      </c>
      <c r="P790" s="0" t="n">
        <v>1953</v>
      </c>
      <c r="Q790" s="0" t="s">
        <v>39</v>
      </c>
      <c r="R790" s="0" t="s">
        <v>2862</v>
      </c>
      <c r="S790" s="0" t="s">
        <v>2863</v>
      </c>
      <c r="V790" s="0" t="n">
        <v>1</v>
      </c>
      <c r="W790" s="0" t="n">
        <v>1</v>
      </c>
      <c r="X790" s="0" t="str">
        <f aca="false">"31811010747551"</f>
        <v>31811010747551</v>
      </c>
      <c r="Y790" s="0" t="s">
        <v>39</v>
      </c>
      <c r="Z790" s="0" t="s">
        <v>42</v>
      </c>
      <c r="AA790" s="0" t="s">
        <v>43</v>
      </c>
      <c r="AE790" s="1" t="s">
        <v>52</v>
      </c>
    </row>
    <row r="791" customFormat="false" ht="12.8" hidden="false" customHeight="false" outlineLevel="0" collapsed="false">
      <c r="A791" s="0" t="n">
        <v>497964</v>
      </c>
      <c r="B791" s="0" t="n">
        <v>479112</v>
      </c>
      <c r="C791" s="0" t="n">
        <v>536937</v>
      </c>
      <c r="D791" s="0" t="s">
        <v>35</v>
      </c>
      <c r="E791" s="0" t="s">
        <v>35</v>
      </c>
      <c r="F791" s="0" t="s">
        <v>36</v>
      </c>
      <c r="G791" s="0" t="s">
        <v>37</v>
      </c>
      <c r="H791" s="0" t="s">
        <v>2864</v>
      </c>
      <c r="I791" s="0" t="s">
        <v>2865</v>
      </c>
      <c r="J791" s="0" t="s">
        <v>2864</v>
      </c>
      <c r="M791" s="0" t="s">
        <v>2866</v>
      </c>
      <c r="P791" s="0" t="n">
        <v>1955</v>
      </c>
      <c r="Q791" s="0" t="s">
        <v>39</v>
      </c>
      <c r="R791" s="0" t="s">
        <v>2867</v>
      </c>
      <c r="S791" s="0" t="s">
        <v>2868</v>
      </c>
      <c r="V791" s="0" t="n">
        <v>1</v>
      </c>
      <c r="W791" s="0" t="n">
        <v>1</v>
      </c>
      <c r="X791" s="0" t="str">
        <f aca="false">"31811010747544"</f>
        <v>31811010747544</v>
      </c>
      <c r="Y791" s="0" t="s">
        <v>39</v>
      </c>
      <c r="Z791" s="0" t="s">
        <v>42</v>
      </c>
      <c r="AA791" s="0" t="s">
        <v>43</v>
      </c>
      <c r="AE791" s="1" t="s">
        <v>52</v>
      </c>
      <c r="AH791" s="1" t="s">
        <v>2869</v>
      </c>
    </row>
    <row r="792" customFormat="false" ht="12.8" hidden="false" customHeight="false" outlineLevel="0" collapsed="false">
      <c r="A792" s="0" t="n">
        <v>147011</v>
      </c>
      <c r="B792" s="0" t="n">
        <v>159232</v>
      </c>
      <c r="C792" s="0" t="n">
        <v>178796</v>
      </c>
      <c r="D792" s="0" t="s">
        <v>35</v>
      </c>
      <c r="E792" s="0" t="s">
        <v>35</v>
      </c>
      <c r="F792" s="0" t="s">
        <v>36</v>
      </c>
      <c r="G792" s="0" t="s">
        <v>37</v>
      </c>
      <c r="H792" s="0" t="s">
        <v>2870</v>
      </c>
      <c r="I792" s="0" t="s">
        <v>2871</v>
      </c>
      <c r="J792" s="0" t="s">
        <v>2870</v>
      </c>
      <c r="M792" s="0" t="s">
        <v>2872</v>
      </c>
      <c r="N792" s="0" t="s">
        <v>2873</v>
      </c>
      <c r="O792" s="0" t="s">
        <v>2874</v>
      </c>
      <c r="P792" s="0" t="n">
        <v>1955</v>
      </c>
      <c r="Q792" s="0" t="s">
        <v>39</v>
      </c>
      <c r="R792" s="0" t="s">
        <v>2875</v>
      </c>
      <c r="S792" s="0" t="s">
        <v>2876</v>
      </c>
      <c r="V792" s="0" t="n">
        <v>1</v>
      </c>
      <c r="W792" s="0" t="n">
        <v>1</v>
      </c>
      <c r="X792" s="0" t="str">
        <f aca="false">"31811010747536"</f>
        <v>31811010747536</v>
      </c>
      <c r="Y792" s="0" t="s">
        <v>39</v>
      </c>
      <c r="Z792" s="0" t="s">
        <v>42</v>
      </c>
      <c r="AA792" s="0" t="s">
        <v>43</v>
      </c>
      <c r="AE792" s="1" t="s">
        <v>52</v>
      </c>
      <c r="AH792" s="1" t="s">
        <v>2877</v>
      </c>
    </row>
    <row r="793" customFormat="false" ht="12.8" hidden="false" customHeight="false" outlineLevel="0" collapsed="false">
      <c r="A793" s="0" t="n">
        <v>476162</v>
      </c>
      <c r="B793" s="0" t="n">
        <v>508327</v>
      </c>
      <c r="C793" s="0" t="n">
        <v>570740</v>
      </c>
      <c r="D793" s="0" t="s">
        <v>35</v>
      </c>
      <c r="E793" s="0" t="s">
        <v>35</v>
      </c>
      <c r="F793" s="0" t="s">
        <v>36</v>
      </c>
      <c r="G793" s="0" t="s">
        <v>37</v>
      </c>
      <c r="H793" s="0" t="s">
        <v>2878</v>
      </c>
      <c r="I793" s="0" t="s">
        <v>2879</v>
      </c>
      <c r="J793" s="0" t="s">
        <v>2878</v>
      </c>
      <c r="M793" s="0" t="s">
        <v>2880</v>
      </c>
      <c r="N793" s="1" t="s">
        <v>2881</v>
      </c>
      <c r="P793" s="0" t="n">
        <v>1956</v>
      </c>
      <c r="Q793" s="0" t="s">
        <v>39</v>
      </c>
      <c r="R793" s="0" t="s">
        <v>2882</v>
      </c>
      <c r="S793" s="0" t="s">
        <v>2883</v>
      </c>
      <c r="V793" s="0" t="n">
        <v>1</v>
      </c>
      <c r="W793" s="0" t="n">
        <v>1</v>
      </c>
      <c r="X793" s="0" t="str">
        <f aca="false">"31811010747528"</f>
        <v>31811010747528</v>
      </c>
      <c r="Y793" s="0" t="s">
        <v>39</v>
      </c>
      <c r="Z793" s="0" t="s">
        <v>42</v>
      </c>
      <c r="AA793" s="0" t="s">
        <v>43</v>
      </c>
      <c r="AE793" s="1" t="s">
        <v>52</v>
      </c>
    </row>
    <row r="794" customFormat="false" ht="12.8" hidden="false" customHeight="false" outlineLevel="0" collapsed="false">
      <c r="A794" s="0" t="n">
        <v>412830</v>
      </c>
      <c r="B794" s="0" t="n">
        <v>445361</v>
      </c>
      <c r="C794" s="0" t="n">
        <v>496505</v>
      </c>
      <c r="D794" s="0" t="s">
        <v>35</v>
      </c>
      <c r="E794" s="0" t="s">
        <v>35</v>
      </c>
      <c r="F794" s="0" t="s">
        <v>36</v>
      </c>
      <c r="G794" s="0" t="s">
        <v>412</v>
      </c>
      <c r="H794" s="0" t="s">
        <v>2884</v>
      </c>
      <c r="I794" s="0" t="s">
        <v>2885</v>
      </c>
      <c r="J794" s="0" t="s">
        <v>2884</v>
      </c>
      <c r="M794" s="0" t="s">
        <v>2886</v>
      </c>
      <c r="P794" s="0" t="n">
        <v>1957</v>
      </c>
      <c r="Q794" s="0" t="s">
        <v>39</v>
      </c>
      <c r="R794" s="0" t="s">
        <v>2887</v>
      </c>
      <c r="S794" s="0" t="s">
        <v>2888</v>
      </c>
      <c r="V794" s="0" t="n">
        <v>1</v>
      </c>
      <c r="W794" s="0" t="n">
        <v>1</v>
      </c>
      <c r="X794" s="0" t="str">
        <f aca="false">"31811010747502"</f>
        <v>31811010747502</v>
      </c>
      <c r="Y794" s="0" t="s">
        <v>39</v>
      </c>
      <c r="Z794" s="0" t="s">
        <v>42</v>
      </c>
      <c r="AA794" s="0" t="s">
        <v>43</v>
      </c>
      <c r="AE794" s="1" t="s">
        <v>52</v>
      </c>
    </row>
    <row r="795" customFormat="false" ht="12.8" hidden="false" customHeight="false" outlineLevel="0" collapsed="false">
      <c r="A795" s="0" t="n">
        <v>275706</v>
      </c>
      <c r="B795" s="0" t="n">
        <v>301606</v>
      </c>
      <c r="C795" s="0" t="n">
        <v>338095</v>
      </c>
      <c r="D795" s="0" t="s">
        <v>35</v>
      </c>
      <c r="E795" s="0" t="s">
        <v>35</v>
      </c>
      <c r="F795" s="0" t="s">
        <v>36</v>
      </c>
      <c r="G795" s="0" t="s">
        <v>37</v>
      </c>
      <c r="H795" s="0" t="s">
        <v>2889</v>
      </c>
      <c r="I795" s="0" t="s">
        <v>2890</v>
      </c>
      <c r="J795" s="0" t="s">
        <v>2889</v>
      </c>
      <c r="M795" s="0" t="s">
        <v>2891</v>
      </c>
      <c r="N795" s="1" t="s">
        <v>2892</v>
      </c>
      <c r="P795" s="0" t="n">
        <v>1957</v>
      </c>
      <c r="Q795" s="0" t="s">
        <v>39</v>
      </c>
      <c r="R795" s="0" t="s">
        <v>2893</v>
      </c>
      <c r="S795" s="0" t="s">
        <v>2894</v>
      </c>
      <c r="V795" s="0" t="n">
        <v>1</v>
      </c>
      <c r="W795" s="0" t="n">
        <v>1</v>
      </c>
      <c r="X795" s="0" t="str">
        <f aca="false">"31811010747494"</f>
        <v>31811010747494</v>
      </c>
      <c r="Y795" s="0" t="s">
        <v>39</v>
      </c>
      <c r="Z795" s="0" t="s">
        <v>42</v>
      </c>
      <c r="AA795" s="0" t="s">
        <v>43</v>
      </c>
      <c r="AE795" s="1" t="s">
        <v>52</v>
      </c>
    </row>
    <row r="796" customFormat="false" ht="12.8" hidden="false" customHeight="false" outlineLevel="0" collapsed="false">
      <c r="A796" s="0" t="n">
        <v>353798</v>
      </c>
      <c r="B796" s="0" t="n">
        <v>383137</v>
      </c>
      <c r="C796" s="0" t="n">
        <v>426412</v>
      </c>
      <c r="D796" s="0" t="s">
        <v>35</v>
      </c>
      <c r="E796" s="0" t="s">
        <v>35</v>
      </c>
      <c r="F796" s="0" t="s">
        <v>36</v>
      </c>
      <c r="G796" s="0" t="s">
        <v>37</v>
      </c>
      <c r="H796" s="0" t="s">
        <v>2895</v>
      </c>
      <c r="I796" s="0" t="s">
        <v>2896</v>
      </c>
      <c r="J796" s="0" t="s">
        <v>2895</v>
      </c>
      <c r="L796" s="0" t="s">
        <v>2897</v>
      </c>
      <c r="M796" s="0" t="s">
        <v>2898</v>
      </c>
      <c r="N796" s="0" t="n">
        <v>1973</v>
      </c>
      <c r="O796" s="0" t="s">
        <v>2899</v>
      </c>
      <c r="P796" s="0" t="n">
        <v>1973</v>
      </c>
      <c r="Q796" s="0" t="s">
        <v>39</v>
      </c>
      <c r="R796" s="0" t="s">
        <v>2900</v>
      </c>
      <c r="S796" s="0" t="s">
        <v>2901</v>
      </c>
      <c r="V796" s="0" t="n">
        <v>1</v>
      </c>
      <c r="W796" s="0" t="n">
        <v>1</v>
      </c>
      <c r="X796" s="0" t="str">
        <f aca="false">"31811010747486"</f>
        <v>31811010747486</v>
      </c>
      <c r="Y796" s="0" t="s">
        <v>39</v>
      </c>
      <c r="Z796" s="0" t="s">
        <v>42</v>
      </c>
      <c r="AA796" s="0" t="s">
        <v>43</v>
      </c>
      <c r="AE796" s="1" t="s">
        <v>52</v>
      </c>
    </row>
    <row r="797" customFormat="false" ht="12.8" hidden="false" customHeight="false" outlineLevel="0" collapsed="false">
      <c r="A797" s="0" t="n">
        <v>302329</v>
      </c>
      <c r="B797" s="0" t="n">
        <v>329774</v>
      </c>
      <c r="C797" s="0" t="n">
        <v>368224</v>
      </c>
      <c r="D797" s="0" t="s">
        <v>35</v>
      </c>
      <c r="E797" s="0" t="s">
        <v>35</v>
      </c>
      <c r="F797" s="0" t="s">
        <v>36</v>
      </c>
      <c r="G797" s="0" t="s">
        <v>37</v>
      </c>
      <c r="H797" s="0" t="s">
        <v>2902</v>
      </c>
      <c r="I797" s="0" t="s">
        <v>2903</v>
      </c>
      <c r="J797" s="0" t="s">
        <v>2902</v>
      </c>
      <c r="M797" s="0" t="s">
        <v>2904</v>
      </c>
      <c r="N797" s="1" t="s">
        <v>2905</v>
      </c>
      <c r="P797" s="0" t="n">
        <v>1959</v>
      </c>
      <c r="Q797" s="0" t="s">
        <v>39</v>
      </c>
      <c r="R797" s="0" t="s">
        <v>2906</v>
      </c>
      <c r="S797" s="0" t="s">
        <v>2907</v>
      </c>
      <c r="V797" s="0" t="n">
        <v>1</v>
      </c>
      <c r="W797" s="0" t="n">
        <v>1</v>
      </c>
      <c r="X797" s="0" t="str">
        <f aca="false">"31811010747478"</f>
        <v>31811010747478</v>
      </c>
      <c r="Y797" s="0" t="s">
        <v>39</v>
      </c>
      <c r="Z797" s="0" t="s">
        <v>42</v>
      </c>
      <c r="AA797" s="0" t="s">
        <v>43</v>
      </c>
      <c r="AE797" s="1" t="s">
        <v>52</v>
      </c>
      <c r="AH797" s="1" t="s">
        <v>2908</v>
      </c>
    </row>
    <row r="798" customFormat="false" ht="12.8" hidden="false" customHeight="false" outlineLevel="0" collapsed="false">
      <c r="A798" s="0" t="n">
        <v>397780</v>
      </c>
      <c r="B798" s="0" t="n">
        <v>429550</v>
      </c>
      <c r="C798" s="0" t="n">
        <v>478787</v>
      </c>
      <c r="D798" s="0" t="s">
        <v>35</v>
      </c>
      <c r="E798" s="0" t="s">
        <v>35</v>
      </c>
      <c r="F798" s="0" t="s">
        <v>36</v>
      </c>
      <c r="G798" s="0" t="s">
        <v>412</v>
      </c>
      <c r="H798" s="0" t="s">
        <v>2909</v>
      </c>
      <c r="I798" s="0" t="s">
        <v>2910</v>
      </c>
      <c r="J798" s="0" t="s">
        <v>2909</v>
      </c>
      <c r="M798" s="0" t="s">
        <v>2911</v>
      </c>
      <c r="N798" s="0" t="n">
        <v>1960</v>
      </c>
      <c r="P798" s="0" t="n">
        <v>1960</v>
      </c>
      <c r="Q798" s="0" t="s">
        <v>39</v>
      </c>
      <c r="R798" s="0" t="s">
        <v>2912</v>
      </c>
      <c r="S798" s="0" t="s">
        <v>2913</v>
      </c>
      <c r="V798" s="0" t="n">
        <v>1</v>
      </c>
      <c r="W798" s="0" t="n">
        <v>1</v>
      </c>
      <c r="X798" s="0" t="str">
        <f aca="false">"31811010747460"</f>
        <v>31811010747460</v>
      </c>
      <c r="Y798" s="0" t="s">
        <v>39</v>
      </c>
      <c r="Z798" s="0" t="s">
        <v>42</v>
      </c>
      <c r="AA798" s="0" t="s">
        <v>43</v>
      </c>
      <c r="AE798" s="1" t="s">
        <v>52</v>
      </c>
    </row>
    <row r="799" customFormat="false" ht="12.8" hidden="false" customHeight="false" outlineLevel="0" collapsed="false">
      <c r="A799" s="0" t="n">
        <v>351027</v>
      </c>
      <c r="B799" s="0" t="n">
        <v>380274</v>
      </c>
      <c r="C799" s="0" t="n">
        <v>423181</v>
      </c>
      <c r="D799" s="0" t="s">
        <v>35</v>
      </c>
      <c r="E799" s="0" t="s">
        <v>35</v>
      </c>
      <c r="F799" s="0" t="s">
        <v>36</v>
      </c>
      <c r="G799" s="0" t="s">
        <v>37</v>
      </c>
      <c r="H799" s="0" t="s">
        <v>2914</v>
      </c>
      <c r="I799" s="0" t="s">
        <v>2915</v>
      </c>
      <c r="J799" s="0" t="s">
        <v>2914</v>
      </c>
      <c r="M799" s="0" t="s">
        <v>2916</v>
      </c>
      <c r="N799" s="0" t="n">
        <v>1963</v>
      </c>
      <c r="P799" s="0" t="n">
        <v>1963</v>
      </c>
      <c r="Q799" s="0" t="s">
        <v>39</v>
      </c>
      <c r="R799" s="0" t="s">
        <v>2917</v>
      </c>
      <c r="S799" s="0" t="s">
        <v>2918</v>
      </c>
      <c r="V799" s="0" t="n">
        <v>1</v>
      </c>
      <c r="W799" s="0" t="n">
        <v>1</v>
      </c>
      <c r="X799" s="0" t="str">
        <f aca="false">"31811010747452"</f>
        <v>31811010747452</v>
      </c>
      <c r="Y799" s="0" t="s">
        <v>39</v>
      </c>
      <c r="Z799" s="0" t="s">
        <v>42</v>
      </c>
      <c r="AA799" s="0" t="s">
        <v>43</v>
      </c>
      <c r="AE799" s="1" t="s">
        <v>52</v>
      </c>
    </row>
    <row r="800" customFormat="false" ht="12.8" hidden="false" customHeight="false" outlineLevel="0" collapsed="false">
      <c r="A800" s="0" t="n">
        <v>509034</v>
      </c>
      <c r="B800" s="0" t="n">
        <v>490807</v>
      </c>
      <c r="C800" s="0" t="n">
        <v>550882</v>
      </c>
      <c r="D800" s="0" t="s">
        <v>35</v>
      </c>
      <c r="E800" s="0" t="s">
        <v>35</v>
      </c>
      <c r="F800" s="0" t="s">
        <v>36</v>
      </c>
      <c r="G800" s="0" t="s">
        <v>37</v>
      </c>
      <c r="H800" s="0" t="s">
        <v>2919</v>
      </c>
      <c r="I800" s="0" t="s">
        <v>2551</v>
      </c>
      <c r="J800" s="0" t="s">
        <v>2920</v>
      </c>
      <c r="M800" s="0" t="s">
        <v>2921</v>
      </c>
      <c r="N800" s="0" t="s">
        <v>2922</v>
      </c>
      <c r="P800" s="0" t="n">
        <v>1960</v>
      </c>
      <c r="Q800" s="0" t="s">
        <v>39</v>
      </c>
      <c r="R800" s="0" t="s">
        <v>2923</v>
      </c>
      <c r="S800" s="0" t="s">
        <v>2924</v>
      </c>
      <c r="V800" s="0" t="n">
        <v>1</v>
      </c>
      <c r="W800" s="0" t="n">
        <v>1</v>
      </c>
      <c r="X800" s="0" t="str">
        <f aca="false">"31811010747643"</f>
        <v>31811010747643</v>
      </c>
      <c r="Y800" s="0" t="s">
        <v>39</v>
      </c>
      <c r="Z800" s="0" t="s">
        <v>42</v>
      </c>
      <c r="AA800" s="0" t="s">
        <v>43</v>
      </c>
      <c r="AE800" s="1" t="s">
        <v>52</v>
      </c>
    </row>
    <row r="801" customFormat="false" ht="12.8" hidden="false" customHeight="false" outlineLevel="0" collapsed="false">
      <c r="A801" s="0" t="n">
        <v>208372</v>
      </c>
      <c r="B801" s="0" t="n">
        <v>228609</v>
      </c>
      <c r="C801" s="0" t="n">
        <v>843179</v>
      </c>
      <c r="D801" s="0" t="s">
        <v>35</v>
      </c>
      <c r="E801" s="0" t="s">
        <v>35</v>
      </c>
      <c r="F801" s="0" t="s">
        <v>480</v>
      </c>
      <c r="G801" s="0" t="s">
        <v>37</v>
      </c>
      <c r="H801" s="0" t="s">
        <v>2925</v>
      </c>
      <c r="J801" s="0" t="s">
        <v>2925</v>
      </c>
      <c r="M801" s="0" t="s">
        <v>2926</v>
      </c>
      <c r="N801" s="1" t="s">
        <v>2927</v>
      </c>
      <c r="O801" s="0" t="s">
        <v>2928</v>
      </c>
      <c r="P801" s="0" t="n">
        <v>1940</v>
      </c>
      <c r="Q801" s="0" t="s">
        <v>39</v>
      </c>
      <c r="R801" s="0" t="s">
        <v>2929</v>
      </c>
      <c r="S801" s="0" t="s">
        <v>2930</v>
      </c>
      <c r="T801" s="0" t="s">
        <v>2931</v>
      </c>
      <c r="V801" s="0" t="n">
        <v>0</v>
      </c>
      <c r="W801" s="0" t="n">
        <v>1</v>
      </c>
      <c r="X801" s="0" t="str">
        <f aca="false">""</f>
        <v/>
      </c>
      <c r="Y801" s="0" t="s">
        <v>39</v>
      </c>
      <c r="Z801" s="0" t="s">
        <v>42</v>
      </c>
      <c r="AA801" s="0" t="s">
        <v>2932</v>
      </c>
      <c r="AE801" s="1" t="s">
        <v>52</v>
      </c>
      <c r="AF801" s="1" t="s">
        <v>2933</v>
      </c>
      <c r="AG801" s="0" t="n">
        <v>3184</v>
      </c>
    </row>
    <row r="802" customFormat="false" ht="12.8" hidden="false" customHeight="false" outlineLevel="0" collapsed="false">
      <c r="A802" s="0" t="n">
        <v>208372</v>
      </c>
      <c r="B802" s="0" t="n">
        <v>228609</v>
      </c>
      <c r="C802" s="0" t="n">
        <v>831231</v>
      </c>
      <c r="D802" s="0" t="s">
        <v>35</v>
      </c>
      <c r="E802" s="0" t="s">
        <v>35</v>
      </c>
      <c r="F802" s="0" t="s">
        <v>480</v>
      </c>
      <c r="G802" s="0" t="s">
        <v>37</v>
      </c>
      <c r="H802" s="0" t="s">
        <v>2925</v>
      </c>
      <c r="J802" s="0" t="s">
        <v>2925</v>
      </c>
      <c r="M802" s="0" t="s">
        <v>2926</v>
      </c>
      <c r="N802" s="1" t="s">
        <v>2927</v>
      </c>
      <c r="O802" s="0" t="s">
        <v>2928</v>
      </c>
      <c r="P802" s="0" t="n">
        <v>1940</v>
      </c>
      <c r="Q802" s="0" t="s">
        <v>39</v>
      </c>
      <c r="R802" s="0" t="s">
        <v>2929</v>
      </c>
      <c r="S802" s="0" t="s">
        <v>2930</v>
      </c>
      <c r="T802" s="0" t="s">
        <v>2934</v>
      </c>
      <c r="V802" s="0" t="n">
        <v>1</v>
      </c>
      <c r="W802" s="0" t="n">
        <v>1</v>
      </c>
      <c r="X802" s="0" t="str">
        <f aca="false">"31811013911139"</f>
        <v>31811013911139</v>
      </c>
      <c r="Y802" s="0" t="s">
        <v>39</v>
      </c>
      <c r="Z802" s="0" t="s">
        <v>42</v>
      </c>
      <c r="AA802" s="0" t="s">
        <v>622</v>
      </c>
      <c r="AE802" s="1" t="s">
        <v>52</v>
      </c>
      <c r="AF802" s="1" t="s">
        <v>2933</v>
      </c>
      <c r="AG802" s="0" t="n">
        <v>3184</v>
      </c>
    </row>
    <row r="803" customFormat="false" ht="12.8" hidden="false" customHeight="false" outlineLevel="0" collapsed="false">
      <c r="A803" s="0" t="n">
        <v>208372</v>
      </c>
      <c r="B803" s="0" t="n">
        <v>228609</v>
      </c>
      <c r="C803" s="0" t="n">
        <v>257270</v>
      </c>
      <c r="D803" s="0" t="s">
        <v>35</v>
      </c>
      <c r="E803" s="0" t="s">
        <v>35</v>
      </c>
      <c r="F803" s="0" t="s">
        <v>480</v>
      </c>
      <c r="G803" s="0" t="s">
        <v>37</v>
      </c>
      <c r="H803" s="0" t="s">
        <v>2925</v>
      </c>
      <c r="J803" s="0" t="s">
        <v>2925</v>
      </c>
      <c r="M803" s="0" t="s">
        <v>2926</v>
      </c>
      <c r="N803" s="1" t="s">
        <v>2927</v>
      </c>
      <c r="O803" s="0" t="s">
        <v>2928</v>
      </c>
      <c r="P803" s="0" t="n">
        <v>1940</v>
      </c>
      <c r="Q803" s="0" t="s">
        <v>39</v>
      </c>
      <c r="R803" s="0" t="s">
        <v>2929</v>
      </c>
      <c r="S803" s="0" t="s">
        <v>2930</v>
      </c>
      <c r="T803" s="0" t="s">
        <v>2935</v>
      </c>
      <c r="V803" s="0" t="n">
        <v>1</v>
      </c>
      <c r="W803" s="0" t="n">
        <v>1</v>
      </c>
      <c r="X803" s="0" t="str">
        <f aca="false">"31811012197664"</f>
        <v>31811012197664</v>
      </c>
      <c r="Y803" s="0" t="s">
        <v>39</v>
      </c>
      <c r="Z803" s="0" t="s">
        <v>42</v>
      </c>
      <c r="AA803" s="0" t="s">
        <v>622</v>
      </c>
      <c r="AE803" s="1" t="s">
        <v>52</v>
      </c>
      <c r="AF803" s="1" t="s">
        <v>2933</v>
      </c>
      <c r="AG803" s="0" t="n">
        <v>3184</v>
      </c>
    </row>
    <row r="804" customFormat="false" ht="12.8" hidden="false" customHeight="false" outlineLevel="0" collapsed="false">
      <c r="A804" s="0" t="n">
        <v>208372</v>
      </c>
      <c r="B804" s="0" t="n">
        <v>228609</v>
      </c>
      <c r="C804" s="0" t="n">
        <v>257271</v>
      </c>
      <c r="D804" s="0" t="s">
        <v>35</v>
      </c>
      <c r="E804" s="0" t="s">
        <v>35</v>
      </c>
      <c r="F804" s="0" t="s">
        <v>480</v>
      </c>
      <c r="G804" s="0" t="s">
        <v>37</v>
      </c>
      <c r="H804" s="0" t="s">
        <v>2925</v>
      </c>
      <c r="J804" s="0" t="s">
        <v>2925</v>
      </c>
      <c r="M804" s="0" t="s">
        <v>2926</v>
      </c>
      <c r="N804" s="1" t="s">
        <v>2927</v>
      </c>
      <c r="O804" s="0" t="s">
        <v>2928</v>
      </c>
      <c r="P804" s="0" t="n">
        <v>1940</v>
      </c>
      <c r="Q804" s="0" t="s">
        <v>39</v>
      </c>
      <c r="R804" s="0" t="s">
        <v>2929</v>
      </c>
      <c r="S804" s="0" t="s">
        <v>2930</v>
      </c>
      <c r="T804" s="0" t="s">
        <v>2936</v>
      </c>
      <c r="V804" s="0" t="n">
        <v>1</v>
      </c>
      <c r="W804" s="0" t="n">
        <v>1</v>
      </c>
      <c r="X804" s="0" t="str">
        <f aca="false">"31811012074483"</f>
        <v>31811012074483</v>
      </c>
      <c r="Y804" s="0" t="s">
        <v>39</v>
      </c>
      <c r="Z804" s="0" t="s">
        <v>42</v>
      </c>
      <c r="AA804" s="0" t="s">
        <v>622</v>
      </c>
      <c r="AE804" s="1" t="s">
        <v>52</v>
      </c>
      <c r="AF804" s="1" t="s">
        <v>2933</v>
      </c>
      <c r="AG804" s="0" t="n">
        <v>3184</v>
      </c>
    </row>
    <row r="805" customFormat="false" ht="12.8" hidden="false" customHeight="false" outlineLevel="0" collapsed="false">
      <c r="A805" s="0" t="n">
        <v>208372</v>
      </c>
      <c r="B805" s="0" t="n">
        <v>228609</v>
      </c>
      <c r="C805" s="0" t="n">
        <v>257272</v>
      </c>
      <c r="D805" s="0" t="s">
        <v>35</v>
      </c>
      <c r="E805" s="0" t="s">
        <v>35</v>
      </c>
      <c r="F805" s="0" t="s">
        <v>480</v>
      </c>
      <c r="G805" s="0" t="s">
        <v>37</v>
      </c>
      <c r="H805" s="0" t="s">
        <v>2925</v>
      </c>
      <c r="J805" s="0" t="s">
        <v>2925</v>
      </c>
      <c r="M805" s="0" t="s">
        <v>2926</v>
      </c>
      <c r="N805" s="1" t="s">
        <v>2927</v>
      </c>
      <c r="O805" s="0" t="s">
        <v>2928</v>
      </c>
      <c r="P805" s="0" t="n">
        <v>1940</v>
      </c>
      <c r="Q805" s="0" t="s">
        <v>39</v>
      </c>
      <c r="R805" s="0" t="s">
        <v>2929</v>
      </c>
      <c r="S805" s="0" t="s">
        <v>2930</v>
      </c>
      <c r="T805" s="0" t="s">
        <v>2937</v>
      </c>
      <c r="V805" s="0" t="n">
        <v>1</v>
      </c>
      <c r="W805" s="0" t="n">
        <v>1</v>
      </c>
      <c r="X805" s="0" t="str">
        <f aca="false">"31811012103266"</f>
        <v>31811012103266</v>
      </c>
      <c r="Y805" s="0" t="s">
        <v>39</v>
      </c>
      <c r="Z805" s="0" t="s">
        <v>42</v>
      </c>
      <c r="AA805" s="0" t="s">
        <v>622</v>
      </c>
      <c r="AE805" s="1" t="s">
        <v>52</v>
      </c>
      <c r="AF805" s="1" t="s">
        <v>2933</v>
      </c>
      <c r="AG805" s="0" t="n">
        <v>3184</v>
      </c>
    </row>
    <row r="806" customFormat="false" ht="12.8" hidden="false" customHeight="false" outlineLevel="0" collapsed="false">
      <c r="A806" s="0" t="n">
        <v>208372</v>
      </c>
      <c r="B806" s="0" t="n">
        <v>228609</v>
      </c>
      <c r="C806" s="0" t="n">
        <v>257273</v>
      </c>
      <c r="D806" s="0" t="s">
        <v>35</v>
      </c>
      <c r="E806" s="0" t="s">
        <v>35</v>
      </c>
      <c r="F806" s="0" t="s">
        <v>480</v>
      </c>
      <c r="G806" s="0" t="s">
        <v>37</v>
      </c>
      <c r="H806" s="0" t="s">
        <v>2925</v>
      </c>
      <c r="J806" s="0" t="s">
        <v>2925</v>
      </c>
      <c r="M806" s="0" t="s">
        <v>2926</v>
      </c>
      <c r="N806" s="1" t="s">
        <v>2927</v>
      </c>
      <c r="O806" s="0" t="s">
        <v>2928</v>
      </c>
      <c r="P806" s="0" t="n">
        <v>1940</v>
      </c>
      <c r="Q806" s="0" t="s">
        <v>39</v>
      </c>
      <c r="R806" s="0" t="s">
        <v>2929</v>
      </c>
      <c r="S806" s="0" t="s">
        <v>2930</v>
      </c>
      <c r="T806" s="0" t="s">
        <v>2938</v>
      </c>
      <c r="V806" s="0" t="n">
        <v>1</v>
      </c>
      <c r="W806" s="0" t="n">
        <v>1</v>
      </c>
      <c r="X806" s="0" t="str">
        <f aca="false">"31811011346833"</f>
        <v>31811011346833</v>
      </c>
      <c r="Y806" s="0" t="s">
        <v>39</v>
      </c>
      <c r="Z806" s="0" t="s">
        <v>42</v>
      </c>
      <c r="AA806" s="0" t="s">
        <v>622</v>
      </c>
      <c r="AE806" s="1" t="s">
        <v>52</v>
      </c>
      <c r="AF806" s="1" t="s">
        <v>2933</v>
      </c>
      <c r="AG806" s="0" t="n">
        <v>3184</v>
      </c>
    </row>
    <row r="807" customFormat="false" ht="12.8" hidden="false" customHeight="false" outlineLevel="0" collapsed="false">
      <c r="A807" s="0" t="n">
        <v>208372</v>
      </c>
      <c r="B807" s="0" t="n">
        <v>228609</v>
      </c>
      <c r="C807" s="0" t="n">
        <v>257274</v>
      </c>
      <c r="D807" s="0" t="s">
        <v>35</v>
      </c>
      <c r="E807" s="0" t="s">
        <v>35</v>
      </c>
      <c r="F807" s="0" t="s">
        <v>480</v>
      </c>
      <c r="G807" s="0" t="s">
        <v>37</v>
      </c>
      <c r="H807" s="0" t="s">
        <v>2925</v>
      </c>
      <c r="J807" s="0" t="s">
        <v>2925</v>
      </c>
      <c r="M807" s="0" t="s">
        <v>2926</v>
      </c>
      <c r="N807" s="1" t="s">
        <v>2927</v>
      </c>
      <c r="O807" s="0" t="s">
        <v>2928</v>
      </c>
      <c r="P807" s="0" t="n">
        <v>1940</v>
      </c>
      <c r="Q807" s="0" t="s">
        <v>39</v>
      </c>
      <c r="R807" s="0" t="s">
        <v>2929</v>
      </c>
      <c r="S807" s="0" t="s">
        <v>2930</v>
      </c>
      <c r="T807" s="0" t="s">
        <v>2939</v>
      </c>
      <c r="V807" s="0" t="n">
        <v>1</v>
      </c>
      <c r="W807" s="0" t="n">
        <v>1</v>
      </c>
      <c r="X807" s="0" t="str">
        <f aca="false">"31811012047430"</f>
        <v>31811012047430</v>
      </c>
      <c r="Y807" s="0" t="s">
        <v>39</v>
      </c>
      <c r="Z807" s="0" t="s">
        <v>42</v>
      </c>
      <c r="AA807" s="0" t="s">
        <v>622</v>
      </c>
      <c r="AE807" s="1" t="s">
        <v>52</v>
      </c>
      <c r="AF807" s="1" t="s">
        <v>2933</v>
      </c>
      <c r="AG807" s="0" t="n">
        <v>3184</v>
      </c>
    </row>
    <row r="808" customFormat="false" ht="12.8" hidden="false" customHeight="false" outlineLevel="0" collapsed="false">
      <c r="A808" s="0" t="n">
        <v>208372</v>
      </c>
      <c r="B808" s="0" t="n">
        <v>228609</v>
      </c>
      <c r="C808" s="0" t="n">
        <v>257275</v>
      </c>
      <c r="D808" s="0" t="s">
        <v>35</v>
      </c>
      <c r="E808" s="0" t="s">
        <v>35</v>
      </c>
      <c r="F808" s="0" t="s">
        <v>480</v>
      </c>
      <c r="G808" s="0" t="s">
        <v>37</v>
      </c>
      <c r="H808" s="0" t="s">
        <v>2925</v>
      </c>
      <c r="J808" s="0" t="s">
        <v>2925</v>
      </c>
      <c r="M808" s="0" t="s">
        <v>2926</v>
      </c>
      <c r="N808" s="1" t="s">
        <v>2927</v>
      </c>
      <c r="O808" s="0" t="s">
        <v>2928</v>
      </c>
      <c r="P808" s="0" t="n">
        <v>1940</v>
      </c>
      <c r="Q808" s="0" t="s">
        <v>39</v>
      </c>
      <c r="R808" s="0" t="s">
        <v>2929</v>
      </c>
      <c r="S808" s="0" t="s">
        <v>2930</v>
      </c>
      <c r="T808" s="0" t="s">
        <v>2940</v>
      </c>
      <c r="V808" s="0" t="n">
        <v>1</v>
      </c>
      <c r="W808" s="0" t="n">
        <v>1</v>
      </c>
      <c r="X808" s="0" t="str">
        <f aca="false">"31811012047422"</f>
        <v>31811012047422</v>
      </c>
      <c r="Y808" s="0" t="s">
        <v>39</v>
      </c>
      <c r="Z808" s="0" t="s">
        <v>42</v>
      </c>
      <c r="AA808" s="0" t="s">
        <v>622</v>
      </c>
      <c r="AE808" s="1" t="s">
        <v>52</v>
      </c>
      <c r="AF808" s="1" t="s">
        <v>2933</v>
      </c>
      <c r="AG808" s="0" t="n">
        <v>3184</v>
      </c>
    </row>
    <row r="809" customFormat="false" ht="12.8" hidden="false" customHeight="false" outlineLevel="0" collapsed="false">
      <c r="A809" s="0" t="n">
        <v>208372</v>
      </c>
      <c r="B809" s="0" t="n">
        <v>228609</v>
      </c>
      <c r="C809" s="0" t="n">
        <v>257276</v>
      </c>
      <c r="D809" s="0" t="s">
        <v>35</v>
      </c>
      <c r="E809" s="0" t="s">
        <v>35</v>
      </c>
      <c r="F809" s="0" t="s">
        <v>480</v>
      </c>
      <c r="G809" s="0" t="s">
        <v>37</v>
      </c>
      <c r="H809" s="0" t="s">
        <v>2925</v>
      </c>
      <c r="J809" s="0" t="s">
        <v>2925</v>
      </c>
      <c r="M809" s="0" t="s">
        <v>2926</v>
      </c>
      <c r="N809" s="1" t="s">
        <v>2927</v>
      </c>
      <c r="O809" s="0" t="s">
        <v>2928</v>
      </c>
      <c r="P809" s="0" t="n">
        <v>1940</v>
      </c>
      <c r="Q809" s="0" t="s">
        <v>39</v>
      </c>
      <c r="R809" s="0" t="s">
        <v>2929</v>
      </c>
      <c r="S809" s="0" t="s">
        <v>2930</v>
      </c>
      <c r="T809" s="0" t="s">
        <v>2941</v>
      </c>
      <c r="V809" s="0" t="n">
        <v>1</v>
      </c>
      <c r="W809" s="0" t="n">
        <v>1</v>
      </c>
      <c r="X809" s="0" t="str">
        <f aca="false">"31811012047414"</f>
        <v>31811012047414</v>
      </c>
      <c r="Y809" s="0" t="s">
        <v>39</v>
      </c>
      <c r="Z809" s="0" t="s">
        <v>42</v>
      </c>
      <c r="AA809" s="0" t="s">
        <v>622</v>
      </c>
      <c r="AE809" s="1" t="s">
        <v>52</v>
      </c>
      <c r="AF809" s="1" t="s">
        <v>2933</v>
      </c>
      <c r="AG809" s="0" t="n">
        <v>3184</v>
      </c>
    </row>
    <row r="810" customFormat="false" ht="12.8" hidden="false" customHeight="false" outlineLevel="0" collapsed="false">
      <c r="A810" s="0" t="n">
        <v>208372</v>
      </c>
      <c r="B810" s="0" t="n">
        <v>228609</v>
      </c>
      <c r="C810" s="0" t="n">
        <v>257277</v>
      </c>
      <c r="D810" s="0" t="s">
        <v>35</v>
      </c>
      <c r="E810" s="0" t="s">
        <v>35</v>
      </c>
      <c r="F810" s="0" t="s">
        <v>480</v>
      </c>
      <c r="G810" s="0" t="s">
        <v>37</v>
      </c>
      <c r="H810" s="0" t="s">
        <v>2925</v>
      </c>
      <c r="J810" s="0" t="s">
        <v>2925</v>
      </c>
      <c r="M810" s="0" t="s">
        <v>2926</v>
      </c>
      <c r="N810" s="1" t="s">
        <v>2927</v>
      </c>
      <c r="O810" s="0" t="s">
        <v>2928</v>
      </c>
      <c r="P810" s="0" t="n">
        <v>1940</v>
      </c>
      <c r="Q810" s="0" t="s">
        <v>39</v>
      </c>
      <c r="R810" s="0" t="s">
        <v>2929</v>
      </c>
      <c r="S810" s="0" t="s">
        <v>2930</v>
      </c>
      <c r="T810" s="0" t="s">
        <v>2942</v>
      </c>
      <c r="V810" s="0" t="n">
        <v>1</v>
      </c>
      <c r="W810" s="0" t="n">
        <v>1</v>
      </c>
      <c r="X810" s="0" t="str">
        <f aca="false">"31811012047125"</f>
        <v>31811012047125</v>
      </c>
      <c r="Y810" s="0" t="s">
        <v>39</v>
      </c>
      <c r="Z810" s="0" t="s">
        <v>42</v>
      </c>
      <c r="AA810" s="0" t="s">
        <v>622</v>
      </c>
      <c r="AE810" s="1" t="s">
        <v>52</v>
      </c>
      <c r="AF810" s="1" t="s">
        <v>2933</v>
      </c>
      <c r="AG810" s="0" t="n">
        <v>3184</v>
      </c>
    </row>
    <row r="811" customFormat="false" ht="12.8" hidden="false" customHeight="false" outlineLevel="0" collapsed="false">
      <c r="A811" s="0" t="n">
        <v>208372</v>
      </c>
      <c r="B811" s="0" t="n">
        <v>228609</v>
      </c>
      <c r="C811" s="0" t="n">
        <v>257278</v>
      </c>
      <c r="D811" s="0" t="s">
        <v>35</v>
      </c>
      <c r="E811" s="0" t="s">
        <v>35</v>
      </c>
      <c r="F811" s="0" t="s">
        <v>480</v>
      </c>
      <c r="G811" s="0" t="s">
        <v>37</v>
      </c>
      <c r="H811" s="0" t="s">
        <v>2925</v>
      </c>
      <c r="J811" s="0" t="s">
        <v>2925</v>
      </c>
      <c r="M811" s="0" t="s">
        <v>2926</v>
      </c>
      <c r="N811" s="1" t="s">
        <v>2927</v>
      </c>
      <c r="O811" s="0" t="s">
        <v>2928</v>
      </c>
      <c r="P811" s="0" t="n">
        <v>1940</v>
      </c>
      <c r="Q811" s="0" t="s">
        <v>39</v>
      </c>
      <c r="R811" s="0" t="s">
        <v>2929</v>
      </c>
      <c r="S811" s="0" t="s">
        <v>2930</v>
      </c>
      <c r="T811" s="0" t="s">
        <v>2943</v>
      </c>
      <c r="V811" s="0" t="n">
        <v>1</v>
      </c>
      <c r="W811" s="0" t="n">
        <v>1</v>
      </c>
      <c r="X811" s="0" t="str">
        <f aca="false">"31811012047117"</f>
        <v>31811012047117</v>
      </c>
      <c r="Y811" s="0" t="s">
        <v>39</v>
      </c>
      <c r="Z811" s="0" t="s">
        <v>42</v>
      </c>
      <c r="AA811" s="0" t="s">
        <v>622</v>
      </c>
      <c r="AE811" s="1" t="s">
        <v>52</v>
      </c>
      <c r="AF811" s="1" t="s">
        <v>2933</v>
      </c>
      <c r="AG811" s="0" t="n">
        <v>3184</v>
      </c>
    </row>
    <row r="812" customFormat="false" ht="12.8" hidden="false" customHeight="false" outlineLevel="0" collapsed="false">
      <c r="A812" s="0" t="n">
        <v>208372</v>
      </c>
      <c r="B812" s="0" t="n">
        <v>228609</v>
      </c>
      <c r="C812" s="0" t="n">
        <v>257279</v>
      </c>
      <c r="D812" s="0" t="s">
        <v>35</v>
      </c>
      <c r="E812" s="0" t="s">
        <v>35</v>
      </c>
      <c r="F812" s="0" t="s">
        <v>480</v>
      </c>
      <c r="G812" s="0" t="s">
        <v>37</v>
      </c>
      <c r="H812" s="0" t="s">
        <v>2925</v>
      </c>
      <c r="J812" s="0" t="s">
        <v>2925</v>
      </c>
      <c r="M812" s="0" t="s">
        <v>2926</v>
      </c>
      <c r="N812" s="1" t="s">
        <v>2927</v>
      </c>
      <c r="O812" s="0" t="s">
        <v>2928</v>
      </c>
      <c r="P812" s="0" t="n">
        <v>1940</v>
      </c>
      <c r="Q812" s="0" t="s">
        <v>39</v>
      </c>
      <c r="R812" s="0" t="s">
        <v>2929</v>
      </c>
      <c r="S812" s="0" t="s">
        <v>2930</v>
      </c>
      <c r="T812" s="0" t="s">
        <v>2944</v>
      </c>
      <c r="V812" s="0" t="n">
        <v>1</v>
      </c>
      <c r="W812" s="0" t="n">
        <v>1</v>
      </c>
      <c r="X812" s="0" t="str">
        <f aca="false">"31811012047109"</f>
        <v>31811012047109</v>
      </c>
      <c r="Y812" s="0" t="s">
        <v>39</v>
      </c>
      <c r="Z812" s="0" t="s">
        <v>42</v>
      </c>
      <c r="AA812" s="0" t="s">
        <v>622</v>
      </c>
      <c r="AE812" s="1" t="s">
        <v>52</v>
      </c>
      <c r="AF812" s="1" t="s">
        <v>2933</v>
      </c>
      <c r="AG812" s="0" t="n">
        <v>3184</v>
      </c>
    </row>
    <row r="813" customFormat="false" ht="12.8" hidden="false" customHeight="false" outlineLevel="0" collapsed="false">
      <c r="A813" s="0" t="n">
        <v>208372</v>
      </c>
      <c r="B813" s="0" t="n">
        <v>228609</v>
      </c>
      <c r="C813" s="0" t="n">
        <v>257280</v>
      </c>
      <c r="D813" s="0" t="s">
        <v>35</v>
      </c>
      <c r="E813" s="0" t="s">
        <v>35</v>
      </c>
      <c r="F813" s="0" t="s">
        <v>480</v>
      </c>
      <c r="G813" s="0" t="s">
        <v>37</v>
      </c>
      <c r="H813" s="0" t="s">
        <v>2925</v>
      </c>
      <c r="J813" s="0" t="s">
        <v>2925</v>
      </c>
      <c r="M813" s="0" t="s">
        <v>2926</v>
      </c>
      <c r="N813" s="1" t="s">
        <v>2927</v>
      </c>
      <c r="O813" s="0" t="s">
        <v>2928</v>
      </c>
      <c r="P813" s="0" t="n">
        <v>1940</v>
      </c>
      <c r="Q813" s="0" t="s">
        <v>39</v>
      </c>
      <c r="R813" s="0" t="s">
        <v>2929</v>
      </c>
      <c r="S813" s="0" t="s">
        <v>2930</v>
      </c>
      <c r="T813" s="0" t="s">
        <v>2945</v>
      </c>
      <c r="V813" s="0" t="n">
        <v>1</v>
      </c>
      <c r="W813" s="0" t="n">
        <v>1</v>
      </c>
      <c r="X813" s="0" t="str">
        <f aca="false">"31811012047091"</f>
        <v>31811012047091</v>
      </c>
      <c r="Y813" s="0" t="s">
        <v>39</v>
      </c>
      <c r="Z813" s="0" t="s">
        <v>42</v>
      </c>
      <c r="AA813" s="0" t="s">
        <v>622</v>
      </c>
      <c r="AE813" s="1" t="s">
        <v>52</v>
      </c>
      <c r="AF813" s="1" t="s">
        <v>2933</v>
      </c>
      <c r="AG813" s="0" t="n">
        <v>3184</v>
      </c>
    </row>
    <row r="814" customFormat="false" ht="12.8" hidden="false" customHeight="false" outlineLevel="0" collapsed="false">
      <c r="A814" s="0" t="n">
        <v>208372</v>
      </c>
      <c r="B814" s="0" t="n">
        <v>228609</v>
      </c>
      <c r="C814" s="0" t="n">
        <v>257281</v>
      </c>
      <c r="D814" s="0" t="s">
        <v>35</v>
      </c>
      <c r="E814" s="0" t="s">
        <v>35</v>
      </c>
      <c r="F814" s="0" t="s">
        <v>480</v>
      </c>
      <c r="G814" s="0" t="s">
        <v>37</v>
      </c>
      <c r="H814" s="0" t="s">
        <v>2925</v>
      </c>
      <c r="J814" s="0" t="s">
        <v>2925</v>
      </c>
      <c r="M814" s="0" t="s">
        <v>2926</v>
      </c>
      <c r="N814" s="1" t="s">
        <v>2927</v>
      </c>
      <c r="O814" s="0" t="s">
        <v>2928</v>
      </c>
      <c r="P814" s="0" t="n">
        <v>1940</v>
      </c>
      <c r="Q814" s="0" t="s">
        <v>39</v>
      </c>
      <c r="R814" s="0" t="s">
        <v>2929</v>
      </c>
      <c r="S814" s="0" t="s">
        <v>2930</v>
      </c>
      <c r="T814" s="0" t="s">
        <v>2946</v>
      </c>
      <c r="V814" s="0" t="n">
        <v>1</v>
      </c>
      <c r="W814" s="0" t="n">
        <v>1</v>
      </c>
      <c r="X814" s="0" t="str">
        <f aca="false">"31811012046804"</f>
        <v>31811012046804</v>
      </c>
      <c r="Y814" s="0" t="s">
        <v>39</v>
      </c>
      <c r="Z814" s="0" t="s">
        <v>42</v>
      </c>
      <c r="AA814" s="0" t="s">
        <v>622</v>
      </c>
      <c r="AE814" s="1" t="s">
        <v>52</v>
      </c>
      <c r="AF814" s="1" t="s">
        <v>2933</v>
      </c>
      <c r="AG814" s="0" t="n">
        <v>3184</v>
      </c>
    </row>
    <row r="815" customFormat="false" ht="12.8" hidden="false" customHeight="false" outlineLevel="0" collapsed="false">
      <c r="A815" s="0" t="n">
        <v>208372</v>
      </c>
      <c r="B815" s="0" t="n">
        <v>228609</v>
      </c>
      <c r="C815" s="0" t="n">
        <v>257282</v>
      </c>
      <c r="D815" s="0" t="s">
        <v>35</v>
      </c>
      <c r="E815" s="0" t="s">
        <v>35</v>
      </c>
      <c r="F815" s="0" t="s">
        <v>480</v>
      </c>
      <c r="G815" s="0" t="s">
        <v>37</v>
      </c>
      <c r="H815" s="0" t="s">
        <v>2925</v>
      </c>
      <c r="J815" s="0" t="s">
        <v>2925</v>
      </c>
      <c r="M815" s="0" t="s">
        <v>2926</v>
      </c>
      <c r="N815" s="1" t="s">
        <v>2927</v>
      </c>
      <c r="O815" s="0" t="s">
        <v>2928</v>
      </c>
      <c r="P815" s="0" t="n">
        <v>1940</v>
      </c>
      <c r="Q815" s="0" t="s">
        <v>39</v>
      </c>
      <c r="R815" s="0" t="s">
        <v>2929</v>
      </c>
      <c r="S815" s="0" t="s">
        <v>2930</v>
      </c>
      <c r="T815" s="0" t="s">
        <v>2947</v>
      </c>
      <c r="V815" s="0" t="n">
        <v>1</v>
      </c>
      <c r="W815" s="0" t="n">
        <v>1</v>
      </c>
      <c r="X815" s="0" t="str">
        <f aca="false">"31811012046796"</f>
        <v>31811012046796</v>
      </c>
      <c r="Y815" s="0" t="s">
        <v>39</v>
      </c>
      <c r="Z815" s="0" t="s">
        <v>42</v>
      </c>
      <c r="AA815" s="0" t="s">
        <v>622</v>
      </c>
      <c r="AE815" s="1" t="s">
        <v>52</v>
      </c>
      <c r="AF815" s="1" t="s">
        <v>2933</v>
      </c>
      <c r="AG815" s="0" t="n">
        <v>3184</v>
      </c>
    </row>
    <row r="816" customFormat="false" ht="12.8" hidden="false" customHeight="false" outlineLevel="0" collapsed="false">
      <c r="A816" s="0" t="n">
        <v>208372</v>
      </c>
      <c r="B816" s="0" t="n">
        <v>228609</v>
      </c>
      <c r="C816" s="0" t="n">
        <v>257283</v>
      </c>
      <c r="D816" s="0" t="s">
        <v>35</v>
      </c>
      <c r="E816" s="0" t="s">
        <v>35</v>
      </c>
      <c r="F816" s="0" t="s">
        <v>480</v>
      </c>
      <c r="G816" s="0" t="s">
        <v>37</v>
      </c>
      <c r="H816" s="0" t="s">
        <v>2925</v>
      </c>
      <c r="J816" s="0" t="s">
        <v>2925</v>
      </c>
      <c r="M816" s="0" t="s">
        <v>2926</v>
      </c>
      <c r="N816" s="1" t="s">
        <v>2927</v>
      </c>
      <c r="O816" s="0" t="s">
        <v>2928</v>
      </c>
      <c r="P816" s="0" t="n">
        <v>1940</v>
      </c>
      <c r="Q816" s="0" t="s">
        <v>39</v>
      </c>
      <c r="R816" s="0" t="s">
        <v>2929</v>
      </c>
      <c r="S816" s="0" t="s">
        <v>2930</v>
      </c>
      <c r="T816" s="0" t="s">
        <v>2948</v>
      </c>
      <c r="V816" s="0" t="n">
        <v>1</v>
      </c>
      <c r="W816" s="0" t="n">
        <v>1</v>
      </c>
      <c r="X816" s="0" t="str">
        <f aca="false">"31811012046788"</f>
        <v>31811012046788</v>
      </c>
      <c r="Y816" s="0" t="s">
        <v>39</v>
      </c>
      <c r="Z816" s="0" t="s">
        <v>42</v>
      </c>
      <c r="AA816" s="0" t="s">
        <v>622</v>
      </c>
      <c r="AE816" s="1" t="s">
        <v>52</v>
      </c>
      <c r="AF816" s="1" t="s">
        <v>2933</v>
      </c>
      <c r="AG816" s="0" t="n">
        <v>3184</v>
      </c>
    </row>
    <row r="817" customFormat="false" ht="12.8" hidden="false" customHeight="false" outlineLevel="0" collapsed="false">
      <c r="A817" s="0" t="n">
        <v>208372</v>
      </c>
      <c r="B817" s="0" t="n">
        <v>228609</v>
      </c>
      <c r="C817" s="0" t="n">
        <v>257284</v>
      </c>
      <c r="D817" s="0" t="s">
        <v>35</v>
      </c>
      <c r="E817" s="0" t="s">
        <v>35</v>
      </c>
      <c r="F817" s="0" t="s">
        <v>480</v>
      </c>
      <c r="G817" s="0" t="s">
        <v>37</v>
      </c>
      <c r="H817" s="0" t="s">
        <v>2925</v>
      </c>
      <c r="J817" s="0" t="s">
        <v>2925</v>
      </c>
      <c r="M817" s="0" t="s">
        <v>2926</v>
      </c>
      <c r="N817" s="1" t="s">
        <v>2927</v>
      </c>
      <c r="O817" s="0" t="s">
        <v>2928</v>
      </c>
      <c r="P817" s="0" t="n">
        <v>1940</v>
      </c>
      <c r="Q817" s="0" t="s">
        <v>39</v>
      </c>
      <c r="R817" s="0" t="s">
        <v>2929</v>
      </c>
      <c r="S817" s="0" t="s">
        <v>2930</v>
      </c>
      <c r="T817" s="0" t="s">
        <v>2949</v>
      </c>
      <c r="V817" s="0" t="n">
        <v>1</v>
      </c>
      <c r="W817" s="0" t="n">
        <v>1</v>
      </c>
      <c r="X817" s="0" t="str">
        <f aca="false">"31811012046770"</f>
        <v>31811012046770</v>
      </c>
      <c r="Y817" s="0" t="s">
        <v>39</v>
      </c>
      <c r="Z817" s="0" t="s">
        <v>42</v>
      </c>
      <c r="AA817" s="0" t="s">
        <v>622</v>
      </c>
      <c r="AE817" s="1" t="s">
        <v>52</v>
      </c>
      <c r="AF817" s="1" t="s">
        <v>2933</v>
      </c>
      <c r="AG817" s="0" t="n">
        <v>3184</v>
      </c>
    </row>
    <row r="818" customFormat="false" ht="12.8" hidden="false" customHeight="false" outlineLevel="0" collapsed="false">
      <c r="A818" s="0" t="n">
        <v>208372</v>
      </c>
      <c r="B818" s="0" t="n">
        <v>228609</v>
      </c>
      <c r="C818" s="0" t="n">
        <v>257285</v>
      </c>
      <c r="D818" s="0" t="s">
        <v>35</v>
      </c>
      <c r="E818" s="0" t="s">
        <v>35</v>
      </c>
      <c r="F818" s="0" t="s">
        <v>480</v>
      </c>
      <c r="G818" s="0" t="s">
        <v>37</v>
      </c>
      <c r="H818" s="0" t="s">
        <v>2925</v>
      </c>
      <c r="J818" s="0" t="s">
        <v>2925</v>
      </c>
      <c r="M818" s="0" t="s">
        <v>2926</v>
      </c>
      <c r="N818" s="1" t="s">
        <v>2927</v>
      </c>
      <c r="O818" s="0" t="s">
        <v>2928</v>
      </c>
      <c r="P818" s="0" t="n">
        <v>1940</v>
      </c>
      <c r="Q818" s="0" t="s">
        <v>39</v>
      </c>
      <c r="R818" s="0" t="s">
        <v>2929</v>
      </c>
      <c r="S818" s="0" t="s">
        <v>2930</v>
      </c>
      <c r="T818" s="0" t="s">
        <v>2950</v>
      </c>
      <c r="V818" s="0" t="n">
        <v>1</v>
      </c>
      <c r="W818" s="0" t="n">
        <v>1</v>
      </c>
      <c r="X818" s="0" t="str">
        <f aca="false">"31811012046481"</f>
        <v>31811012046481</v>
      </c>
      <c r="Y818" s="0" t="s">
        <v>39</v>
      </c>
      <c r="Z818" s="0" t="s">
        <v>42</v>
      </c>
      <c r="AA818" s="0" t="s">
        <v>622</v>
      </c>
      <c r="AE818" s="1" t="s">
        <v>52</v>
      </c>
      <c r="AF818" s="1" t="s">
        <v>2933</v>
      </c>
      <c r="AG818" s="0" t="n">
        <v>3184</v>
      </c>
    </row>
    <row r="819" customFormat="false" ht="12.8" hidden="false" customHeight="false" outlineLevel="0" collapsed="false">
      <c r="A819" s="0" t="n">
        <v>208372</v>
      </c>
      <c r="B819" s="0" t="n">
        <v>228609</v>
      </c>
      <c r="C819" s="0" t="n">
        <v>257286</v>
      </c>
      <c r="D819" s="0" t="s">
        <v>35</v>
      </c>
      <c r="E819" s="0" t="s">
        <v>35</v>
      </c>
      <c r="F819" s="0" t="s">
        <v>480</v>
      </c>
      <c r="G819" s="0" t="s">
        <v>37</v>
      </c>
      <c r="H819" s="0" t="s">
        <v>2925</v>
      </c>
      <c r="J819" s="0" t="s">
        <v>2925</v>
      </c>
      <c r="M819" s="0" t="s">
        <v>2926</v>
      </c>
      <c r="N819" s="1" t="s">
        <v>2927</v>
      </c>
      <c r="O819" s="0" t="s">
        <v>2928</v>
      </c>
      <c r="P819" s="0" t="n">
        <v>1940</v>
      </c>
      <c r="Q819" s="0" t="s">
        <v>39</v>
      </c>
      <c r="R819" s="0" t="s">
        <v>2929</v>
      </c>
      <c r="S819" s="0" t="s">
        <v>2930</v>
      </c>
      <c r="T819" s="0" t="s">
        <v>2951</v>
      </c>
      <c r="V819" s="0" t="n">
        <v>1</v>
      </c>
      <c r="W819" s="0" t="n">
        <v>1</v>
      </c>
      <c r="X819" s="0" t="str">
        <f aca="false">"31811012046473"</f>
        <v>31811012046473</v>
      </c>
      <c r="Y819" s="0" t="s">
        <v>39</v>
      </c>
      <c r="Z819" s="0" t="s">
        <v>42</v>
      </c>
      <c r="AA819" s="0" t="s">
        <v>622</v>
      </c>
      <c r="AE819" s="1" t="s">
        <v>52</v>
      </c>
      <c r="AF819" s="1" t="s">
        <v>2933</v>
      </c>
      <c r="AG819" s="0" t="n">
        <v>3184</v>
      </c>
    </row>
    <row r="820" customFormat="false" ht="12.8" hidden="false" customHeight="false" outlineLevel="0" collapsed="false">
      <c r="A820" s="0" t="n">
        <v>208372</v>
      </c>
      <c r="B820" s="0" t="n">
        <v>228609</v>
      </c>
      <c r="C820" s="0" t="n">
        <v>257287</v>
      </c>
      <c r="D820" s="0" t="s">
        <v>35</v>
      </c>
      <c r="E820" s="0" t="s">
        <v>35</v>
      </c>
      <c r="F820" s="0" t="s">
        <v>480</v>
      </c>
      <c r="G820" s="0" t="s">
        <v>37</v>
      </c>
      <c r="H820" s="0" t="s">
        <v>2925</v>
      </c>
      <c r="J820" s="0" t="s">
        <v>2925</v>
      </c>
      <c r="M820" s="0" t="s">
        <v>2926</v>
      </c>
      <c r="N820" s="1" t="s">
        <v>2927</v>
      </c>
      <c r="O820" s="0" t="s">
        <v>2928</v>
      </c>
      <c r="P820" s="0" t="n">
        <v>1940</v>
      </c>
      <c r="Q820" s="0" t="s">
        <v>39</v>
      </c>
      <c r="R820" s="0" t="s">
        <v>2929</v>
      </c>
      <c r="S820" s="0" t="s">
        <v>2930</v>
      </c>
      <c r="T820" s="0" t="s">
        <v>2952</v>
      </c>
      <c r="V820" s="0" t="n">
        <v>1</v>
      </c>
      <c r="W820" s="0" t="n">
        <v>1</v>
      </c>
      <c r="X820" s="0" t="str">
        <f aca="false">"31811012046465"</f>
        <v>31811012046465</v>
      </c>
      <c r="Y820" s="0" t="s">
        <v>39</v>
      </c>
      <c r="Z820" s="0" t="s">
        <v>42</v>
      </c>
      <c r="AA820" s="0" t="s">
        <v>622</v>
      </c>
      <c r="AE820" s="1" t="s">
        <v>52</v>
      </c>
      <c r="AF820" s="1" t="s">
        <v>2933</v>
      </c>
      <c r="AG820" s="0" t="n">
        <v>3184</v>
      </c>
    </row>
    <row r="821" customFormat="false" ht="12.8" hidden="false" customHeight="false" outlineLevel="0" collapsed="false">
      <c r="A821" s="0" t="n">
        <v>208372</v>
      </c>
      <c r="B821" s="0" t="n">
        <v>228609</v>
      </c>
      <c r="C821" s="0" t="n">
        <v>257288</v>
      </c>
      <c r="D821" s="0" t="s">
        <v>35</v>
      </c>
      <c r="E821" s="0" t="s">
        <v>35</v>
      </c>
      <c r="F821" s="0" t="s">
        <v>480</v>
      </c>
      <c r="G821" s="0" t="s">
        <v>37</v>
      </c>
      <c r="H821" s="0" t="s">
        <v>2925</v>
      </c>
      <c r="J821" s="0" t="s">
        <v>2925</v>
      </c>
      <c r="M821" s="0" t="s">
        <v>2926</v>
      </c>
      <c r="N821" s="1" t="s">
        <v>2927</v>
      </c>
      <c r="O821" s="0" t="s">
        <v>2928</v>
      </c>
      <c r="P821" s="0" t="n">
        <v>1940</v>
      </c>
      <c r="Q821" s="0" t="s">
        <v>39</v>
      </c>
      <c r="R821" s="0" t="s">
        <v>2929</v>
      </c>
      <c r="S821" s="0" t="s">
        <v>2930</v>
      </c>
      <c r="T821" s="0" t="s">
        <v>2953</v>
      </c>
      <c r="V821" s="0" t="n">
        <v>1</v>
      </c>
      <c r="W821" s="0" t="n">
        <v>1</v>
      </c>
      <c r="X821" s="0" t="str">
        <f aca="false">"31811012046457"</f>
        <v>31811012046457</v>
      </c>
      <c r="Y821" s="0" t="s">
        <v>39</v>
      </c>
      <c r="Z821" s="0" t="s">
        <v>42</v>
      </c>
      <c r="AA821" s="0" t="s">
        <v>622</v>
      </c>
      <c r="AE821" s="1" t="s">
        <v>52</v>
      </c>
      <c r="AF821" s="1" t="s">
        <v>2933</v>
      </c>
      <c r="AG821" s="0" t="n">
        <v>3184</v>
      </c>
    </row>
    <row r="822" customFormat="false" ht="12.8" hidden="false" customHeight="false" outlineLevel="0" collapsed="false">
      <c r="A822" s="0" t="n">
        <v>208372</v>
      </c>
      <c r="B822" s="0" t="n">
        <v>228609</v>
      </c>
      <c r="C822" s="0" t="n">
        <v>257289</v>
      </c>
      <c r="D822" s="0" t="s">
        <v>35</v>
      </c>
      <c r="E822" s="0" t="s">
        <v>35</v>
      </c>
      <c r="F822" s="0" t="s">
        <v>480</v>
      </c>
      <c r="G822" s="0" t="s">
        <v>37</v>
      </c>
      <c r="H822" s="0" t="s">
        <v>2925</v>
      </c>
      <c r="J822" s="0" t="s">
        <v>2925</v>
      </c>
      <c r="M822" s="0" t="s">
        <v>2926</v>
      </c>
      <c r="N822" s="1" t="s">
        <v>2927</v>
      </c>
      <c r="O822" s="0" t="s">
        <v>2928</v>
      </c>
      <c r="P822" s="0" t="n">
        <v>1940</v>
      </c>
      <c r="Q822" s="0" t="s">
        <v>39</v>
      </c>
      <c r="R822" s="0" t="s">
        <v>2929</v>
      </c>
      <c r="S822" s="0" t="s">
        <v>2930</v>
      </c>
      <c r="T822" s="0" t="s">
        <v>2954</v>
      </c>
      <c r="V822" s="0" t="n">
        <v>1</v>
      </c>
      <c r="W822" s="0" t="n">
        <v>1</v>
      </c>
      <c r="X822" s="0" t="str">
        <f aca="false">"31811012047489"</f>
        <v>31811012047489</v>
      </c>
      <c r="Y822" s="0" t="s">
        <v>39</v>
      </c>
      <c r="Z822" s="0" t="s">
        <v>42</v>
      </c>
      <c r="AA822" s="0" t="s">
        <v>622</v>
      </c>
      <c r="AE822" s="1" t="s">
        <v>52</v>
      </c>
      <c r="AF822" s="1" t="s">
        <v>2933</v>
      </c>
      <c r="AG822" s="0" t="n">
        <v>3184</v>
      </c>
      <c r="AH822" s="1" t="s">
        <v>1996</v>
      </c>
    </row>
    <row r="823" customFormat="false" ht="12.8" hidden="false" customHeight="false" outlineLevel="0" collapsed="false">
      <c r="A823" s="0" t="n">
        <v>208372</v>
      </c>
      <c r="B823" s="0" t="n">
        <v>228609</v>
      </c>
      <c r="C823" s="0" t="n">
        <v>257290</v>
      </c>
      <c r="D823" s="0" t="s">
        <v>35</v>
      </c>
      <c r="E823" s="0" t="s">
        <v>35</v>
      </c>
      <c r="F823" s="0" t="s">
        <v>480</v>
      </c>
      <c r="G823" s="0" t="s">
        <v>37</v>
      </c>
      <c r="H823" s="0" t="s">
        <v>2925</v>
      </c>
      <c r="J823" s="0" t="s">
        <v>2925</v>
      </c>
      <c r="M823" s="0" t="s">
        <v>2926</v>
      </c>
      <c r="N823" s="1" t="s">
        <v>2927</v>
      </c>
      <c r="O823" s="0" t="s">
        <v>2928</v>
      </c>
      <c r="P823" s="0" t="n">
        <v>1940</v>
      </c>
      <c r="Q823" s="0" t="s">
        <v>39</v>
      </c>
      <c r="R823" s="0" t="s">
        <v>2929</v>
      </c>
      <c r="S823" s="0" t="s">
        <v>2930</v>
      </c>
      <c r="T823" s="0" t="s">
        <v>2955</v>
      </c>
      <c r="V823" s="0" t="n">
        <v>1</v>
      </c>
      <c r="W823" s="0" t="n">
        <v>1</v>
      </c>
      <c r="X823" s="0" t="str">
        <f aca="false">"31811012047802"</f>
        <v>31811012047802</v>
      </c>
      <c r="Y823" s="0" t="s">
        <v>39</v>
      </c>
      <c r="Z823" s="0" t="s">
        <v>42</v>
      </c>
      <c r="AA823" s="0" t="s">
        <v>622</v>
      </c>
      <c r="AE823" s="1" t="s">
        <v>52</v>
      </c>
      <c r="AF823" s="1" t="s">
        <v>2933</v>
      </c>
      <c r="AG823" s="0" t="n">
        <v>3184</v>
      </c>
    </row>
    <row r="824" customFormat="false" ht="12.8" hidden="false" customHeight="false" outlineLevel="0" collapsed="false">
      <c r="A824" s="0" t="n">
        <v>208372</v>
      </c>
      <c r="B824" s="0" t="n">
        <v>228609</v>
      </c>
      <c r="C824" s="0" t="n">
        <v>257291</v>
      </c>
      <c r="D824" s="0" t="s">
        <v>35</v>
      </c>
      <c r="E824" s="0" t="s">
        <v>35</v>
      </c>
      <c r="F824" s="0" t="s">
        <v>480</v>
      </c>
      <c r="G824" s="0" t="s">
        <v>37</v>
      </c>
      <c r="H824" s="0" t="s">
        <v>2925</v>
      </c>
      <c r="J824" s="0" t="s">
        <v>2925</v>
      </c>
      <c r="M824" s="0" t="s">
        <v>2926</v>
      </c>
      <c r="N824" s="1" t="s">
        <v>2927</v>
      </c>
      <c r="O824" s="0" t="s">
        <v>2928</v>
      </c>
      <c r="P824" s="0" t="n">
        <v>1940</v>
      </c>
      <c r="Q824" s="0" t="s">
        <v>39</v>
      </c>
      <c r="R824" s="0" t="s">
        <v>2929</v>
      </c>
      <c r="S824" s="0" t="s">
        <v>2930</v>
      </c>
      <c r="T824" s="0" t="s">
        <v>2956</v>
      </c>
      <c r="V824" s="0" t="n">
        <v>1</v>
      </c>
      <c r="W824" s="0" t="n">
        <v>1</v>
      </c>
      <c r="X824" s="0" t="str">
        <f aca="false">"31811012047794"</f>
        <v>31811012047794</v>
      </c>
      <c r="Y824" s="0" t="s">
        <v>39</v>
      </c>
      <c r="Z824" s="0" t="s">
        <v>42</v>
      </c>
      <c r="AA824" s="0" t="s">
        <v>622</v>
      </c>
      <c r="AE824" s="1" t="s">
        <v>52</v>
      </c>
      <c r="AF824" s="1" t="s">
        <v>2933</v>
      </c>
      <c r="AG824" s="0" t="n">
        <v>3184</v>
      </c>
    </row>
    <row r="825" customFormat="false" ht="12.8" hidden="false" customHeight="false" outlineLevel="0" collapsed="false">
      <c r="A825" s="0" t="n">
        <v>208372</v>
      </c>
      <c r="B825" s="0" t="n">
        <v>228609</v>
      </c>
      <c r="C825" s="0" t="n">
        <v>257292</v>
      </c>
      <c r="D825" s="0" t="s">
        <v>35</v>
      </c>
      <c r="E825" s="0" t="s">
        <v>35</v>
      </c>
      <c r="F825" s="0" t="s">
        <v>480</v>
      </c>
      <c r="G825" s="0" t="s">
        <v>37</v>
      </c>
      <c r="H825" s="0" t="s">
        <v>2925</v>
      </c>
      <c r="J825" s="0" t="s">
        <v>2925</v>
      </c>
      <c r="M825" s="0" t="s">
        <v>2926</v>
      </c>
      <c r="N825" s="1" t="s">
        <v>2927</v>
      </c>
      <c r="O825" s="0" t="s">
        <v>2928</v>
      </c>
      <c r="P825" s="0" t="n">
        <v>1940</v>
      </c>
      <c r="Q825" s="0" t="s">
        <v>39</v>
      </c>
      <c r="R825" s="0" t="s">
        <v>2929</v>
      </c>
      <c r="S825" s="0" t="s">
        <v>2930</v>
      </c>
      <c r="T825" s="0" t="s">
        <v>2957</v>
      </c>
      <c r="V825" s="0" t="n">
        <v>1</v>
      </c>
      <c r="W825" s="0" t="n">
        <v>1</v>
      </c>
      <c r="X825" s="0" t="str">
        <f aca="false">"31811012047786"</f>
        <v>31811012047786</v>
      </c>
      <c r="Y825" s="0" t="s">
        <v>39</v>
      </c>
      <c r="Z825" s="0" t="s">
        <v>42</v>
      </c>
      <c r="AA825" s="0" t="s">
        <v>622</v>
      </c>
      <c r="AE825" s="1" t="s">
        <v>52</v>
      </c>
      <c r="AF825" s="1" t="s">
        <v>2933</v>
      </c>
      <c r="AG825" s="0" t="n">
        <v>3184</v>
      </c>
    </row>
    <row r="826" customFormat="false" ht="12.8" hidden="false" customHeight="false" outlineLevel="0" collapsed="false">
      <c r="A826" s="0" t="n">
        <v>208372</v>
      </c>
      <c r="B826" s="0" t="n">
        <v>228609</v>
      </c>
      <c r="C826" s="0" t="n">
        <v>257293</v>
      </c>
      <c r="D826" s="0" t="s">
        <v>35</v>
      </c>
      <c r="E826" s="0" t="s">
        <v>35</v>
      </c>
      <c r="F826" s="0" t="s">
        <v>480</v>
      </c>
      <c r="G826" s="0" t="s">
        <v>37</v>
      </c>
      <c r="H826" s="0" t="s">
        <v>2925</v>
      </c>
      <c r="J826" s="0" t="s">
        <v>2925</v>
      </c>
      <c r="M826" s="0" t="s">
        <v>2926</v>
      </c>
      <c r="N826" s="1" t="s">
        <v>2927</v>
      </c>
      <c r="O826" s="0" t="s">
        <v>2928</v>
      </c>
      <c r="P826" s="0" t="n">
        <v>1940</v>
      </c>
      <c r="Q826" s="0" t="s">
        <v>39</v>
      </c>
      <c r="R826" s="0" t="s">
        <v>2929</v>
      </c>
      <c r="S826" s="0" t="s">
        <v>2930</v>
      </c>
      <c r="T826" s="0" t="s">
        <v>2958</v>
      </c>
      <c r="V826" s="0" t="n">
        <v>1</v>
      </c>
      <c r="W826" s="0" t="n">
        <v>1</v>
      </c>
      <c r="X826" s="0" t="str">
        <f aca="false">"31811012047778"</f>
        <v>31811012047778</v>
      </c>
      <c r="Y826" s="0" t="s">
        <v>39</v>
      </c>
      <c r="Z826" s="0" t="s">
        <v>42</v>
      </c>
      <c r="AA826" s="0" t="s">
        <v>622</v>
      </c>
      <c r="AE826" s="1" t="s">
        <v>52</v>
      </c>
      <c r="AF826" s="1" t="s">
        <v>2933</v>
      </c>
      <c r="AG826" s="0" t="n">
        <v>3184</v>
      </c>
    </row>
    <row r="827" customFormat="false" ht="12.8" hidden="false" customHeight="false" outlineLevel="0" collapsed="false">
      <c r="A827" s="0" t="n">
        <v>208372</v>
      </c>
      <c r="B827" s="0" t="n">
        <v>228609</v>
      </c>
      <c r="C827" s="0" t="n">
        <v>257294</v>
      </c>
      <c r="D827" s="0" t="s">
        <v>35</v>
      </c>
      <c r="E827" s="0" t="s">
        <v>35</v>
      </c>
      <c r="F827" s="0" t="s">
        <v>480</v>
      </c>
      <c r="G827" s="0" t="s">
        <v>37</v>
      </c>
      <c r="H827" s="0" t="s">
        <v>2925</v>
      </c>
      <c r="J827" s="0" t="s">
        <v>2925</v>
      </c>
      <c r="M827" s="0" t="s">
        <v>2926</v>
      </c>
      <c r="N827" s="1" t="s">
        <v>2927</v>
      </c>
      <c r="O827" s="0" t="s">
        <v>2928</v>
      </c>
      <c r="P827" s="0" t="n">
        <v>1940</v>
      </c>
      <c r="Q827" s="0" t="s">
        <v>39</v>
      </c>
      <c r="R827" s="0" t="s">
        <v>2929</v>
      </c>
      <c r="S827" s="0" t="s">
        <v>2930</v>
      </c>
      <c r="T827" s="0" t="s">
        <v>2959</v>
      </c>
      <c r="V827" s="0" t="n">
        <v>1</v>
      </c>
      <c r="W827" s="0" t="n">
        <v>1</v>
      </c>
      <c r="X827" s="0" t="str">
        <f aca="false">"31811012047166"</f>
        <v>31811012047166</v>
      </c>
      <c r="Y827" s="0" t="s">
        <v>39</v>
      </c>
      <c r="Z827" s="0" t="s">
        <v>42</v>
      </c>
      <c r="AA827" s="0" t="s">
        <v>622</v>
      </c>
      <c r="AE827" s="1" t="s">
        <v>52</v>
      </c>
      <c r="AF827" s="1" t="s">
        <v>2933</v>
      </c>
      <c r="AG827" s="0" t="n">
        <v>3184</v>
      </c>
    </row>
    <row r="828" customFormat="false" ht="12.8" hidden="false" customHeight="false" outlineLevel="0" collapsed="false">
      <c r="A828" s="0" t="n">
        <v>208372</v>
      </c>
      <c r="B828" s="0" t="n">
        <v>228609</v>
      </c>
      <c r="C828" s="0" t="n">
        <v>257295</v>
      </c>
      <c r="D828" s="0" t="s">
        <v>35</v>
      </c>
      <c r="E828" s="0" t="s">
        <v>35</v>
      </c>
      <c r="F828" s="0" t="s">
        <v>480</v>
      </c>
      <c r="G828" s="0" t="s">
        <v>37</v>
      </c>
      <c r="H828" s="0" t="s">
        <v>2925</v>
      </c>
      <c r="J828" s="0" t="s">
        <v>2925</v>
      </c>
      <c r="M828" s="0" t="s">
        <v>2926</v>
      </c>
      <c r="N828" s="1" t="s">
        <v>2927</v>
      </c>
      <c r="O828" s="0" t="s">
        <v>2928</v>
      </c>
      <c r="P828" s="0" t="n">
        <v>1940</v>
      </c>
      <c r="Q828" s="0" t="s">
        <v>39</v>
      </c>
      <c r="R828" s="0" t="s">
        <v>2929</v>
      </c>
      <c r="S828" s="0" t="s">
        <v>2930</v>
      </c>
      <c r="T828" s="0" t="s">
        <v>2960</v>
      </c>
      <c r="V828" s="0" t="n">
        <v>1</v>
      </c>
      <c r="W828" s="0" t="n">
        <v>1</v>
      </c>
      <c r="X828" s="0" t="str">
        <f aca="false">"31811012047158"</f>
        <v>31811012047158</v>
      </c>
      <c r="Y828" s="0" t="s">
        <v>39</v>
      </c>
      <c r="Z828" s="0" t="s">
        <v>42</v>
      </c>
      <c r="AA828" s="0" t="s">
        <v>622</v>
      </c>
      <c r="AE828" s="1" t="s">
        <v>52</v>
      </c>
      <c r="AF828" s="1" t="s">
        <v>2933</v>
      </c>
      <c r="AG828" s="0" t="n">
        <v>3184</v>
      </c>
    </row>
    <row r="829" customFormat="false" ht="12.8" hidden="false" customHeight="false" outlineLevel="0" collapsed="false">
      <c r="A829" s="0" t="n">
        <v>208372</v>
      </c>
      <c r="B829" s="0" t="n">
        <v>228609</v>
      </c>
      <c r="C829" s="0" t="n">
        <v>257296</v>
      </c>
      <c r="D829" s="0" t="s">
        <v>35</v>
      </c>
      <c r="E829" s="0" t="s">
        <v>35</v>
      </c>
      <c r="F829" s="0" t="s">
        <v>480</v>
      </c>
      <c r="G829" s="0" t="s">
        <v>37</v>
      </c>
      <c r="H829" s="0" t="s">
        <v>2925</v>
      </c>
      <c r="J829" s="0" t="s">
        <v>2925</v>
      </c>
      <c r="M829" s="0" t="s">
        <v>2926</v>
      </c>
      <c r="N829" s="1" t="s">
        <v>2927</v>
      </c>
      <c r="O829" s="0" t="s">
        <v>2928</v>
      </c>
      <c r="P829" s="0" t="n">
        <v>1940</v>
      </c>
      <c r="Q829" s="0" t="s">
        <v>39</v>
      </c>
      <c r="R829" s="0" t="s">
        <v>2929</v>
      </c>
      <c r="S829" s="0" t="s">
        <v>2930</v>
      </c>
      <c r="T829" s="0" t="s">
        <v>2961</v>
      </c>
      <c r="V829" s="0" t="n">
        <v>1</v>
      </c>
      <c r="W829" s="0" t="n">
        <v>1</v>
      </c>
      <c r="X829" s="0" t="str">
        <f aca="false">"31811012047141"</f>
        <v>31811012047141</v>
      </c>
      <c r="Y829" s="0" t="s">
        <v>39</v>
      </c>
      <c r="Z829" s="0" t="s">
        <v>42</v>
      </c>
      <c r="AA829" s="0" t="s">
        <v>622</v>
      </c>
      <c r="AE829" s="1" t="s">
        <v>52</v>
      </c>
      <c r="AF829" s="1" t="s">
        <v>2933</v>
      </c>
      <c r="AG829" s="0" t="n">
        <v>3184</v>
      </c>
    </row>
    <row r="830" customFormat="false" ht="12.8" hidden="false" customHeight="false" outlineLevel="0" collapsed="false">
      <c r="A830" s="0" t="n">
        <v>208372</v>
      </c>
      <c r="B830" s="0" t="n">
        <v>228609</v>
      </c>
      <c r="C830" s="0" t="n">
        <v>257297</v>
      </c>
      <c r="D830" s="0" t="s">
        <v>35</v>
      </c>
      <c r="E830" s="0" t="s">
        <v>35</v>
      </c>
      <c r="F830" s="0" t="s">
        <v>480</v>
      </c>
      <c r="G830" s="0" t="s">
        <v>37</v>
      </c>
      <c r="H830" s="0" t="s">
        <v>2925</v>
      </c>
      <c r="J830" s="0" t="s">
        <v>2925</v>
      </c>
      <c r="M830" s="0" t="s">
        <v>2926</v>
      </c>
      <c r="N830" s="1" t="s">
        <v>2927</v>
      </c>
      <c r="O830" s="0" t="s">
        <v>2928</v>
      </c>
      <c r="P830" s="0" t="n">
        <v>1940</v>
      </c>
      <c r="Q830" s="0" t="s">
        <v>39</v>
      </c>
      <c r="R830" s="0" t="s">
        <v>2929</v>
      </c>
      <c r="S830" s="0" t="s">
        <v>2930</v>
      </c>
      <c r="T830" s="0" t="s">
        <v>2962</v>
      </c>
      <c r="V830" s="0" t="n">
        <v>1</v>
      </c>
      <c r="W830" s="0" t="n">
        <v>1</v>
      </c>
      <c r="X830" s="0" t="str">
        <f aca="false">"31811012047133"</f>
        <v>31811012047133</v>
      </c>
      <c r="Y830" s="0" t="s">
        <v>39</v>
      </c>
      <c r="Z830" s="0" t="s">
        <v>42</v>
      </c>
      <c r="AA830" s="0" t="s">
        <v>622</v>
      </c>
      <c r="AE830" s="1" t="s">
        <v>52</v>
      </c>
      <c r="AF830" s="1" t="s">
        <v>2933</v>
      </c>
      <c r="AG830" s="0" t="n">
        <v>3184</v>
      </c>
    </row>
    <row r="831" customFormat="false" ht="12.8" hidden="false" customHeight="false" outlineLevel="0" collapsed="false">
      <c r="A831" s="0" t="n">
        <v>208372</v>
      </c>
      <c r="B831" s="0" t="n">
        <v>228609</v>
      </c>
      <c r="C831" s="0" t="n">
        <v>257298</v>
      </c>
      <c r="D831" s="0" t="s">
        <v>35</v>
      </c>
      <c r="E831" s="0" t="s">
        <v>35</v>
      </c>
      <c r="F831" s="0" t="s">
        <v>480</v>
      </c>
      <c r="G831" s="0" t="s">
        <v>37</v>
      </c>
      <c r="H831" s="0" t="s">
        <v>2925</v>
      </c>
      <c r="J831" s="0" t="s">
        <v>2925</v>
      </c>
      <c r="M831" s="0" t="s">
        <v>2926</v>
      </c>
      <c r="N831" s="1" t="s">
        <v>2927</v>
      </c>
      <c r="O831" s="0" t="s">
        <v>2928</v>
      </c>
      <c r="P831" s="0" t="n">
        <v>1940</v>
      </c>
      <c r="Q831" s="0" t="s">
        <v>39</v>
      </c>
      <c r="R831" s="0" t="s">
        <v>2929</v>
      </c>
      <c r="S831" s="0" t="s">
        <v>2930</v>
      </c>
      <c r="T831" s="0" t="s">
        <v>2963</v>
      </c>
      <c r="V831" s="0" t="n">
        <v>1</v>
      </c>
      <c r="W831" s="0" t="n">
        <v>1</v>
      </c>
      <c r="X831" s="0" t="str">
        <f aca="false">"31811012047471"</f>
        <v>31811012047471</v>
      </c>
      <c r="Y831" s="0" t="s">
        <v>39</v>
      </c>
      <c r="Z831" s="0" t="s">
        <v>42</v>
      </c>
      <c r="AA831" s="0" t="s">
        <v>622</v>
      </c>
      <c r="AE831" s="1" t="s">
        <v>52</v>
      </c>
      <c r="AF831" s="1" t="s">
        <v>2933</v>
      </c>
      <c r="AG831" s="0" t="n">
        <v>3184</v>
      </c>
    </row>
    <row r="832" customFormat="false" ht="12.8" hidden="false" customHeight="false" outlineLevel="0" collapsed="false">
      <c r="A832" s="0" t="n">
        <v>208372</v>
      </c>
      <c r="B832" s="0" t="n">
        <v>228609</v>
      </c>
      <c r="C832" s="0" t="n">
        <v>257299</v>
      </c>
      <c r="D832" s="0" t="s">
        <v>35</v>
      </c>
      <c r="E832" s="0" t="s">
        <v>35</v>
      </c>
      <c r="F832" s="0" t="s">
        <v>480</v>
      </c>
      <c r="G832" s="0" t="s">
        <v>37</v>
      </c>
      <c r="H832" s="0" t="s">
        <v>2925</v>
      </c>
      <c r="J832" s="0" t="s">
        <v>2925</v>
      </c>
      <c r="M832" s="0" t="s">
        <v>2926</v>
      </c>
      <c r="N832" s="1" t="s">
        <v>2927</v>
      </c>
      <c r="O832" s="0" t="s">
        <v>2928</v>
      </c>
      <c r="P832" s="0" t="n">
        <v>1940</v>
      </c>
      <c r="Q832" s="0" t="s">
        <v>39</v>
      </c>
      <c r="R832" s="0" t="s">
        <v>2929</v>
      </c>
      <c r="S832" s="0" t="s">
        <v>2930</v>
      </c>
      <c r="T832" s="0" t="s">
        <v>2964</v>
      </c>
      <c r="V832" s="0" t="n">
        <v>1</v>
      </c>
      <c r="W832" s="0" t="n">
        <v>1</v>
      </c>
      <c r="X832" s="0" t="str">
        <f aca="false">"31811012047463"</f>
        <v>31811012047463</v>
      </c>
      <c r="Y832" s="0" t="s">
        <v>39</v>
      </c>
      <c r="Z832" s="0" t="s">
        <v>42</v>
      </c>
      <c r="AA832" s="0" t="s">
        <v>622</v>
      </c>
      <c r="AE832" s="1" t="s">
        <v>52</v>
      </c>
      <c r="AF832" s="1" t="s">
        <v>2933</v>
      </c>
      <c r="AG832" s="0" t="n">
        <v>3184</v>
      </c>
    </row>
    <row r="833" customFormat="false" ht="12.8" hidden="false" customHeight="false" outlineLevel="0" collapsed="false">
      <c r="A833" s="0" t="n">
        <v>208372</v>
      </c>
      <c r="B833" s="0" t="n">
        <v>228609</v>
      </c>
      <c r="C833" s="0" t="n">
        <v>257300</v>
      </c>
      <c r="D833" s="0" t="s">
        <v>35</v>
      </c>
      <c r="E833" s="0" t="s">
        <v>35</v>
      </c>
      <c r="F833" s="0" t="s">
        <v>480</v>
      </c>
      <c r="G833" s="0" t="s">
        <v>37</v>
      </c>
      <c r="H833" s="0" t="s">
        <v>2925</v>
      </c>
      <c r="J833" s="0" t="s">
        <v>2925</v>
      </c>
      <c r="M833" s="0" t="s">
        <v>2926</v>
      </c>
      <c r="N833" s="1" t="s">
        <v>2927</v>
      </c>
      <c r="O833" s="0" t="s">
        <v>2928</v>
      </c>
      <c r="P833" s="0" t="n">
        <v>1940</v>
      </c>
      <c r="Q833" s="0" t="s">
        <v>39</v>
      </c>
      <c r="R833" s="0" t="s">
        <v>2929</v>
      </c>
      <c r="S833" s="0" t="s">
        <v>2930</v>
      </c>
      <c r="T833" s="0" t="s">
        <v>2965</v>
      </c>
      <c r="V833" s="0" t="n">
        <v>1</v>
      </c>
      <c r="W833" s="0" t="n">
        <v>1</v>
      </c>
      <c r="X833" s="0" t="str">
        <f aca="false">"31811012047455"</f>
        <v>31811012047455</v>
      </c>
      <c r="Y833" s="0" t="s">
        <v>39</v>
      </c>
      <c r="Z833" s="0" t="s">
        <v>42</v>
      </c>
      <c r="AA833" s="0" t="s">
        <v>622</v>
      </c>
      <c r="AE833" s="1" t="s">
        <v>52</v>
      </c>
      <c r="AF833" s="1" t="s">
        <v>2933</v>
      </c>
      <c r="AG833" s="0" t="n">
        <v>3184</v>
      </c>
    </row>
    <row r="834" customFormat="false" ht="12.8" hidden="false" customHeight="false" outlineLevel="0" collapsed="false">
      <c r="A834" s="0" t="n">
        <v>208372</v>
      </c>
      <c r="B834" s="0" t="n">
        <v>228609</v>
      </c>
      <c r="C834" s="0" t="n">
        <v>257301</v>
      </c>
      <c r="D834" s="0" t="s">
        <v>35</v>
      </c>
      <c r="E834" s="0" t="s">
        <v>35</v>
      </c>
      <c r="F834" s="0" t="s">
        <v>480</v>
      </c>
      <c r="G834" s="0" t="s">
        <v>37</v>
      </c>
      <c r="H834" s="0" t="s">
        <v>2925</v>
      </c>
      <c r="J834" s="0" t="s">
        <v>2925</v>
      </c>
      <c r="M834" s="0" t="s">
        <v>2926</v>
      </c>
      <c r="N834" s="1" t="s">
        <v>2927</v>
      </c>
      <c r="O834" s="0" t="s">
        <v>2928</v>
      </c>
      <c r="P834" s="0" t="n">
        <v>1940</v>
      </c>
      <c r="Q834" s="0" t="s">
        <v>39</v>
      </c>
      <c r="R834" s="0" t="s">
        <v>2929</v>
      </c>
      <c r="S834" s="0" t="s">
        <v>2930</v>
      </c>
      <c r="T834" s="0" t="s">
        <v>2966</v>
      </c>
      <c r="V834" s="0" t="n">
        <v>1</v>
      </c>
      <c r="W834" s="0" t="n">
        <v>1</v>
      </c>
      <c r="X834" s="0" t="str">
        <f aca="false">"31811012046846"</f>
        <v>31811012046846</v>
      </c>
      <c r="Y834" s="0" t="s">
        <v>39</v>
      </c>
      <c r="Z834" s="0" t="s">
        <v>42</v>
      </c>
      <c r="AA834" s="0" t="s">
        <v>622</v>
      </c>
      <c r="AE834" s="1" t="s">
        <v>52</v>
      </c>
      <c r="AF834" s="1" t="s">
        <v>2933</v>
      </c>
      <c r="AG834" s="0" t="n">
        <v>3184</v>
      </c>
    </row>
    <row r="835" customFormat="false" ht="12.8" hidden="false" customHeight="false" outlineLevel="0" collapsed="false">
      <c r="A835" s="0" t="n">
        <v>208372</v>
      </c>
      <c r="B835" s="0" t="n">
        <v>228609</v>
      </c>
      <c r="C835" s="0" t="n">
        <v>257302</v>
      </c>
      <c r="D835" s="0" t="s">
        <v>35</v>
      </c>
      <c r="E835" s="0" t="s">
        <v>35</v>
      </c>
      <c r="F835" s="0" t="s">
        <v>480</v>
      </c>
      <c r="G835" s="0" t="s">
        <v>37</v>
      </c>
      <c r="H835" s="0" t="s">
        <v>2925</v>
      </c>
      <c r="J835" s="0" t="s">
        <v>2925</v>
      </c>
      <c r="M835" s="0" t="s">
        <v>2926</v>
      </c>
      <c r="N835" s="1" t="s">
        <v>2927</v>
      </c>
      <c r="O835" s="0" t="s">
        <v>2928</v>
      </c>
      <c r="P835" s="0" t="n">
        <v>1940</v>
      </c>
      <c r="Q835" s="0" t="s">
        <v>39</v>
      </c>
      <c r="R835" s="0" t="s">
        <v>2929</v>
      </c>
      <c r="S835" s="0" t="s">
        <v>2930</v>
      </c>
      <c r="T835" s="0" t="s">
        <v>2967</v>
      </c>
      <c r="V835" s="0" t="n">
        <v>1</v>
      </c>
      <c r="W835" s="0" t="n">
        <v>1</v>
      </c>
      <c r="X835" s="0" t="str">
        <f aca="false">"31811012046838"</f>
        <v>31811012046838</v>
      </c>
      <c r="Y835" s="0" t="s">
        <v>39</v>
      </c>
      <c r="Z835" s="0" t="s">
        <v>42</v>
      </c>
      <c r="AA835" s="0" t="s">
        <v>622</v>
      </c>
      <c r="AE835" s="1" t="s">
        <v>52</v>
      </c>
      <c r="AF835" s="1" t="s">
        <v>2933</v>
      </c>
      <c r="AG835" s="0" t="n">
        <v>3184</v>
      </c>
    </row>
    <row r="836" customFormat="false" ht="12.8" hidden="false" customHeight="false" outlineLevel="0" collapsed="false">
      <c r="A836" s="0" t="n">
        <v>208372</v>
      </c>
      <c r="B836" s="0" t="n">
        <v>228609</v>
      </c>
      <c r="C836" s="0" t="n">
        <v>257303</v>
      </c>
      <c r="D836" s="0" t="s">
        <v>35</v>
      </c>
      <c r="E836" s="0" t="s">
        <v>35</v>
      </c>
      <c r="F836" s="0" t="s">
        <v>480</v>
      </c>
      <c r="G836" s="0" t="s">
        <v>37</v>
      </c>
      <c r="H836" s="0" t="s">
        <v>2925</v>
      </c>
      <c r="J836" s="0" t="s">
        <v>2925</v>
      </c>
      <c r="M836" s="0" t="s">
        <v>2926</v>
      </c>
      <c r="N836" s="1" t="s">
        <v>2927</v>
      </c>
      <c r="O836" s="0" t="s">
        <v>2928</v>
      </c>
      <c r="P836" s="0" t="n">
        <v>1940</v>
      </c>
      <c r="Q836" s="0" t="s">
        <v>39</v>
      </c>
      <c r="R836" s="0" t="s">
        <v>2929</v>
      </c>
      <c r="S836" s="0" t="s">
        <v>2930</v>
      </c>
      <c r="T836" s="0" t="s">
        <v>2968</v>
      </c>
      <c r="V836" s="0" t="n">
        <v>1</v>
      </c>
      <c r="W836" s="0" t="n">
        <v>1</v>
      </c>
      <c r="X836" s="0" t="str">
        <f aca="false">"31811012046820"</f>
        <v>31811012046820</v>
      </c>
      <c r="Y836" s="0" t="s">
        <v>39</v>
      </c>
      <c r="Z836" s="0" t="s">
        <v>42</v>
      </c>
      <c r="AA836" s="0" t="s">
        <v>622</v>
      </c>
      <c r="AE836" s="1" t="s">
        <v>52</v>
      </c>
      <c r="AF836" s="1" t="s">
        <v>2933</v>
      </c>
      <c r="AG836" s="0" t="n">
        <v>3184</v>
      </c>
    </row>
    <row r="837" customFormat="false" ht="12.8" hidden="false" customHeight="false" outlineLevel="0" collapsed="false">
      <c r="A837" s="0" t="n">
        <v>208372</v>
      </c>
      <c r="B837" s="0" t="n">
        <v>228609</v>
      </c>
      <c r="C837" s="0" t="n">
        <v>257304</v>
      </c>
      <c r="D837" s="0" t="s">
        <v>35</v>
      </c>
      <c r="E837" s="0" t="s">
        <v>35</v>
      </c>
      <c r="F837" s="0" t="s">
        <v>480</v>
      </c>
      <c r="G837" s="0" t="s">
        <v>37</v>
      </c>
      <c r="H837" s="0" t="s">
        <v>2925</v>
      </c>
      <c r="J837" s="0" t="s">
        <v>2925</v>
      </c>
      <c r="M837" s="0" t="s">
        <v>2926</v>
      </c>
      <c r="N837" s="1" t="s">
        <v>2927</v>
      </c>
      <c r="O837" s="0" t="s">
        <v>2928</v>
      </c>
      <c r="P837" s="0" t="n">
        <v>1940</v>
      </c>
      <c r="Q837" s="0" t="s">
        <v>39</v>
      </c>
      <c r="R837" s="0" t="s">
        <v>2929</v>
      </c>
      <c r="S837" s="0" t="s">
        <v>2930</v>
      </c>
      <c r="T837" s="0" t="s">
        <v>2969</v>
      </c>
      <c r="V837" s="0" t="n">
        <v>1</v>
      </c>
      <c r="W837" s="0" t="n">
        <v>1</v>
      </c>
      <c r="X837" s="0" t="str">
        <f aca="false">"31811012046812"</f>
        <v>31811012046812</v>
      </c>
      <c r="Y837" s="0" t="s">
        <v>39</v>
      </c>
      <c r="Z837" s="0" t="s">
        <v>42</v>
      </c>
      <c r="AA837" s="0" t="s">
        <v>622</v>
      </c>
      <c r="AE837" s="1" t="s">
        <v>52</v>
      </c>
      <c r="AF837" s="1" t="s">
        <v>2933</v>
      </c>
      <c r="AG837" s="0" t="n">
        <v>3184</v>
      </c>
    </row>
    <row r="838" customFormat="false" ht="12.8" hidden="false" customHeight="false" outlineLevel="0" collapsed="false">
      <c r="A838" s="0" t="n">
        <v>208372</v>
      </c>
      <c r="B838" s="0" t="n">
        <v>228609</v>
      </c>
      <c r="C838" s="0" t="n">
        <v>257305</v>
      </c>
      <c r="D838" s="0" t="s">
        <v>35</v>
      </c>
      <c r="E838" s="0" t="s">
        <v>35</v>
      </c>
      <c r="F838" s="0" t="s">
        <v>480</v>
      </c>
      <c r="G838" s="0" t="s">
        <v>37</v>
      </c>
      <c r="H838" s="0" t="s">
        <v>2925</v>
      </c>
      <c r="J838" s="0" t="s">
        <v>2925</v>
      </c>
      <c r="M838" s="0" t="s">
        <v>2926</v>
      </c>
      <c r="N838" s="1" t="s">
        <v>2927</v>
      </c>
      <c r="O838" s="0" t="s">
        <v>2928</v>
      </c>
      <c r="P838" s="0" t="n">
        <v>1940</v>
      </c>
      <c r="Q838" s="0" t="s">
        <v>39</v>
      </c>
      <c r="R838" s="0" t="s">
        <v>2929</v>
      </c>
      <c r="S838" s="0" t="s">
        <v>2930</v>
      </c>
      <c r="T838" s="0" t="s">
        <v>2970</v>
      </c>
      <c r="V838" s="0" t="n">
        <v>1</v>
      </c>
      <c r="W838" s="0" t="n">
        <v>1</v>
      </c>
      <c r="X838" s="0" t="str">
        <f aca="false">"31811012046523"</f>
        <v>31811012046523</v>
      </c>
      <c r="Y838" s="0" t="s">
        <v>39</v>
      </c>
      <c r="Z838" s="0" t="s">
        <v>42</v>
      </c>
      <c r="AA838" s="0" t="s">
        <v>622</v>
      </c>
      <c r="AE838" s="1" t="s">
        <v>52</v>
      </c>
      <c r="AF838" s="1" t="s">
        <v>2933</v>
      </c>
      <c r="AG838" s="0" t="n">
        <v>3184</v>
      </c>
    </row>
    <row r="839" customFormat="false" ht="12.8" hidden="false" customHeight="false" outlineLevel="0" collapsed="false">
      <c r="A839" s="0" t="n">
        <v>208372</v>
      </c>
      <c r="B839" s="0" t="n">
        <v>228609</v>
      </c>
      <c r="C839" s="0" t="n">
        <v>257306</v>
      </c>
      <c r="D839" s="0" t="s">
        <v>35</v>
      </c>
      <c r="E839" s="0" t="s">
        <v>35</v>
      </c>
      <c r="F839" s="0" t="s">
        <v>480</v>
      </c>
      <c r="G839" s="0" t="s">
        <v>37</v>
      </c>
      <c r="H839" s="0" t="s">
        <v>2925</v>
      </c>
      <c r="J839" s="0" t="s">
        <v>2925</v>
      </c>
      <c r="M839" s="0" t="s">
        <v>2926</v>
      </c>
      <c r="N839" s="1" t="s">
        <v>2927</v>
      </c>
      <c r="O839" s="0" t="s">
        <v>2928</v>
      </c>
      <c r="P839" s="0" t="n">
        <v>1940</v>
      </c>
      <c r="Q839" s="0" t="s">
        <v>39</v>
      </c>
      <c r="R839" s="0" t="s">
        <v>2929</v>
      </c>
      <c r="S839" s="0" t="s">
        <v>2930</v>
      </c>
      <c r="T839" s="0" t="s">
        <v>2971</v>
      </c>
      <c r="V839" s="0" t="n">
        <v>1</v>
      </c>
      <c r="W839" s="0" t="n">
        <v>1</v>
      </c>
      <c r="X839" s="0" t="str">
        <f aca="false">"31811012046515"</f>
        <v>31811012046515</v>
      </c>
      <c r="Y839" s="0" t="s">
        <v>39</v>
      </c>
      <c r="Z839" s="0" t="s">
        <v>42</v>
      </c>
      <c r="AA839" s="0" t="s">
        <v>622</v>
      </c>
      <c r="AE839" s="1" t="s">
        <v>52</v>
      </c>
      <c r="AF839" s="1" t="s">
        <v>2933</v>
      </c>
      <c r="AG839" s="0" t="n">
        <v>3184</v>
      </c>
      <c r="AH839" s="1" t="s">
        <v>2972</v>
      </c>
    </row>
    <row r="840" customFormat="false" ht="12.8" hidden="false" customHeight="false" outlineLevel="0" collapsed="false">
      <c r="A840" s="0" t="n">
        <v>208372</v>
      </c>
      <c r="B840" s="0" t="n">
        <v>228609</v>
      </c>
      <c r="C840" s="0" t="n">
        <v>257307</v>
      </c>
      <c r="D840" s="0" t="s">
        <v>35</v>
      </c>
      <c r="E840" s="0" t="s">
        <v>35</v>
      </c>
      <c r="F840" s="0" t="s">
        <v>480</v>
      </c>
      <c r="G840" s="0" t="s">
        <v>37</v>
      </c>
      <c r="H840" s="0" t="s">
        <v>2925</v>
      </c>
      <c r="J840" s="0" t="s">
        <v>2925</v>
      </c>
      <c r="M840" s="0" t="s">
        <v>2926</v>
      </c>
      <c r="N840" s="1" t="s">
        <v>2927</v>
      </c>
      <c r="O840" s="0" t="s">
        <v>2928</v>
      </c>
      <c r="P840" s="0" t="n">
        <v>1940</v>
      </c>
      <c r="Q840" s="0" t="s">
        <v>39</v>
      </c>
      <c r="R840" s="0" t="s">
        <v>2929</v>
      </c>
      <c r="S840" s="0" t="s">
        <v>2930</v>
      </c>
      <c r="T840" s="0" t="s">
        <v>2973</v>
      </c>
      <c r="V840" s="0" t="n">
        <v>1</v>
      </c>
      <c r="W840" s="0" t="n">
        <v>1</v>
      </c>
      <c r="X840" s="0" t="str">
        <f aca="false">"31811012049642"</f>
        <v>31811012049642</v>
      </c>
      <c r="Y840" s="0" t="s">
        <v>39</v>
      </c>
      <c r="Z840" s="0" t="s">
        <v>42</v>
      </c>
      <c r="AA840" s="0" t="s">
        <v>622</v>
      </c>
      <c r="AE840" s="1" t="s">
        <v>52</v>
      </c>
      <c r="AF840" s="1" t="s">
        <v>2933</v>
      </c>
      <c r="AG840" s="0" t="n">
        <v>3184</v>
      </c>
    </row>
    <row r="841" customFormat="false" ht="12.8" hidden="false" customHeight="false" outlineLevel="0" collapsed="false">
      <c r="A841" s="0" t="n">
        <v>208372</v>
      </c>
      <c r="B841" s="0" t="n">
        <v>228609</v>
      </c>
      <c r="C841" s="0" t="n">
        <v>257308</v>
      </c>
      <c r="D841" s="0" t="s">
        <v>35</v>
      </c>
      <c r="E841" s="0" t="s">
        <v>35</v>
      </c>
      <c r="F841" s="0" t="s">
        <v>480</v>
      </c>
      <c r="G841" s="0" t="s">
        <v>37</v>
      </c>
      <c r="H841" s="0" t="s">
        <v>2925</v>
      </c>
      <c r="J841" s="0" t="s">
        <v>2925</v>
      </c>
      <c r="M841" s="0" t="s">
        <v>2926</v>
      </c>
      <c r="N841" s="1" t="s">
        <v>2927</v>
      </c>
      <c r="O841" s="0" t="s">
        <v>2928</v>
      </c>
      <c r="P841" s="0" t="n">
        <v>1940</v>
      </c>
      <c r="Q841" s="0" t="s">
        <v>39</v>
      </c>
      <c r="R841" s="0" t="s">
        <v>2929</v>
      </c>
      <c r="S841" s="0" t="s">
        <v>2930</v>
      </c>
      <c r="T841" s="0" t="s">
        <v>2974</v>
      </c>
      <c r="V841" s="0" t="n">
        <v>1</v>
      </c>
      <c r="W841" s="0" t="n">
        <v>1</v>
      </c>
      <c r="X841" s="0" t="str">
        <f aca="false">"31811012049634"</f>
        <v>31811012049634</v>
      </c>
      <c r="Y841" s="0" t="s">
        <v>39</v>
      </c>
      <c r="Z841" s="0" t="s">
        <v>42</v>
      </c>
      <c r="AA841" s="0" t="s">
        <v>622</v>
      </c>
      <c r="AE841" s="1" t="s">
        <v>52</v>
      </c>
      <c r="AF841" s="1" t="s">
        <v>2933</v>
      </c>
      <c r="AG841" s="0" t="n">
        <v>3184</v>
      </c>
    </row>
    <row r="842" customFormat="false" ht="12.8" hidden="false" customHeight="false" outlineLevel="0" collapsed="false">
      <c r="A842" s="0" t="n">
        <v>208372</v>
      </c>
      <c r="B842" s="0" t="n">
        <v>228609</v>
      </c>
      <c r="C842" s="0" t="n">
        <v>257309</v>
      </c>
      <c r="D842" s="0" t="s">
        <v>35</v>
      </c>
      <c r="E842" s="0" t="s">
        <v>35</v>
      </c>
      <c r="F842" s="0" t="s">
        <v>480</v>
      </c>
      <c r="G842" s="0" t="s">
        <v>37</v>
      </c>
      <c r="H842" s="0" t="s">
        <v>2925</v>
      </c>
      <c r="J842" s="0" t="s">
        <v>2925</v>
      </c>
      <c r="M842" s="0" t="s">
        <v>2926</v>
      </c>
      <c r="N842" s="1" t="s">
        <v>2927</v>
      </c>
      <c r="O842" s="0" t="s">
        <v>2928</v>
      </c>
      <c r="P842" s="0" t="n">
        <v>1940</v>
      </c>
      <c r="Q842" s="0" t="s">
        <v>39</v>
      </c>
      <c r="R842" s="0" t="s">
        <v>2929</v>
      </c>
      <c r="S842" s="0" t="s">
        <v>2930</v>
      </c>
      <c r="T842" s="0" t="s">
        <v>2975</v>
      </c>
      <c r="V842" s="0" t="n">
        <v>1</v>
      </c>
      <c r="W842" s="0" t="n">
        <v>1</v>
      </c>
      <c r="X842" s="0" t="str">
        <f aca="false">"31811012049626"</f>
        <v>31811012049626</v>
      </c>
      <c r="Y842" s="0" t="s">
        <v>39</v>
      </c>
      <c r="Z842" s="0" t="s">
        <v>42</v>
      </c>
      <c r="AA842" s="0" t="s">
        <v>622</v>
      </c>
      <c r="AE842" s="1" t="s">
        <v>52</v>
      </c>
      <c r="AF842" s="1" t="s">
        <v>2933</v>
      </c>
      <c r="AG842" s="0" t="n">
        <v>3184</v>
      </c>
    </row>
    <row r="843" customFormat="false" ht="12.8" hidden="false" customHeight="false" outlineLevel="0" collapsed="false">
      <c r="A843" s="0" t="n">
        <v>208372</v>
      </c>
      <c r="B843" s="0" t="n">
        <v>228609</v>
      </c>
      <c r="C843" s="0" t="n">
        <v>257310</v>
      </c>
      <c r="D843" s="0" t="s">
        <v>35</v>
      </c>
      <c r="E843" s="0" t="s">
        <v>35</v>
      </c>
      <c r="F843" s="0" t="s">
        <v>480</v>
      </c>
      <c r="G843" s="0" t="s">
        <v>37</v>
      </c>
      <c r="H843" s="0" t="s">
        <v>2925</v>
      </c>
      <c r="J843" s="0" t="s">
        <v>2925</v>
      </c>
      <c r="M843" s="0" t="s">
        <v>2926</v>
      </c>
      <c r="N843" s="1" t="s">
        <v>2927</v>
      </c>
      <c r="O843" s="0" t="s">
        <v>2928</v>
      </c>
      <c r="P843" s="0" t="n">
        <v>1940</v>
      </c>
      <c r="Q843" s="0" t="s">
        <v>39</v>
      </c>
      <c r="R843" s="0" t="s">
        <v>2929</v>
      </c>
      <c r="S843" s="0" t="s">
        <v>2930</v>
      </c>
      <c r="T843" s="0" t="s">
        <v>2976</v>
      </c>
      <c r="V843" s="0" t="n">
        <v>1</v>
      </c>
      <c r="W843" s="0" t="n">
        <v>1</v>
      </c>
      <c r="X843" s="0" t="str">
        <f aca="false">"31811012049618"</f>
        <v>31811012049618</v>
      </c>
      <c r="Y843" s="0" t="s">
        <v>39</v>
      </c>
      <c r="Z843" s="0" t="s">
        <v>42</v>
      </c>
      <c r="AA843" s="0" t="s">
        <v>622</v>
      </c>
      <c r="AE843" s="1" t="s">
        <v>52</v>
      </c>
      <c r="AF843" s="1" t="s">
        <v>2933</v>
      </c>
      <c r="AG843" s="0" t="n">
        <v>3184</v>
      </c>
    </row>
    <row r="844" customFormat="false" ht="12.8" hidden="false" customHeight="false" outlineLevel="0" collapsed="false">
      <c r="A844" s="0" t="n">
        <v>208372</v>
      </c>
      <c r="B844" s="0" t="n">
        <v>228609</v>
      </c>
      <c r="C844" s="0" t="n">
        <v>257311</v>
      </c>
      <c r="D844" s="0" t="s">
        <v>35</v>
      </c>
      <c r="E844" s="0" t="s">
        <v>35</v>
      </c>
      <c r="F844" s="0" t="s">
        <v>480</v>
      </c>
      <c r="G844" s="0" t="s">
        <v>37</v>
      </c>
      <c r="H844" s="0" t="s">
        <v>2925</v>
      </c>
      <c r="J844" s="0" t="s">
        <v>2925</v>
      </c>
      <c r="M844" s="0" t="s">
        <v>2926</v>
      </c>
      <c r="N844" s="1" t="s">
        <v>2927</v>
      </c>
      <c r="O844" s="0" t="s">
        <v>2928</v>
      </c>
      <c r="P844" s="0" t="n">
        <v>1940</v>
      </c>
      <c r="Q844" s="0" t="s">
        <v>39</v>
      </c>
      <c r="R844" s="0" t="s">
        <v>2929</v>
      </c>
      <c r="S844" s="0" t="s">
        <v>2930</v>
      </c>
      <c r="T844" s="0" t="s">
        <v>2977</v>
      </c>
      <c r="V844" s="0" t="n">
        <v>1</v>
      </c>
      <c r="W844" s="0" t="n">
        <v>1</v>
      </c>
      <c r="X844" s="0" t="str">
        <f aca="false">"31811012049329"</f>
        <v>31811012049329</v>
      </c>
      <c r="Y844" s="0" t="s">
        <v>39</v>
      </c>
      <c r="Z844" s="0" t="s">
        <v>42</v>
      </c>
      <c r="AA844" s="0" t="s">
        <v>622</v>
      </c>
      <c r="AE844" s="1" t="s">
        <v>52</v>
      </c>
      <c r="AF844" s="1" t="s">
        <v>2933</v>
      </c>
      <c r="AG844" s="0" t="n">
        <v>3184</v>
      </c>
    </row>
    <row r="845" customFormat="false" ht="12.8" hidden="false" customHeight="false" outlineLevel="0" collapsed="false">
      <c r="A845" s="0" t="n">
        <v>208372</v>
      </c>
      <c r="B845" s="0" t="n">
        <v>228609</v>
      </c>
      <c r="C845" s="0" t="n">
        <v>257312</v>
      </c>
      <c r="D845" s="0" t="s">
        <v>35</v>
      </c>
      <c r="E845" s="0" t="s">
        <v>35</v>
      </c>
      <c r="F845" s="0" t="s">
        <v>480</v>
      </c>
      <c r="G845" s="0" t="s">
        <v>37</v>
      </c>
      <c r="H845" s="0" t="s">
        <v>2925</v>
      </c>
      <c r="J845" s="0" t="s">
        <v>2925</v>
      </c>
      <c r="M845" s="0" t="s">
        <v>2926</v>
      </c>
      <c r="N845" s="1" t="s">
        <v>2927</v>
      </c>
      <c r="O845" s="0" t="s">
        <v>2928</v>
      </c>
      <c r="P845" s="0" t="n">
        <v>1940</v>
      </c>
      <c r="Q845" s="0" t="s">
        <v>39</v>
      </c>
      <c r="R845" s="0" t="s">
        <v>2929</v>
      </c>
      <c r="S845" s="0" t="s">
        <v>2930</v>
      </c>
      <c r="T845" s="0" t="s">
        <v>2978</v>
      </c>
      <c r="V845" s="0" t="n">
        <v>1</v>
      </c>
      <c r="W845" s="0" t="n">
        <v>1</v>
      </c>
      <c r="X845" s="0" t="str">
        <f aca="false">"31811012049311"</f>
        <v>31811012049311</v>
      </c>
      <c r="Y845" s="0" t="s">
        <v>39</v>
      </c>
      <c r="Z845" s="0" t="s">
        <v>42</v>
      </c>
      <c r="AA845" s="0" t="s">
        <v>622</v>
      </c>
      <c r="AE845" s="1" t="s">
        <v>52</v>
      </c>
      <c r="AF845" s="1" t="s">
        <v>2933</v>
      </c>
      <c r="AG845" s="0" t="n">
        <v>3184</v>
      </c>
    </row>
    <row r="846" customFormat="false" ht="12.8" hidden="false" customHeight="false" outlineLevel="0" collapsed="false">
      <c r="A846" s="0" t="n">
        <v>208372</v>
      </c>
      <c r="B846" s="0" t="n">
        <v>228609</v>
      </c>
      <c r="C846" s="0" t="n">
        <v>257313</v>
      </c>
      <c r="D846" s="0" t="s">
        <v>35</v>
      </c>
      <c r="E846" s="0" t="s">
        <v>35</v>
      </c>
      <c r="F846" s="0" t="s">
        <v>480</v>
      </c>
      <c r="G846" s="0" t="s">
        <v>37</v>
      </c>
      <c r="H846" s="0" t="s">
        <v>2925</v>
      </c>
      <c r="J846" s="0" t="s">
        <v>2925</v>
      </c>
      <c r="M846" s="0" t="s">
        <v>2926</v>
      </c>
      <c r="N846" s="1" t="s">
        <v>2927</v>
      </c>
      <c r="O846" s="0" t="s">
        <v>2928</v>
      </c>
      <c r="P846" s="0" t="n">
        <v>1940</v>
      </c>
      <c r="Q846" s="0" t="s">
        <v>39</v>
      </c>
      <c r="R846" s="0" t="s">
        <v>2929</v>
      </c>
      <c r="S846" s="0" t="s">
        <v>2930</v>
      </c>
      <c r="T846" s="0" t="s">
        <v>2979</v>
      </c>
      <c r="V846" s="0" t="n">
        <v>1</v>
      </c>
      <c r="W846" s="0" t="n">
        <v>1</v>
      </c>
      <c r="X846" s="0" t="str">
        <f aca="false">"31811012049303"</f>
        <v>31811012049303</v>
      </c>
      <c r="Y846" s="0" t="s">
        <v>39</v>
      </c>
      <c r="Z846" s="0" t="s">
        <v>42</v>
      </c>
      <c r="AA846" s="0" t="s">
        <v>622</v>
      </c>
      <c r="AE846" s="1" t="s">
        <v>52</v>
      </c>
      <c r="AF846" s="1" t="s">
        <v>2933</v>
      </c>
      <c r="AG846" s="0" t="n">
        <v>3184</v>
      </c>
    </row>
    <row r="847" customFormat="false" ht="12.8" hidden="false" customHeight="false" outlineLevel="0" collapsed="false">
      <c r="A847" s="0" t="n">
        <v>208372</v>
      </c>
      <c r="B847" s="0" t="n">
        <v>228609</v>
      </c>
      <c r="C847" s="0" t="n">
        <v>257314</v>
      </c>
      <c r="D847" s="0" t="s">
        <v>35</v>
      </c>
      <c r="E847" s="0" t="s">
        <v>35</v>
      </c>
      <c r="F847" s="0" t="s">
        <v>480</v>
      </c>
      <c r="G847" s="0" t="s">
        <v>37</v>
      </c>
      <c r="H847" s="0" t="s">
        <v>2925</v>
      </c>
      <c r="J847" s="0" t="s">
        <v>2925</v>
      </c>
      <c r="M847" s="0" t="s">
        <v>2926</v>
      </c>
      <c r="N847" s="1" t="s">
        <v>2927</v>
      </c>
      <c r="O847" s="0" t="s">
        <v>2928</v>
      </c>
      <c r="P847" s="0" t="n">
        <v>1940</v>
      </c>
      <c r="Q847" s="0" t="s">
        <v>39</v>
      </c>
      <c r="R847" s="0" t="s">
        <v>2929</v>
      </c>
      <c r="S847" s="0" t="s">
        <v>2930</v>
      </c>
      <c r="T847" s="0" t="s">
        <v>2980</v>
      </c>
      <c r="V847" s="0" t="n">
        <v>1</v>
      </c>
      <c r="W847" s="0" t="n">
        <v>1</v>
      </c>
      <c r="X847" s="0" t="str">
        <f aca="false">"31811012049295"</f>
        <v>31811012049295</v>
      </c>
      <c r="Y847" s="0" t="s">
        <v>39</v>
      </c>
      <c r="Z847" s="0" t="s">
        <v>42</v>
      </c>
      <c r="AA847" s="0" t="s">
        <v>622</v>
      </c>
      <c r="AE847" s="1" t="s">
        <v>52</v>
      </c>
      <c r="AF847" s="1" t="s">
        <v>2933</v>
      </c>
      <c r="AG847" s="0" t="n">
        <v>3184</v>
      </c>
    </row>
    <row r="848" customFormat="false" ht="12.8" hidden="false" customHeight="false" outlineLevel="0" collapsed="false">
      <c r="A848" s="0" t="n">
        <v>208372</v>
      </c>
      <c r="B848" s="0" t="n">
        <v>228609</v>
      </c>
      <c r="C848" s="0" t="n">
        <v>257315</v>
      </c>
      <c r="D848" s="0" t="s">
        <v>35</v>
      </c>
      <c r="E848" s="0" t="s">
        <v>35</v>
      </c>
      <c r="F848" s="0" t="s">
        <v>480</v>
      </c>
      <c r="G848" s="0" t="s">
        <v>37</v>
      </c>
      <c r="H848" s="0" t="s">
        <v>2925</v>
      </c>
      <c r="J848" s="0" t="s">
        <v>2925</v>
      </c>
      <c r="M848" s="0" t="s">
        <v>2926</v>
      </c>
      <c r="N848" s="1" t="s">
        <v>2927</v>
      </c>
      <c r="O848" s="0" t="s">
        <v>2928</v>
      </c>
      <c r="P848" s="0" t="n">
        <v>1940</v>
      </c>
      <c r="Q848" s="0" t="s">
        <v>39</v>
      </c>
      <c r="R848" s="0" t="s">
        <v>2929</v>
      </c>
      <c r="S848" s="0" t="s">
        <v>2930</v>
      </c>
      <c r="T848" s="0" t="s">
        <v>2981</v>
      </c>
      <c r="V848" s="0" t="n">
        <v>1</v>
      </c>
      <c r="W848" s="0" t="n">
        <v>1</v>
      </c>
      <c r="X848" s="0" t="str">
        <f aca="false">"31811012049006"</f>
        <v>31811012049006</v>
      </c>
      <c r="Y848" s="0" t="s">
        <v>39</v>
      </c>
      <c r="Z848" s="0" t="s">
        <v>42</v>
      </c>
      <c r="AA848" s="0" t="s">
        <v>622</v>
      </c>
      <c r="AE848" s="1" t="s">
        <v>52</v>
      </c>
      <c r="AF848" s="1" t="s">
        <v>2933</v>
      </c>
      <c r="AG848" s="0" t="n">
        <v>3184</v>
      </c>
    </row>
    <row r="849" customFormat="false" ht="12.8" hidden="false" customHeight="false" outlineLevel="0" collapsed="false">
      <c r="A849" s="0" t="n">
        <v>208372</v>
      </c>
      <c r="B849" s="0" t="n">
        <v>228609</v>
      </c>
      <c r="C849" s="0" t="n">
        <v>257316</v>
      </c>
      <c r="D849" s="0" t="s">
        <v>35</v>
      </c>
      <c r="E849" s="0" t="s">
        <v>35</v>
      </c>
      <c r="F849" s="0" t="s">
        <v>480</v>
      </c>
      <c r="G849" s="0" t="s">
        <v>37</v>
      </c>
      <c r="H849" s="0" t="s">
        <v>2925</v>
      </c>
      <c r="J849" s="0" t="s">
        <v>2925</v>
      </c>
      <c r="M849" s="0" t="s">
        <v>2926</v>
      </c>
      <c r="N849" s="1" t="s">
        <v>2927</v>
      </c>
      <c r="O849" s="0" t="s">
        <v>2928</v>
      </c>
      <c r="P849" s="0" t="n">
        <v>1940</v>
      </c>
      <c r="Q849" s="0" t="s">
        <v>39</v>
      </c>
      <c r="R849" s="0" t="s">
        <v>2929</v>
      </c>
      <c r="S849" s="0" t="s">
        <v>2930</v>
      </c>
      <c r="T849" s="0" t="s">
        <v>2982</v>
      </c>
      <c r="V849" s="0" t="n">
        <v>1</v>
      </c>
      <c r="W849" s="0" t="n">
        <v>1</v>
      </c>
      <c r="X849" s="0" t="str">
        <f aca="false">"31811012048990"</f>
        <v>31811012048990</v>
      </c>
      <c r="Y849" s="0" t="s">
        <v>39</v>
      </c>
      <c r="Z849" s="0" t="s">
        <v>42</v>
      </c>
      <c r="AA849" s="0" t="s">
        <v>622</v>
      </c>
      <c r="AE849" s="1" t="s">
        <v>52</v>
      </c>
      <c r="AF849" s="1" t="s">
        <v>2933</v>
      </c>
      <c r="AG849" s="0" t="n">
        <v>3184</v>
      </c>
      <c r="AH849" s="1" t="s">
        <v>2983</v>
      </c>
    </row>
    <row r="850" customFormat="false" ht="12.8" hidden="false" customHeight="false" outlineLevel="0" collapsed="false">
      <c r="A850" s="0" t="n">
        <v>208372</v>
      </c>
      <c r="B850" s="0" t="n">
        <v>228609</v>
      </c>
      <c r="C850" s="0" t="n">
        <v>257317</v>
      </c>
      <c r="D850" s="0" t="s">
        <v>35</v>
      </c>
      <c r="E850" s="0" t="s">
        <v>35</v>
      </c>
      <c r="F850" s="0" t="s">
        <v>480</v>
      </c>
      <c r="G850" s="0" t="s">
        <v>37</v>
      </c>
      <c r="H850" s="0" t="s">
        <v>2925</v>
      </c>
      <c r="J850" s="0" t="s">
        <v>2925</v>
      </c>
      <c r="M850" s="0" t="s">
        <v>2926</v>
      </c>
      <c r="N850" s="1" t="s">
        <v>2927</v>
      </c>
      <c r="O850" s="0" t="s">
        <v>2928</v>
      </c>
      <c r="P850" s="0" t="n">
        <v>1940</v>
      </c>
      <c r="Q850" s="0" t="s">
        <v>39</v>
      </c>
      <c r="R850" s="0" t="s">
        <v>2929</v>
      </c>
      <c r="S850" s="0" t="s">
        <v>2930</v>
      </c>
      <c r="T850" s="0" t="s">
        <v>2984</v>
      </c>
      <c r="V850" s="0" t="n">
        <v>1</v>
      </c>
      <c r="W850" s="0" t="n">
        <v>1</v>
      </c>
      <c r="X850" s="0" t="str">
        <f aca="false">"31811012048982"</f>
        <v>31811012048982</v>
      </c>
      <c r="Y850" s="0" t="s">
        <v>39</v>
      </c>
      <c r="Z850" s="0" t="s">
        <v>42</v>
      </c>
      <c r="AA850" s="0" t="s">
        <v>622</v>
      </c>
      <c r="AE850" s="1" t="s">
        <v>52</v>
      </c>
      <c r="AF850" s="1" t="s">
        <v>2933</v>
      </c>
      <c r="AG850" s="0" t="n">
        <v>3184</v>
      </c>
    </row>
    <row r="851" customFormat="false" ht="12.8" hidden="false" customHeight="false" outlineLevel="0" collapsed="false">
      <c r="A851" s="0" t="n">
        <v>208372</v>
      </c>
      <c r="B851" s="0" t="n">
        <v>228609</v>
      </c>
      <c r="C851" s="0" t="n">
        <v>257318</v>
      </c>
      <c r="D851" s="0" t="s">
        <v>35</v>
      </c>
      <c r="E851" s="0" t="s">
        <v>35</v>
      </c>
      <c r="F851" s="0" t="s">
        <v>480</v>
      </c>
      <c r="G851" s="0" t="s">
        <v>37</v>
      </c>
      <c r="H851" s="0" t="s">
        <v>2925</v>
      </c>
      <c r="J851" s="0" t="s">
        <v>2925</v>
      </c>
      <c r="M851" s="0" t="s">
        <v>2926</v>
      </c>
      <c r="N851" s="1" t="s">
        <v>2927</v>
      </c>
      <c r="O851" s="0" t="s">
        <v>2928</v>
      </c>
      <c r="P851" s="0" t="n">
        <v>1940</v>
      </c>
      <c r="Q851" s="0" t="s">
        <v>39</v>
      </c>
      <c r="R851" s="0" t="s">
        <v>2929</v>
      </c>
      <c r="S851" s="0" t="s">
        <v>2930</v>
      </c>
      <c r="T851" s="0" t="s">
        <v>2985</v>
      </c>
      <c r="V851" s="0" t="n">
        <v>1</v>
      </c>
      <c r="W851" s="0" t="n">
        <v>1</v>
      </c>
      <c r="X851" s="0" t="str">
        <f aca="false">"31811012048974"</f>
        <v>31811012048974</v>
      </c>
      <c r="Y851" s="0" t="s">
        <v>39</v>
      </c>
      <c r="Z851" s="0" t="s">
        <v>42</v>
      </c>
      <c r="AA851" s="0" t="s">
        <v>622</v>
      </c>
      <c r="AE851" s="1" t="s">
        <v>52</v>
      </c>
      <c r="AF851" s="1" t="s">
        <v>2933</v>
      </c>
      <c r="AG851" s="0" t="n">
        <v>3184</v>
      </c>
    </row>
    <row r="852" customFormat="false" ht="12.8" hidden="false" customHeight="false" outlineLevel="0" collapsed="false">
      <c r="A852" s="0" t="n">
        <v>208372</v>
      </c>
      <c r="B852" s="0" t="n">
        <v>228609</v>
      </c>
      <c r="C852" s="0" t="n">
        <v>257319</v>
      </c>
      <c r="D852" s="0" t="s">
        <v>35</v>
      </c>
      <c r="E852" s="0" t="s">
        <v>35</v>
      </c>
      <c r="F852" s="0" t="s">
        <v>480</v>
      </c>
      <c r="G852" s="0" t="s">
        <v>37</v>
      </c>
      <c r="H852" s="0" t="s">
        <v>2925</v>
      </c>
      <c r="J852" s="0" t="s">
        <v>2925</v>
      </c>
      <c r="M852" s="0" t="s">
        <v>2926</v>
      </c>
      <c r="N852" s="1" t="s">
        <v>2927</v>
      </c>
      <c r="O852" s="0" t="s">
        <v>2928</v>
      </c>
      <c r="P852" s="0" t="n">
        <v>1940</v>
      </c>
      <c r="Q852" s="0" t="s">
        <v>39</v>
      </c>
      <c r="R852" s="0" t="s">
        <v>2929</v>
      </c>
      <c r="S852" s="0" t="s">
        <v>2930</v>
      </c>
      <c r="T852" s="0" t="s">
        <v>2986</v>
      </c>
      <c r="V852" s="0" t="n">
        <v>1</v>
      </c>
      <c r="W852" s="0" t="n">
        <v>1</v>
      </c>
      <c r="X852" s="0" t="str">
        <f aca="false">"31811012048685"</f>
        <v>31811012048685</v>
      </c>
      <c r="Y852" s="0" t="s">
        <v>39</v>
      </c>
      <c r="Z852" s="0" t="s">
        <v>42</v>
      </c>
      <c r="AA852" s="0" t="s">
        <v>622</v>
      </c>
      <c r="AE852" s="1" t="s">
        <v>52</v>
      </c>
      <c r="AF852" s="1" t="s">
        <v>2933</v>
      </c>
      <c r="AG852" s="0" t="n">
        <v>3184</v>
      </c>
    </row>
    <row r="853" customFormat="false" ht="12.8" hidden="false" customHeight="false" outlineLevel="0" collapsed="false">
      <c r="A853" s="0" t="n">
        <v>208372</v>
      </c>
      <c r="B853" s="0" t="n">
        <v>228609</v>
      </c>
      <c r="C853" s="0" t="n">
        <v>257320</v>
      </c>
      <c r="D853" s="0" t="s">
        <v>35</v>
      </c>
      <c r="E853" s="0" t="s">
        <v>35</v>
      </c>
      <c r="F853" s="0" t="s">
        <v>480</v>
      </c>
      <c r="G853" s="0" t="s">
        <v>37</v>
      </c>
      <c r="H853" s="0" t="s">
        <v>2925</v>
      </c>
      <c r="J853" s="0" t="s">
        <v>2925</v>
      </c>
      <c r="M853" s="0" t="s">
        <v>2926</v>
      </c>
      <c r="N853" s="1" t="s">
        <v>2927</v>
      </c>
      <c r="O853" s="0" t="s">
        <v>2928</v>
      </c>
      <c r="P853" s="0" t="n">
        <v>1940</v>
      </c>
      <c r="Q853" s="0" t="s">
        <v>39</v>
      </c>
      <c r="R853" s="0" t="s">
        <v>2929</v>
      </c>
      <c r="S853" s="0" t="s">
        <v>2930</v>
      </c>
      <c r="T853" s="0" t="s">
        <v>2987</v>
      </c>
      <c r="V853" s="0" t="n">
        <v>1</v>
      </c>
      <c r="W853" s="0" t="n">
        <v>1</v>
      </c>
      <c r="X853" s="0" t="str">
        <f aca="false">"31811012048677"</f>
        <v>31811012048677</v>
      </c>
      <c r="Y853" s="0" t="s">
        <v>39</v>
      </c>
      <c r="Z853" s="0" t="s">
        <v>42</v>
      </c>
      <c r="AA853" s="0" t="s">
        <v>622</v>
      </c>
      <c r="AE853" s="1" t="s">
        <v>52</v>
      </c>
      <c r="AF853" s="1" t="s">
        <v>2933</v>
      </c>
      <c r="AG853" s="0" t="n">
        <v>3184</v>
      </c>
      <c r="AH853" s="1" t="s">
        <v>2988</v>
      </c>
    </row>
    <row r="854" customFormat="false" ht="12.8" hidden="false" customHeight="false" outlineLevel="0" collapsed="false">
      <c r="A854" s="0" t="n">
        <v>208372</v>
      </c>
      <c r="B854" s="0" t="n">
        <v>228609</v>
      </c>
      <c r="C854" s="0" t="n">
        <v>257321</v>
      </c>
      <c r="D854" s="0" t="s">
        <v>35</v>
      </c>
      <c r="E854" s="0" t="s">
        <v>35</v>
      </c>
      <c r="F854" s="0" t="s">
        <v>480</v>
      </c>
      <c r="G854" s="0" t="s">
        <v>37</v>
      </c>
      <c r="H854" s="0" t="s">
        <v>2925</v>
      </c>
      <c r="J854" s="0" t="s">
        <v>2925</v>
      </c>
      <c r="M854" s="0" t="s">
        <v>2926</v>
      </c>
      <c r="N854" s="1" t="s">
        <v>2927</v>
      </c>
      <c r="O854" s="0" t="s">
        <v>2928</v>
      </c>
      <c r="P854" s="0" t="n">
        <v>1940</v>
      </c>
      <c r="Q854" s="0" t="s">
        <v>39</v>
      </c>
      <c r="R854" s="0" t="s">
        <v>2929</v>
      </c>
      <c r="S854" s="0" t="s">
        <v>2930</v>
      </c>
      <c r="T854" s="0" t="s">
        <v>2989</v>
      </c>
      <c r="V854" s="0" t="n">
        <v>1</v>
      </c>
      <c r="W854" s="0" t="n">
        <v>1</v>
      </c>
      <c r="X854" s="0" t="str">
        <f aca="false">"31811012048669"</f>
        <v>31811012048669</v>
      </c>
      <c r="Y854" s="0" t="s">
        <v>39</v>
      </c>
      <c r="Z854" s="0" t="s">
        <v>42</v>
      </c>
      <c r="AA854" s="0" t="s">
        <v>622</v>
      </c>
      <c r="AE854" s="1" t="s">
        <v>52</v>
      </c>
      <c r="AF854" s="1" t="s">
        <v>2933</v>
      </c>
      <c r="AG854" s="0" t="n">
        <v>3184</v>
      </c>
    </row>
    <row r="855" customFormat="false" ht="12.8" hidden="false" customHeight="false" outlineLevel="0" collapsed="false">
      <c r="A855" s="0" t="n">
        <v>208372</v>
      </c>
      <c r="B855" s="0" t="n">
        <v>228609</v>
      </c>
      <c r="C855" s="0" t="n">
        <v>257322</v>
      </c>
      <c r="D855" s="0" t="s">
        <v>35</v>
      </c>
      <c r="E855" s="0" t="s">
        <v>35</v>
      </c>
      <c r="F855" s="0" t="s">
        <v>480</v>
      </c>
      <c r="G855" s="0" t="s">
        <v>37</v>
      </c>
      <c r="H855" s="0" t="s">
        <v>2925</v>
      </c>
      <c r="J855" s="0" t="s">
        <v>2925</v>
      </c>
      <c r="M855" s="0" t="s">
        <v>2926</v>
      </c>
      <c r="N855" s="1" t="s">
        <v>2927</v>
      </c>
      <c r="O855" s="0" t="s">
        <v>2928</v>
      </c>
      <c r="P855" s="0" t="n">
        <v>1940</v>
      </c>
      <c r="Q855" s="0" t="s">
        <v>39</v>
      </c>
      <c r="R855" s="0" t="s">
        <v>2929</v>
      </c>
      <c r="S855" s="0" t="s">
        <v>2930</v>
      </c>
      <c r="T855" s="0" t="s">
        <v>2990</v>
      </c>
      <c r="V855" s="0" t="n">
        <v>1</v>
      </c>
      <c r="W855" s="0" t="n">
        <v>1</v>
      </c>
      <c r="X855" s="0" t="str">
        <f aca="false">"31811012048651"</f>
        <v>31811012048651</v>
      </c>
      <c r="Y855" s="0" t="s">
        <v>39</v>
      </c>
      <c r="Z855" s="0" t="s">
        <v>42</v>
      </c>
      <c r="AA855" s="0" t="s">
        <v>622</v>
      </c>
      <c r="AE855" s="1" t="s">
        <v>52</v>
      </c>
      <c r="AF855" s="1" t="s">
        <v>2933</v>
      </c>
      <c r="AG855" s="0" t="n">
        <v>3184</v>
      </c>
    </row>
    <row r="856" customFormat="false" ht="12.8" hidden="false" customHeight="false" outlineLevel="0" collapsed="false">
      <c r="A856" s="0" t="n">
        <v>208372</v>
      </c>
      <c r="B856" s="0" t="n">
        <v>228609</v>
      </c>
      <c r="C856" s="0" t="n">
        <v>684862</v>
      </c>
      <c r="D856" s="0" t="s">
        <v>35</v>
      </c>
      <c r="E856" s="0" t="s">
        <v>35</v>
      </c>
      <c r="F856" s="0" t="s">
        <v>480</v>
      </c>
      <c r="G856" s="0" t="s">
        <v>37</v>
      </c>
      <c r="H856" s="0" t="s">
        <v>2925</v>
      </c>
      <c r="J856" s="0" t="s">
        <v>2925</v>
      </c>
      <c r="M856" s="0" t="s">
        <v>2926</v>
      </c>
      <c r="N856" s="1" t="s">
        <v>2927</v>
      </c>
      <c r="O856" s="0" t="s">
        <v>2928</v>
      </c>
      <c r="P856" s="0" t="n">
        <v>1940</v>
      </c>
      <c r="Q856" s="0" t="s">
        <v>39</v>
      </c>
      <c r="R856" s="0" t="s">
        <v>2929</v>
      </c>
      <c r="S856" s="0" t="s">
        <v>2930</v>
      </c>
      <c r="T856" s="0" t="s">
        <v>2991</v>
      </c>
      <c r="V856" s="0" t="n">
        <v>1</v>
      </c>
      <c r="W856" s="0" t="n">
        <v>1</v>
      </c>
      <c r="X856" s="0" t="str">
        <f aca="false">"31811012167980"</f>
        <v>31811012167980</v>
      </c>
      <c r="Y856" s="0" t="s">
        <v>39</v>
      </c>
      <c r="Z856" s="0" t="s">
        <v>42</v>
      </c>
      <c r="AA856" s="0" t="s">
        <v>622</v>
      </c>
      <c r="AE856" s="1" t="s">
        <v>52</v>
      </c>
      <c r="AF856" s="1" t="s">
        <v>2933</v>
      </c>
      <c r="AG856" s="0" t="n">
        <v>3184</v>
      </c>
    </row>
    <row r="857" customFormat="false" ht="12.8" hidden="false" customHeight="false" outlineLevel="0" collapsed="false">
      <c r="A857" s="0" t="n">
        <v>208372</v>
      </c>
      <c r="B857" s="0" t="n">
        <v>228609</v>
      </c>
      <c r="C857" s="0" t="n">
        <v>765679</v>
      </c>
      <c r="D857" s="0" t="s">
        <v>35</v>
      </c>
      <c r="E857" s="0" t="s">
        <v>35</v>
      </c>
      <c r="F857" s="0" t="s">
        <v>480</v>
      </c>
      <c r="G857" s="0" t="s">
        <v>37</v>
      </c>
      <c r="H857" s="0" t="s">
        <v>2925</v>
      </c>
      <c r="J857" s="0" t="s">
        <v>2925</v>
      </c>
      <c r="M857" s="0" t="s">
        <v>2926</v>
      </c>
      <c r="N857" s="1" t="s">
        <v>2927</v>
      </c>
      <c r="O857" s="0" t="s">
        <v>2928</v>
      </c>
      <c r="P857" s="0" t="n">
        <v>1940</v>
      </c>
      <c r="Q857" s="0" t="s">
        <v>39</v>
      </c>
      <c r="R857" s="0" t="s">
        <v>2929</v>
      </c>
      <c r="S857" s="0" t="s">
        <v>2930</v>
      </c>
      <c r="T857" s="0" t="s">
        <v>2992</v>
      </c>
      <c r="V857" s="0" t="n">
        <v>1</v>
      </c>
      <c r="W857" s="0" t="n">
        <v>1</v>
      </c>
      <c r="X857" s="0" t="str">
        <f aca="false">"31811012308980"</f>
        <v>31811012308980</v>
      </c>
      <c r="Y857" s="0" t="s">
        <v>39</v>
      </c>
      <c r="Z857" s="0" t="s">
        <v>42</v>
      </c>
      <c r="AA857" s="0" t="s">
        <v>622</v>
      </c>
      <c r="AE857" s="1" t="s">
        <v>52</v>
      </c>
      <c r="AF857" s="1" t="s">
        <v>2933</v>
      </c>
      <c r="AG857" s="0" t="n">
        <v>3184</v>
      </c>
    </row>
    <row r="858" customFormat="false" ht="12.8" hidden="false" customHeight="false" outlineLevel="0" collapsed="false">
      <c r="A858" s="0" t="n">
        <v>208372</v>
      </c>
      <c r="B858" s="0" t="n">
        <v>228609</v>
      </c>
      <c r="C858" s="0" t="n">
        <v>765680</v>
      </c>
      <c r="D858" s="0" t="s">
        <v>35</v>
      </c>
      <c r="E858" s="0" t="s">
        <v>35</v>
      </c>
      <c r="F858" s="0" t="s">
        <v>480</v>
      </c>
      <c r="G858" s="0" t="s">
        <v>37</v>
      </c>
      <c r="H858" s="0" t="s">
        <v>2925</v>
      </c>
      <c r="J858" s="0" t="s">
        <v>2925</v>
      </c>
      <c r="M858" s="0" t="s">
        <v>2926</v>
      </c>
      <c r="N858" s="1" t="s">
        <v>2927</v>
      </c>
      <c r="O858" s="0" t="s">
        <v>2928</v>
      </c>
      <c r="P858" s="0" t="n">
        <v>1940</v>
      </c>
      <c r="Q858" s="0" t="s">
        <v>39</v>
      </c>
      <c r="R858" s="0" t="s">
        <v>2929</v>
      </c>
      <c r="S858" s="0" t="s">
        <v>2930</v>
      </c>
      <c r="T858" s="0" t="s">
        <v>2993</v>
      </c>
      <c r="V858" s="0" t="n">
        <v>1</v>
      </c>
      <c r="W858" s="0" t="n">
        <v>1</v>
      </c>
      <c r="X858" s="0" t="str">
        <f aca="false">"31811012308998"</f>
        <v>31811012308998</v>
      </c>
      <c r="Y858" s="0" t="s">
        <v>39</v>
      </c>
      <c r="Z858" s="0" t="s">
        <v>42</v>
      </c>
      <c r="AA858" s="0" t="s">
        <v>622</v>
      </c>
      <c r="AE858" s="1" t="s">
        <v>52</v>
      </c>
      <c r="AF858" s="1" t="s">
        <v>2933</v>
      </c>
      <c r="AG858" s="0" t="n">
        <v>3184</v>
      </c>
    </row>
    <row r="859" customFormat="false" ht="12.8" hidden="false" customHeight="false" outlineLevel="0" collapsed="false">
      <c r="A859" s="0" t="n">
        <v>208372</v>
      </c>
      <c r="B859" s="0" t="n">
        <v>228609</v>
      </c>
      <c r="C859" s="0" t="n">
        <v>704071</v>
      </c>
      <c r="D859" s="0" t="s">
        <v>35</v>
      </c>
      <c r="E859" s="0" t="s">
        <v>35</v>
      </c>
      <c r="F859" s="0" t="s">
        <v>480</v>
      </c>
      <c r="G859" s="0" t="s">
        <v>37</v>
      </c>
      <c r="H859" s="0" t="s">
        <v>2925</v>
      </c>
      <c r="J859" s="0" t="s">
        <v>2925</v>
      </c>
      <c r="M859" s="0" t="s">
        <v>2926</v>
      </c>
      <c r="N859" s="1" t="s">
        <v>2927</v>
      </c>
      <c r="O859" s="0" t="s">
        <v>2928</v>
      </c>
      <c r="P859" s="0" t="n">
        <v>1940</v>
      </c>
      <c r="Q859" s="0" t="s">
        <v>39</v>
      </c>
      <c r="R859" s="0" t="s">
        <v>2929</v>
      </c>
      <c r="S859" s="0" t="s">
        <v>2930</v>
      </c>
      <c r="T859" s="0" t="s">
        <v>2994</v>
      </c>
      <c r="V859" s="0" t="n">
        <v>1</v>
      </c>
      <c r="W859" s="0" t="n">
        <v>1</v>
      </c>
      <c r="X859" s="0" t="str">
        <f aca="false">"31811012895101"</f>
        <v>31811012895101</v>
      </c>
      <c r="Y859" s="0" t="s">
        <v>39</v>
      </c>
      <c r="Z859" s="0" t="s">
        <v>42</v>
      </c>
      <c r="AA859" s="0" t="s">
        <v>622</v>
      </c>
      <c r="AE859" s="1" t="s">
        <v>52</v>
      </c>
      <c r="AF859" s="1" t="s">
        <v>2933</v>
      </c>
      <c r="AG859" s="0" t="n">
        <v>3184</v>
      </c>
    </row>
    <row r="860" customFormat="false" ht="12.8" hidden="false" customHeight="false" outlineLevel="0" collapsed="false">
      <c r="A860" s="0" t="n">
        <v>208372</v>
      </c>
      <c r="B860" s="0" t="n">
        <v>228609</v>
      </c>
      <c r="C860" s="0" t="n">
        <v>725925</v>
      </c>
      <c r="D860" s="0" t="s">
        <v>35</v>
      </c>
      <c r="E860" s="0" t="s">
        <v>35</v>
      </c>
      <c r="F860" s="0" t="s">
        <v>480</v>
      </c>
      <c r="G860" s="0" t="s">
        <v>37</v>
      </c>
      <c r="H860" s="0" t="s">
        <v>2925</v>
      </c>
      <c r="J860" s="0" t="s">
        <v>2925</v>
      </c>
      <c r="M860" s="0" t="s">
        <v>2926</v>
      </c>
      <c r="N860" s="1" t="s">
        <v>2927</v>
      </c>
      <c r="O860" s="0" t="s">
        <v>2928</v>
      </c>
      <c r="P860" s="0" t="n">
        <v>1940</v>
      </c>
      <c r="Q860" s="0" t="s">
        <v>39</v>
      </c>
      <c r="R860" s="0" t="s">
        <v>2929</v>
      </c>
      <c r="S860" s="0" t="s">
        <v>2930</v>
      </c>
      <c r="T860" s="0" t="s">
        <v>2995</v>
      </c>
      <c r="V860" s="0" t="n">
        <v>1</v>
      </c>
      <c r="W860" s="0" t="n">
        <v>1</v>
      </c>
      <c r="X860" s="0" t="str">
        <f aca="false">"31811012510262"</f>
        <v>31811012510262</v>
      </c>
      <c r="Y860" s="0" t="s">
        <v>39</v>
      </c>
      <c r="Z860" s="0" t="s">
        <v>42</v>
      </c>
      <c r="AA860" s="0" t="s">
        <v>622</v>
      </c>
      <c r="AE860" s="1" t="s">
        <v>52</v>
      </c>
      <c r="AF860" s="1" t="s">
        <v>2933</v>
      </c>
      <c r="AG860" s="0" t="n">
        <v>3184</v>
      </c>
    </row>
    <row r="861" customFormat="false" ht="12.8" hidden="false" customHeight="false" outlineLevel="0" collapsed="false">
      <c r="A861" s="0" t="n">
        <v>208372</v>
      </c>
      <c r="B861" s="0" t="n">
        <v>228609</v>
      </c>
      <c r="C861" s="0" t="n">
        <v>744548</v>
      </c>
      <c r="D861" s="0" t="s">
        <v>35</v>
      </c>
      <c r="E861" s="0" t="s">
        <v>35</v>
      </c>
      <c r="F861" s="0" t="s">
        <v>480</v>
      </c>
      <c r="G861" s="0" t="s">
        <v>37</v>
      </c>
      <c r="H861" s="0" t="s">
        <v>2925</v>
      </c>
      <c r="J861" s="0" t="s">
        <v>2925</v>
      </c>
      <c r="M861" s="0" t="s">
        <v>2926</v>
      </c>
      <c r="N861" s="1" t="s">
        <v>2927</v>
      </c>
      <c r="O861" s="0" t="s">
        <v>2928</v>
      </c>
      <c r="P861" s="0" t="n">
        <v>1940</v>
      </c>
      <c r="Q861" s="0" t="s">
        <v>39</v>
      </c>
      <c r="R861" s="0" t="s">
        <v>2929</v>
      </c>
      <c r="S861" s="0" t="s">
        <v>2930</v>
      </c>
      <c r="T861" s="0" t="s">
        <v>2996</v>
      </c>
      <c r="V861" s="0" t="n">
        <v>1</v>
      </c>
      <c r="W861" s="0" t="n">
        <v>1</v>
      </c>
      <c r="X861" s="0" t="str">
        <f aca="false">"31811012641901"</f>
        <v>31811012641901</v>
      </c>
      <c r="Y861" s="0" t="s">
        <v>39</v>
      </c>
      <c r="Z861" s="0" t="s">
        <v>42</v>
      </c>
      <c r="AA861" s="0" t="s">
        <v>622</v>
      </c>
      <c r="AE861" s="1" t="s">
        <v>52</v>
      </c>
      <c r="AF861" s="1" t="s">
        <v>2933</v>
      </c>
      <c r="AG861" s="0" t="n">
        <v>3184</v>
      </c>
    </row>
    <row r="862" customFormat="false" ht="12.8" hidden="false" customHeight="false" outlineLevel="0" collapsed="false">
      <c r="A862" s="0" t="n">
        <v>208372</v>
      </c>
      <c r="B862" s="0" t="n">
        <v>228609</v>
      </c>
      <c r="C862" s="0" t="n">
        <v>788449</v>
      </c>
      <c r="D862" s="0" t="s">
        <v>35</v>
      </c>
      <c r="E862" s="0" t="s">
        <v>35</v>
      </c>
      <c r="F862" s="0" t="s">
        <v>480</v>
      </c>
      <c r="G862" s="0" t="s">
        <v>37</v>
      </c>
      <c r="H862" s="0" t="s">
        <v>2925</v>
      </c>
      <c r="J862" s="0" t="s">
        <v>2925</v>
      </c>
      <c r="M862" s="0" t="s">
        <v>2926</v>
      </c>
      <c r="N862" s="1" t="s">
        <v>2927</v>
      </c>
      <c r="O862" s="0" t="s">
        <v>2928</v>
      </c>
      <c r="P862" s="0" t="n">
        <v>1940</v>
      </c>
      <c r="Q862" s="0" t="s">
        <v>39</v>
      </c>
      <c r="R862" s="0" t="s">
        <v>2929</v>
      </c>
      <c r="S862" s="0" t="s">
        <v>2930</v>
      </c>
      <c r="T862" s="0" t="s">
        <v>2997</v>
      </c>
      <c r="V862" s="0" t="n">
        <v>1</v>
      </c>
      <c r="W862" s="0" t="n">
        <v>1</v>
      </c>
      <c r="X862" s="0" t="str">
        <f aca="false">"31811013558039"</f>
        <v>31811013558039</v>
      </c>
      <c r="Y862" s="0" t="s">
        <v>39</v>
      </c>
      <c r="Z862" s="0" t="s">
        <v>42</v>
      </c>
      <c r="AA862" s="0" t="s">
        <v>622</v>
      </c>
      <c r="AE862" s="1" t="s">
        <v>52</v>
      </c>
      <c r="AF862" s="1" t="s">
        <v>2933</v>
      </c>
      <c r="AG862" s="0" t="n">
        <v>3184</v>
      </c>
    </row>
    <row r="863" customFormat="false" ht="12.8" hidden="false" customHeight="false" outlineLevel="0" collapsed="false">
      <c r="A863" s="0" t="n">
        <v>208372</v>
      </c>
      <c r="B863" s="0" t="n">
        <v>228609</v>
      </c>
      <c r="C863" s="0" t="n">
        <v>803730</v>
      </c>
      <c r="D863" s="0" t="s">
        <v>35</v>
      </c>
      <c r="E863" s="0" t="s">
        <v>35</v>
      </c>
      <c r="F863" s="0" t="s">
        <v>480</v>
      </c>
      <c r="G863" s="0" t="s">
        <v>37</v>
      </c>
      <c r="H863" s="0" t="s">
        <v>2925</v>
      </c>
      <c r="J863" s="0" t="s">
        <v>2925</v>
      </c>
      <c r="M863" s="0" t="s">
        <v>2926</v>
      </c>
      <c r="N863" s="1" t="s">
        <v>2927</v>
      </c>
      <c r="O863" s="0" t="s">
        <v>2928</v>
      </c>
      <c r="P863" s="0" t="n">
        <v>1940</v>
      </c>
      <c r="Q863" s="0" t="s">
        <v>39</v>
      </c>
      <c r="R863" s="0" t="s">
        <v>2929</v>
      </c>
      <c r="S863" s="0" t="s">
        <v>2930</v>
      </c>
      <c r="T863" s="0" t="s">
        <v>2998</v>
      </c>
      <c r="V863" s="0" t="n">
        <v>1</v>
      </c>
      <c r="W863" s="0" t="n">
        <v>1</v>
      </c>
      <c r="X863" s="0" t="str">
        <f aca="false">"31811013751204"</f>
        <v>31811013751204</v>
      </c>
      <c r="Y863" s="0" t="s">
        <v>39</v>
      </c>
      <c r="Z863" s="0" t="s">
        <v>42</v>
      </c>
      <c r="AA863" s="0" t="s">
        <v>622</v>
      </c>
      <c r="AE863" s="1" t="s">
        <v>52</v>
      </c>
      <c r="AF863" s="1" t="s">
        <v>2933</v>
      </c>
      <c r="AG863" s="0" t="n">
        <v>3184</v>
      </c>
    </row>
    <row r="864" customFormat="false" ht="12.8" hidden="false" customHeight="false" outlineLevel="0" collapsed="false">
      <c r="A864" s="0" t="n">
        <v>496484</v>
      </c>
      <c r="B864" s="0" t="n">
        <v>477610</v>
      </c>
      <c r="C864" s="0" t="n">
        <v>535338</v>
      </c>
      <c r="D864" s="0" t="s">
        <v>35</v>
      </c>
      <c r="E864" s="0" t="s">
        <v>35</v>
      </c>
      <c r="F864" s="0" t="s">
        <v>36</v>
      </c>
      <c r="G864" s="0" t="s">
        <v>37</v>
      </c>
      <c r="H864" s="0" t="s">
        <v>2999</v>
      </c>
      <c r="I864" s="0" t="s">
        <v>3000</v>
      </c>
      <c r="J864" s="0" t="s">
        <v>3001</v>
      </c>
      <c r="M864" s="0" t="s">
        <v>3002</v>
      </c>
      <c r="N864" s="0" t="s">
        <v>860</v>
      </c>
      <c r="O864" s="0" t="s">
        <v>3003</v>
      </c>
      <c r="P864" s="0" t="n">
        <v>1967</v>
      </c>
      <c r="Q864" s="0" t="s">
        <v>39</v>
      </c>
      <c r="R864" s="0" t="s">
        <v>3004</v>
      </c>
      <c r="S864" s="0" t="s">
        <v>3005</v>
      </c>
      <c r="V864" s="0" t="n">
        <v>1</v>
      </c>
      <c r="W864" s="0" t="n">
        <v>1</v>
      </c>
      <c r="X864" s="0" t="str">
        <f aca="false">"31811010747007"</f>
        <v>31811010747007</v>
      </c>
      <c r="Y864" s="0" t="s">
        <v>39</v>
      </c>
      <c r="Z864" s="0" t="s">
        <v>42</v>
      </c>
      <c r="AA864" s="0" t="s">
        <v>43</v>
      </c>
      <c r="AE864" s="1" t="s">
        <v>52</v>
      </c>
    </row>
    <row r="865" customFormat="false" ht="12.8" hidden="false" customHeight="false" outlineLevel="0" collapsed="false">
      <c r="A865" s="0" t="n">
        <v>524109</v>
      </c>
      <c r="B865" s="0" t="n">
        <v>561584</v>
      </c>
      <c r="C865" s="0" t="n">
        <v>634586</v>
      </c>
      <c r="D865" s="0" t="s">
        <v>35</v>
      </c>
      <c r="E865" s="0" t="s">
        <v>35</v>
      </c>
      <c r="F865" s="0" t="s">
        <v>36</v>
      </c>
      <c r="G865" s="0" t="s">
        <v>37</v>
      </c>
      <c r="H865" s="0" t="s">
        <v>3006</v>
      </c>
      <c r="I865" s="0" t="s">
        <v>3007</v>
      </c>
      <c r="J865" s="0" t="s">
        <v>3008</v>
      </c>
      <c r="M865" s="0" t="s">
        <v>3009</v>
      </c>
      <c r="N865" s="0" t="s">
        <v>3010</v>
      </c>
      <c r="O865" s="0" t="s">
        <v>3011</v>
      </c>
      <c r="P865" s="0" t="n">
        <v>1975</v>
      </c>
      <c r="Q865" s="0" t="s">
        <v>39</v>
      </c>
      <c r="R865" s="0" t="s">
        <v>3012</v>
      </c>
      <c r="S865" s="0" t="s">
        <v>3013</v>
      </c>
      <c r="V865" s="0" t="n">
        <v>1</v>
      </c>
      <c r="W865" s="0" t="n">
        <v>1</v>
      </c>
      <c r="X865" s="0" t="str">
        <f aca="false">"31811003180505"</f>
        <v>31811003180505</v>
      </c>
      <c r="Y865" s="0" t="s">
        <v>39</v>
      </c>
      <c r="Z865" s="0" t="s">
        <v>42</v>
      </c>
      <c r="AA865" s="0" t="s">
        <v>43</v>
      </c>
      <c r="AE865" s="1" t="s">
        <v>52</v>
      </c>
    </row>
    <row r="866" customFormat="false" ht="12.8" hidden="false" customHeight="false" outlineLevel="0" collapsed="false">
      <c r="A866" s="0" t="n">
        <v>339069</v>
      </c>
      <c r="B866" s="0" t="n">
        <v>367909</v>
      </c>
      <c r="C866" s="0" t="n">
        <v>409872</v>
      </c>
      <c r="D866" s="0" t="s">
        <v>35</v>
      </c>
      <c r="E866" s="0" t="s">
        <v>35</v>
      </c>
      <c r="F866" s="0" t="s">
        <v>36</v>
      </c>
      <c r="G866" s="0" t="s">
        <v>3014</v>
      </c>
      <c r="H866" s="0" t="s">
        <v>3015</v>
      </c>
      <c r="I866" s="0" t="s">
        <v>3016</v>
      </c>
      <c r="J866" s="0" t="s">
        <v>3015</v>
      </c>
      <c r="M866" s="0" t="s">
        <v>3017</v>
      </c>
      <c r="N866" s="0" t="s">
        <v>2591</v>
      </c>
      <c r="O866" s="0" t="s">
        <v>3018</v>
      </c>
      <c r="P866" s="0" t="n">
        <v>1931</v>
      </c>
      <c r="Q866" s="0" t="s">
        <v>39</v>
      </c>
      <c r="R866" s="0" t="s">
        <v>3019</v>
      </c>
      <c r="S866" s="0" t="s">
        <v>3020</v>
      </c>
      <c r="V866" s="0" t="n">
        <v>1</v>
      </c>
      <c r="W866" s="0" t="n">
        <v>1</v>
      </c>
      <c r="X866" s="0" t="str">
        <f aca="false">"31811010747635"</f>
        <v>31811010747635</v>
      </c>
      <c r="Y866" s="0" t="s">
        <v>39</v>
      </c>
      <c r="Z866" s="0" t="s">
        <v>42</v>
      </c>
      <c r="AA866" s="0" t="s">
        <v>43</v>
      </c>
      <c r="AE866" s="1" t="s">
        <v>52</v>
      </c>
    </row>
    <row r="867" customFormat="false" ht="12.8" hidden="false" customHeight="false" outlineLevel="0" collapsed="false">
      <c r="A867" s="0" t="n">
        <v>339117</v>
      </c>
      <c r="B867" s="0" t="n">
        <v>367957</v>
      </c>
      <c r="C867" s="0" t="n">
        <v>409921</v>
      </c>
      <c r="D867" s="0" t="s">
        <v>35</v>
      </c>
      <c r="E867" s="0" t="s">
        <v>35</v>
      </c>
      <c r="F867" s="0" t="s">
        <v>36</v>
      </c>
      <c r="G867" s="0" t="s">
        <v>500</v>
      </c>
      <c r="H867" s="0" t="s">
        <v>3021</v>
      </c>
      <c r="I867" s="0" t="s">
        <v>3022</v>
      </c>
      <c r="J867" s="0" t="s">
        <v>3021</v>
      </c>
      <c r="M867" s="0" t="s">
        <v>3023</v>
      </c>
      <c r="N867" s="0" t="n">
        <v>1947</v>
      </c>
      <c r="O867" s="0" t="s">
        <v>3024</v>
      </c>
      <c r="P867" s="0" t="n">
        <v>1947</v>
      </c>
      <c r="Q867" s="0" t="s">
        <v>39</v>
      </c>
      <c r="R867" s="0" t="s">
        <v>3025</v>
      </c>
      <c r="S867" s="0" t="s">
        <v>3026</v>
      </c>
      <c r="V867" s="0" t="n">
        <v>1</v>
      </c>
      <c r="W867" s="0" t="n">
        <v>1</v>
      </c>
      <c r="X867" s="0" t="str">
        <f aca="false">"31811010747627"</f>
        <v>31811010747627</v>
      </c>
      <c r="Y867" s="0" t="s">
        <v>39</v>
      </c>
      <c r="Z867" s="0" t="s">
        <v>42</v>
      </c>
      <c r="AA867" s="0" t="s">
        <v>43</v>
      </c>
      <c r="AE867" s="1" t="s">
        <v>52</v>
      </c>
    </row>
    <row r="868" customFormat="false" ht="12.8" hidden="false" customHeight="false" outlineLevel="0" collapsed="false">
      <c r="A868" s="0" t="n">
        <v>495465</v>
      </c>
      <c r="B868" s="0" t="n">
        <v>476570</v>
      </c>
      <c r="C868" s="0" t="n">
        <v>534062</v>
      </c>
      <c r="D868" s="0" t="s">
        <v>35</v>
      </c>
      <c r="E868" s="0" t="s">
        <v>35</v>
      </c>
      <c r="F868" s="0" t="s">
        <v>36</v>
      </c>
      <c r="G868" s="0" t="s">
        <v>3027</v>
      </c>
      <c r="H868" s="0" t="s">
        <v>3028</v>
      </c>
      <c r="J868" s="0" t="s">
        <v>3029</v>
      </c>
      <c r="M868" s="0" t="s">
        <v>3030</v>
      </c>
      <c r="N868" s="0" t="n">
        <v>1960</v>
      </c>
      <c r="P868" s="0" t="n">
        <v>1960</v>
      </c>
      <c r="Q868" s="0" t="s">
        <v>39</v>
      </c>
      <c r="R868" s="0" t="s">
        <v>3031</v>
      </c>
      <c r="S868" s="0" t="s">
        <v>3032</v>
      </c>
      <c r="V868" s="0" t="n">
        <v>1</v>
      </c>
      <c r="W868" s="0" t="n">
        <v>1</v>
      </c>
      <c r="X868" s="0" t="str">
        <f aca="false">"31811010747619"</f>
        <v>31811010747619</v>
      </c>
      <c r="Y868" s="0" t="s">
        <v>39</v>
      </c>
      <c r="Z868" s="0" t="s">
        <v>42</v>
      </c>
      <c r="AA868" s="0" t="s">
        <v>43</v>
      </c>
      <c r="AE868" s="1" t="s">
        <v>52</v>
      </c>
    </row>
    <row r="869" customFormat="false" ht="12.8" hidden="false" customHeight="false" outlineLevel="0" collapsed="false">
      <c r="A869" s="0" t="n">
        <v>115950</v>
      </c>
      <c r="B869" s="0" t="n">
        <v>124743</v>
      </c>
      <c r="C869" s="0" t="n">
        <v>138954</v>
      </c>
      <c r="D869" s="0" t="s">
        <v>35</v>
      </c>
      <c r="E869" s="0" t="s">
        <v>35</v>
      </c>
      <c r="F869" s="0" t="s">
        <v>36</v>
      </c>
      <c r="G869" s="0" t="s">
        <v>500</v>
      </c>
      <c r="H869" s="0" t="s">
        <v>3033</v>
      </c>
      <c r="I869" s="0" t="s">
        <v>3022</v>
      </c>
      <c r="J869" s="0" t="s">
        <v>3033</v>
      </c>
      <c r="M869" s="0" t="s">
        <v>3034</v>
      </c>
      <c r="N869" s="0" t="n">
        <v>1963</v>
      </c>
      <c r="O869" s="0" t="s">
        <v>3035</v>
      </c>
      <c r="P869" s="0" t="n">
        <v>1963</v>
      </c>
      <c r="Q869" s="0" t="s">
        <v>39</v>
      </c>
      <c r="R869" s="0" t="s">
        <v>3036</v>
      </c>
      <c r="S869" s="0" t="s">
        <v>3037</v>
      </c>
      <c r="T869" s="0" t="s">
        <v>51</v>
      </c>
      <c r="V869" s="0" t="n">
        <v>1</v>
      </c>
      <c r="W869" s="0" t="n">
        <v>1</v>
      </c>
      <c r="X869" s="0" t="str">
        <f aca="false">"31811010747684"</f>
        <v>31811010747684</v>
      </c>
      <c r="Y869" s="0" t="s">
        <v>39</v>
      </c>
      <c r="Z869" s="0" t="s">
        <v>42</v>
      </c>
      <c r="AA869" s="0" t="s">
        <v>43</v>
      </c>
      <c r="AE869" s="1" t="s">
        <v>52</v>
      </c>
    </row>
    <row r="870" customFormat="false" ht="12.8" hidden="false" customHeight="false" outlineLevel="0" collapsed="false">
      <c r="A870" s="0" t="n">
        <v>115950</v>
      </c>
      <c r="B870" s="0" t="n">
        <v>124743</v>
      </c>
      <c r="C870" s="0" t="n">
        <v>138955</v>
      </c>
      <c r="D870" s="0" t="s">
        <v>35</v>
      </c>
      <c r="E870" s="0" t="s">
        <v>35</v>
      </c>
      <c r="F870" s="0" t="s">
        <v>36</v>
      </c>
      <c r="G870" s="0" t="s">
        <v>500</v>
      </c>
      <c r="H870" s="0" t="s">
        <v>3033</v>
      </c>
      <c r="I870" s="0" t="s">
        <v>3022</v>
      </c>
      <c r="J870" s="0" t="s">
        <v>3033</v>
      </c>
      <c r="M870" s="0" t="s">
        <v>3034</v>
      </c>
      <c r="N870" s="0" t="n">
        <v>1963</v>
      </c>
      <c r="O870" s="0" t="s">
        <v>3035</v>
      </c>
      <c r="P870" s="0" t="n">
        <v>1963</v>
      </c>
      <c r="Q870" s="0" t="s">
        <v>39</v>
      </c>
      <c r="R870" s="0" t="s">
        <v>3036</v>
      </c>
      <c r="S870" s="0" t="s">
        <v>3037</v>
      </c>
      <c r="T870" s="0" t="s">
        <v>53</v>
      </c>
      <c r="V870" s="0" t="n">
        <v>1</v>
      </c>
      <c r="W870" s="0" t="n">
        <v>1</v>
      </c>
      <c r="X870" s="0" t="str">
        <f aca="false">"31811010747676"</f>
        <v>31811010747676</v>
      </c>
      <c r="Y870" s="0" t="s">
        <v>39</v>
      </c>
      <c r="Z870" s="0" t="s">
        <v>42</v>
      </c>
      <c r="AA870" s="0" t="s">
        <v>43</v>
      </c>
      <c r="AE870" s="1" t="s">
        <v>52</v>
      </c>
    </row>
    <row r="871" customFormat="false" ht="12.8" hidden="false" customHeight="false" outlineLevel="0" collapsed="false">
      <c r="A871" s="0" t="n">
        <v>31176</v>
      </c>
      <c r="B871" s="0" t="n">
        <v>34178</v>
      </c>
      <c r="C871" s="0" t="n">
        <v>38202</v>
      </c>
      <c r="D871" s="0" t="s">
        <v>35</v>
      </c>
      <c r="E871" s="0" t="s">
        <v>35</v>
      </c>
      <c r="F871" s="0" t="s">
        <v>480</v>
      </c>
      <c r="G871" s="0" t="s">
        <v>37</v>
      </c>
      <c r="H871" s="0" t="s">
        <v>3038</v>
      </c>
      <c r="J871" s="0" t="s">
        <v>3038</v>
      </c>
      <c r="M871" s="0" t="s">
        <v>3039</v>
      </c>
      <c r="N871" s="1" t="s">
        <v>3040</v>
      </c>
      <c r="O871" s="0" t="s">
        <v>3041</v>
      </c>
      <c r="Q871" s="0" t="s">
        <v>39</v>
      </c>
      <c r="R871" s="0" t="s">
        <v>3042</v>
      </c>
      <c r="S871" s="0" t="s">
        <v>3043</v>
      </c>
      <c r="T871" s="0" t="s">
        <v>3044</v>
      </c>
      <c r="V871" s="0" t="n">
        <v>1</v>
      </c>
      <c r="W871" s="0" t="n">
        <v>1</v>
      </c>
      <c r="X871" s="0" t="str">
        <f aca="false">"31811012019405"</f>
        <v>31811012019405</v>
      </c>
      <c r="Y871" s="0" t="s">
        <v>39</v>
      </c>
      <c r="Z871" s="0" t="s">
        <v>42</v>
      </c>
      <c r="AA871" s="0" t="s">
        <v>43</v>
      </c>
      <c r="AE871" s="1" t="s">
        <v>52</v>
      </c>
    </row>
    <row r="872" customFormat="false" ht="12.8" hidden="false" customHeight="false" outlineLevel="0" collapsed="false">
      <c r="A872" s="0" t="n">
        <v>31176</v>
      </c>
      <c r="B872" s="0" t="n">
        <v>34178</v>
      </c>
      <c r="C872" s="0" t="n">
        <v>38203</v>
      </c>
      <c r="D872" s="0" t="s">
        <v>35</v>
      </c>
      <c r="E872" s="0" t="s">
        <v>35</v>
      </c>
      <c r="F872" s="0" t="s">
        <v>480</v>
      </c>
      <c r="G872" s="0" t="s">
        <v>37</v>
      </c>
      <c r="H872" s="0" t="s">
        <v>3038</v>
      </c>
      <c r="J872" s="0" t="s">
        <v>3038</v>
      </c>
      <c r="M872" s="0" t="s">
        <v>3039</v>
      </c>
      <c r="N872" s="1" t="s">
        <v>3040</v>
      </c>
      <c r="O872" s="0" t="s">
        <v>3041</v>
      </c>
      <c r="Q872" s="0" t="s">
        <v>39</v>
      </c>
      <c r="R872" s="0" t="s">
        <v>3042</v>
      </c>
      <c r="S872" s="0" t="s">
        <v>3043</v>
      </c>
      <c r="T872" s="0" t="s">
        <v>3045</v>
      </c>
      <c r="V872" s="0" t="n">
        <v>1</v>
      </c>
      <c r="W872" s="0" t="n">
        <v>1</v>
      </c>
      <c r="X872" s="0" t="str">
        <f aca="false">"31811012019488"</f>
        <v>31811012019488</v>
      </c>
      <c r="Y872" s="0" t="s">
        <v>39</v>
      </c>
      <c r="Z872" s="0" t="s">
        <v>42</v>
      </c>
      <c r="AA872" s="0" t="s">
        <v>43</v>
      </c>
      <c r="AE872" s="1" t="s">
        <v>52</v>
      </c>
    </row>
    <row r="873" customFormat="false" ht="12.8" hidden="false" customHeight="false" outlineLevel="0" collapsed="false">
      <c r="A873" s="0" t="n">
        <v>31176</v>
      </c>
      <c r="B873" s="0" t="n">
        <v>34178</v>
      </c>
      <c r="C873" s="0" t="n">
        <v>38204</v>
      </c>
      <c r="D873" s="0" t="s">
        <v>35</v>
      </c>
      <c r="E873" s="0" t="s">
        <v>35</v>
      </c>
      <c r="F873" s="0" t="s">
        <v>480</v>
      </c>
      <c r="G873" s="0" t="s">
        <v>37</v>
      </c>
      <c r="H873" s="0" t="s">
        <v>3038</v>
      </c>
      <c r="J873" s="0" t="s">
        <v>3038</v>
      </c>
      <c r="M873" s="0" t="s">
        <v>3039</v>
      </c>
      <c r="N873" s="1" t="s">
        <v>3040</v>
      </c>
      <c r="O873" s="0" t="s">
        <v>3041</v>
      </c>
      <c r="Q873" s="0" t="s">
        <v>39</v>
      </c>
      <c r="R873" s="0" t="s">
        <v>3042</v>
      </c>
      <c r="S873" s="0" t="s">
        <v>3043</v>
      </c>
      <c r="T873" s="0" t="s">
        <v>3046</v>
      </c>
      <c r="V873" s="0" t="n">
        <v>1</v>
      </c>
      <c r="W873" s="0" t="n">
        <v>1</v>
      </c>
      <c r="X873" s="0" t="str">
        <f aca="false">"31811012019363"</f>
        <v>31811012019363</v>
      </c>
      <c r="Y873" s="0" t="s">
        <v>39</v>
      </c>
      <c r="Z873" s="0" t="s">
        <v>42</v>
      </c>
      <c r="AA873" s="0" t="s">
        <v>43</v>
      </c>
      <c r="AE873" s="1" t="s">
        <v>52</v>
      </c>
    </row>
    <row r="874" customFormat="false" ht="12.8" hidden="false" customHeight="false" outlineLevel="0" collapsed="false">
      <c r="A874" s="0" t="n">
        <v>31176</v>
      </c>
      <c r="B874" s="0" t="n">
        <v>34179</v>
      </c>
      <c r="C874" s="0" t="n">
        <v>38205</v>
      </c>
      <c r="D874" s="0" t="s">
        <v>35</v>
      </c>
      <c r="E874" s="0" t="s">
        <v>35</v>
      </c>
      <c r="F874" s="0" t="s">
        <v>480</v>
      </c>
      <c r="G874" s="0" t="s">
        <v>37</v>
      </c>
      <c r="H874" s="0" t="s">
        <v>3038</v>
      </c>
      <c r="J874" s="0" t="s">
        <v>3038</v>
      </c>
      <c r="M874" s="0" t="s">
        <v>3039</v>
      </c>
      <c r="N874" s="1" t="s">
        <v>3040</v>
      </c>
      <c r="O874" s="0" t="s">
        <v>3041</v>
      </c>
      <c r="Q874" s="0" t="s">
        <v>39</v>
      </c>
      <c r="R874" s="0" t="s">
        <v>3042</v>
      </c>
      <c r="S874" s="0" t="s">
        <v>3043</v>
      </c>
      <c r="T874" s="0" t="s">
        <v>3045</v>
      </c>
      <c r="V874" s="0" t="n">
        <v>2</v>
      </c>
      <c r="W874" s="0" t="n">
        <v>1</v>
      </c>
      <c r="X874" s="0" t="str">
        <f aca="false">"31811012019447"</f>
        <v>31811012019447</v>
      </c>
      <c r="Y874" s="0" t="s">
        <v>39</v>
      </c>
      <c r="Z874" s="0" t="s">
        <v>42</v>
      </c>
      <c r="AA874" s="0" t="s">
        <v>43</v>
      </c>
      <c r="AE874" s="1" t="s">
        <v>52</v>
      </c>
    </row>
    <row r="875" customFormat="false" ht="12.8" hidden="false" customHeight="false" outlineLevel="0" collapsed="false">
      <c r="A875" s="0" t="n">
        <v>469926</v>
      </c>
      <c r="B875" s="0" t="n">
        <v>501944</v>
      </c>
      <c r="C875" s="0" t="n">
        <v>563635</v>
      </c>
      <c r="D875" s="0" t="s">
        <v>35</v>
      </c>
      <c r="E875" s="0" t="s">
        <v>35</v>
      </c>
      <c r="F875" s="0" t="s">
        <v>36</v>
      </c>
      <c r="G875" s="0" t="s">
        <v>481</v>
      </c>
      <c r="H875" s="0" t="s">
        <v>3047</v>
      </c>
      <c r="I875" s="0" t="s">
        <v>3048</v>
      </c>
      <c r="J875" s="0" t="s">
        <v>3049</v>
      </c>
      <c r="M875" s="0" t="s">
        <v>3050</v>
      </c>
      <c r="N875" s="0" t="s">
        <v>3051</v>
      </c>
      <c r="O875" s="0" t="s">
        <v>3052</v>
      </c>
      <c r="P875" s="0" t="n">
        <v>1972</v>
      </c>
      <c r="Q875" s="0" t="s">
        <v>39</v>
      </c>
      <c r="R875" s="0" t="s">
        <v>3053</v>
      </c>
      <c r="S875" s="0" t="s">
        <v>3054</v>
      </c>
      <c r="V875" s="0" t="n">
        <v>1</v>
      </c>
      <c r="W875" s="0" t="n">
        <v>1</v>
      </c>
      <c r="X875" s="0" t="str">
        <f aca="false">"31811010747668"</f>
        <v>31811010747668</v>
      </c>
      <c r="Y875" s="0" t="s">
        <v>39</v>
      </c>
      <c r="Z875" s="0" t="s">
        <v>42</v>
      </c>
      <c r="AA875" s="0" t="s">
        <v>43</v>
      </c>
      <c r="AE875" s="1" t="s">
        <v>52</v>
      </c>
    </row>
    <row r="876" customFormat="false" ht="12.8" hidden="false" customHeight="false" outlineLevel="0" collapsed="false">
      <c r="A876" s="0" t="n">
        <v>85748</v>
      </c>
      <c r="B876" s="0" t="n">
        <v>92791</v>
      </c>
      <c r="C876" s="0" t="n">
        <v>104111</v>
      </c>
      <c r="D876" s="0" t="s">
        <v>35</v>
      </c>
      <c r="E876" s="0" t="s">
        <v>35</v>
      </c>
      <c r="F876" s="0" t="s">
        <v>36</v>
      </c>
      <c r="G876" s="0" t="s">
        <v>481</v>
      </c>
      <c r="H876" s="0" t="s">
        <v>3055</v>
      </c>
      <c r="I876" s="0" t="s">
        <v>3056</v>
      </c>
      <c r="J876" s="0" t="s">
        <v>3055</v>
      </c>
      <c r="M876" s="0" t="s">
        <v>3057</v>
      </c>
      <c r="N876" s="0" t="n">
        <v>1929</v>
      </c>
      <c r="O876" s="0" t="s">
        <v>3058</v>
      </c>
      <c r="P876" s="0" t="n">
        <v>1929</v>
      </c>
      <c r="Q876" s="0" t="s">
        <v>39</v>
      </c>
      <c r="R876" s="0" t="s">
        <v>3059</v>
      </c>
      <c r="S876" s="0" t="s">
        <v>3060</v>
      </c>
      <c r="T876" s="0" t="s">
        <v>3061</v>
      </c>
      <c r="V876" s="0" t="n">
        <v>1</v>
      </c>
      <c r="W876" s="0" t="n">
        <v>1</v>
      </c>
      <c r="X876" s="0" t="str">
        <f aca="false">"31811012022284"</f>
        <v>31811012022284</v>
      </c>
      <c r="Y876" s="0" t="s">
        <v>39</v>
      </c>
      <c r="Z876" s="0" t="s">
        <v>42</v>
      </c>
      <c r="AA876" s="0" t="s">
        <v>43</v>
      </c>
      <c r="AE876" s="1" t="s">
        <v>52</v>
      </c>
    </row>
    <row r="877" customFormat="false" ht="12.8" hidden="false" customHeight="false" outlineLevel="0" collapsed="false">
      <c r="A877" s="0" t="n">
        <v>85748</v>
      </c>
      <c r="B877" s="0" t="n">
        <v>92791</v>
      </c>
      <c r="C877" s="0" t="n">
        <v>104112</v>
      </c>
      <c r="D877" s="0" t="s">
        <v>35</v>
      </c>
      <c r="E877" s="0" t="s">
        <v>35</v>
      </c>
      <c r="F877" s="0" t="s">
        <v>36</v>
      </c>
      <c r="G877" s="0" t="s">
        <v>481</v>
      </c>
      <c r="H877" s="0" t="s">
        <v>3055</v>
      </c>
      <c r="I877" s="0" t="s">
        <v>3056</v>
      </c>
      <c r="J877" s="0" t="s">
        <v>3055</v>
      </c>
      <c r="M877" s="0" t="s">
        <v>3057</v>
      </c>
      <c r="N877" s="0" t="n">
        <v>1929</v>
      </c>
      <c r="O877" s="0" t="s">
        <v>3058</v>
      </c>
      <c r="P877" s="0" t="n">
        <v>1929</v>
      </c>
      <c r="Q877" s="0" t="s">
        <v>39</v>
      </c>
      <c r="R877" s="0" t="s">
        <v>3059</v>
      </c>
      <c r="S877" s="0" t="s">
        <v>3060</v>
      </c>
      <c r="T877" s="0" t="s">
        <v>3062</v>
      </c>
      <c r="V877" s="0" t="n">
        <v>1</v>
      </c>
      <c r="W877" s="0" t="n">
        <v>1</v>
      </c>
      <c r="X877" s="0" t="str">
        <f aca="false">"31811012022581"</f>
        <v>31811012022581</v>
      </c>
      <c r="Y877" s="0" t="s">
        <v>39</v>
      </c>
      <c r="Z877" s="0" t="s">
        <v>42</v>
      </c>
      <c r="AA877" s="0" t="s">
        <v>43</v>
      </c>
      <c r="AE877" s="1" t="s">
        <v>52</v>
      </c>
    </row>
    <row r="878" customFormat="false" ht="12.8" hidden="false" customHeight="false" outlineLevel="0" collapsed="false">
      <c r="A878" s="0" t="n">
        <v>85748</v>
      </c>
      <c r="B878" s="0" t="n">
        <v>92791</v>
      </c>
      <c r="C878" s="0" t="n">
        <v>104113</v>
      </c>
      <c r="D878" s="0" t="s">
        <v>35</v>
      </c>
      <c r="E878" s="0" t="s">
        <v>35</v>
      </c>
      <c r="F878" s="0" t="s">
        <v>36</v>
      </c>
      <c r="G878" s="0" t="s">
        <v>481</v>
      </c>
      <c r="H878" s="0" t="s">
        <v>3055</v>
      </c>
      <c r="I878" s="0" t="s">
        <v>3056</v>
      </c>
      <c r="J878" s="0" t="s">
        <v>3055</v>
      </c>
      <c r="M878" s="0" t="s">
        <v>3057</v>
      </c>
      <c r="N878" s="0" t="n">
        <v>1929</v>
      </c>
      <c r="O878" s="0" t="s">
        <v>3058</v>
      </c>
      <c r="P878" s="0" t="n">
        <v>1929</v>
      </c>
      <c r="Q878" s="0" t="s">
        <v>39</v>
      </c>
      <c r="R878" s="0" t="s">
        <v>3059</v>
      </c>
      <c r="S878" s="0" t="s">
        <v>3060</v>
      </c>
      <c r="T878" s="0" t="s">
        <v>3063</v>
      </c>
      <c r="V878" s="0" t="n">
        <v>1</v>
      </c>
      <c r="W878" s="0" t="n">
        <v>1</v>
      </c>
      <c r="X878" s="0" t="str">
        <f aca="false">"31811012022573"</f>
        <v>31811012022573</v>
      </c>
      <c r="Y878" s="0" t="s">
        <v>39</v>
      </c>
      <c r="Z878" s="0" t="s">
        <v>42</v>
      </c>
      <c r="AA878" s="0" t="s">
        <v>43</v>
      </c>
      <c r="AE878" s="1" t="s">
        <v>52</v>
      </c>
    </row>
    <row r="879" customFormat="false" ht="12.8" hidden="false" customHeight="false" outlineLevel="0" collapsed="false">
      <c r="A879" s="0" t="n">
        <v>509680</v>
      </c>
      <c r="B879" s="0" t="n">
        <v>546585</v>
      </c>
      <c r="C879" s="0" t="n">
        <v>616305</v>
      </c>
      <c r="D879" s="0" t="s">
        <v>35</v>
      </c>
      <c r="E879" s="0" t="s">
        <v>35</v>
      </c>
      <c r="F879" s="0" t="s">
        <v>480</v>
      </c>
      <c r="G879" s="0" t="s">
        <v>481</v>
      </c>
      <c r="H879" s="0" t="s">
        <v>3064</v>
      </c>
      <c r="I879" s="0" t="s">
        <v>3065</v>
      </c>
      <c r="J879" s="0" t="s">
        <v>3066</v>
      </c>
      <c r="M879" s="0" t="s">
        <v>3067</v>
      </c>
      <c r="N879" s="1" t="s">
        <v>3068</v>
      </c>
      <c r="O879" s="0" t="s">
        <v>3069</v>
      </c>
      <c r="P879" s="0" t="n">
        <v>1851</v>
      </c>
      <c r="Q879" s="0" t="s">
        <v>39</v>
      </c>
      <c r="R879" s="0" t="s">
        <v>3070</v>
      </c>
      <c r="S879" s="0" t="s">
        <v>3071</v>
      </c>
      <c r="T879" s="0" t="s">
        <v>3072</v>
      </c>
      <c r="V879" s="0" t="n">
        <v>1</v>
      </c>
      <c r="W879" s="0" t="n">
        <v>1</v>
      </c>
      <c r="X879" s="0" t="str">
        <f aca="false">"31811010747858"</f>
        <v>31811010747858</v>
      </c>
      <c r="Y879" s="0" t="s">
        <v>39</v>
      </c>
      <c r="Z879" s="0" t="s">
        <v>42</v>
      </c>
      <c r="AA879" s="0" t="s">
        <v>43</v>
      </c>
      <c r="AE879" s="1" t="s">
        <v>52</v>
      </c>
    </row>
    <row r="880" customFormat="false" ht="12.8" hidden="false" customHeight="false" outlineLevel="0" collapsed="false">
      <c r="A880" s="0" t="n">
        <v>509680</v>
      </c>
      <c r="B880" s="0" t="n">
        <v>546585</v>
      </c>
      <c r="C880" s="0" t="n">
        <v>616306</v>
      </c>
      <c r="D880" s="0" t="s">
        <v>35</v>
      </c>
      <c r="E880" s="0" t="s">
        <v>35</v>
      </c>
      <c r="F880" s="0" t="s">
        <v>480</v>
      </c>
      <c r="G880" s="0" t="s">
        <v>481</v>
      </c>
      <c r="H880" s="0" t="s">
        <v>3064</v>
      </c>
      <c r="I880" s="0" t="s">
        <v>3065</v>
      </c>
      <c r="J880" s="0" t="s">
        <v>3066</v>
      </c>
      <c r="M880" s="0" t="s">
        <v>3067</v>
      </c>
      <c r="N880" s="1" t="s">
        <v>3068</v>
      </c>
      <c r="O880" s="0" t="s">
        <v>3069</v>
      </c>
      <c r="P880" s="0" t="n">
        <v>1851</v>
      </c>
      <c r="Q880" s="0" t="s">
        <v>39</v>
      </c>
      <c r="R880" s="0" t="s">
        <v>3070</v>
      </c>
      <c r="S880" s="0" t="s">
        <v>3071</v>
      </c>
      <c r="T880" s="0" t="s">
        <v>3073</v>
      </c>
      <c r="V880" s="0" t="n">
        <v>1</v>
      </c>
      <c r="W880" s="0" t="n">
        <v>1</v>
      </c>
      <c r="X880" s="0" t="str">
        <f aca="false">"31811010747866"</f>
        <v>31811010747866</v>
      </c>
      <c r="Y880" s="0" t="s">
        <v>39</v>
      </c>
      <c r="Z880" s="0" t="s">
        <v>42</v>
      </c>
      <c r="AA880" s="0" t="s">
        <v>43</v>
      </c>
      <c r="AE880" s="1" t="s">
        <v>52</v>
      </c>
    </row>
    <row r="881" customFormat="false" ht="12.8" hidden="false" customHeight="false" outlineLevel="0" collapsed="false">
      <c r="A881" s="0" t="n">
        <v>509680</v>
      </c>
      <c r="B881" s="0" t="n">
        <v>546585</v>
      </c>
      <c r="C881" s="0" t="n">
        <v>616307</v>
      </c>
      <c r="D881" s="0" t="s">
        <v>35</v>
      </c>
      <c r="E881" s="0" t="s">
        <v>35</v>
      </c>
      <c r="F881" s="0" t="s">
        <v>480</v>
      </c>
      <c r="G881" s="0" t="s">
        <v>481</v>
      </c>
      <c r="H881" s="0" t="s">
        <v>3064</v>
      </c>
      <c r="I881" s="0" t="s">
        <v>3065</v>
      </c>
      <c r="J881" s="0" t="s">
        <v>3066</v>
      </c>
      <c r="M881" s="0" t="s">
        <v>3067</v>
      </c>
      <c r="N881" s="1" t="s">
        <v>3068</v>
      </c>
      <c r="O881" s="0" t="s">
        <v>3069</v>
      </c>
      <c r="P881" s="0" t="n">
        <v>1851</v>
      </c>
      <c r="Q881" s="0" t="s">
        <v>39</v>
      </c>
      <c r="R881" s="0" t="s">
        <v>3070</v>
      </c>
      <c r="S881" s="0" t="s">
        <v>3071</v>
      </c>
      <c r="T881" s="0" t="s">
        <v>3074</v>
      </c>
      <c r="V881" s="0" t="n">
        <v>1</v>
      </c>
      <c r="W881" s="0" t="n">
        <v>1</v>
      </c>
      <c r="X881" s="0" t="str">
        <f aca="false">"31811010747874"</f>
        <v>31811010747874</v>
      </c>
      <c r="Y881" s="0" t="s">
        <v>39</v>
      </c>
      <c r="Z881" s="0" t="s">
        <v>42</v>
      </c>
      <c r="AA881" s="0" t="s">
        <v>43</v>
      </c>
      <c r="AE881" s="1" t="s">
        <v>52</v>
      </c>
    </row>
    <row r="882" customFormat="false" ht="12.8" hidden="false" customHeight="false" outlineLevel="0" collapsed="false">
      <c r="A882" s="0" t="n">
        <v>509680</v>
      </c>
      <c r="B882" s="0" t="n">
        <v>546585</v>
      </c>
      <c r="C882" s="0" t="n">
        <v>616308</v>
      </c>
      <c r="D882" s="0" t="s">
        <v>35</v>
      </c>
      <c r="E882" s="0" t="s">
        <v>35</v>
      </c>
      <c r="F882" s="0" t="s">
        <v>480</v>
      </c>
      <c r="G882" s="0" t="s">
        <v>481</v>
      </c>
      <c r="H882" s="0" t="s">
        <v>3064</v>
      </c>
      <c r="I882" s="0" t="s">
        <v>3065</v>
      </c>
      <c r="J882" s="0" t="s">
        <v>3066</v>
      </c>
      <c r="M882" s="0" t="s">
        <v>3067</v>
      </c>
      <c r="N882" s="1" t="s">
        <v>3068</v>
      </c>
      <c r="O882" s="0" t="s">
        <v>3069</v>
      </c>
      <c r="P882" s="0" t="n">
        <v>1851</v>
      </c>
      <c r="Q882" s="0" t="s">
        <v>39</v>
      </c>
      <c r="R882" s="0" t="s">
        <v>3070</v>
      </c>
      <c r="S882" s="0" t="s">
        <v>3071</v>
      </c>
      <c r="T882" s="0" t="s">
        <v>3075</v>
      </c>
      <c r="V882" s="0" t="n">
        <v>1</v>
      </c>
      <c r="W882" s="0" t="n">
        <v>1</v>
      </c>
      <c r="X882" s="0" t="str">
        <f aca="false">"31811010747882"</f>
        <v>31811010747882</v>
      </c>
      <c r="Y882" s="0" t="s">
        <v>39</v>
      </c>
      <c r="Z882" s="0" t="s">
        <v>42</v>
      </c>
      <c r="AA882" s="0" t="s">
        <v>43</v>
      </c>
      <c r="AE882" s="1" t="s">
        <v>52</v>
      </c>
    </row>
    <row r="883" customFormat="false" ht="12.8" hidden="false" customHeight="false" outlineLevel="0" collapsed="false">
      <c r="A883" s="0" t="n">
        <v>509680</v>
      </c>
      <c r="B883" s="0" t="n">
        <v>546585</v>
      </c>
      <c r="C883" s="0" t="n">
        <v>616309</v>
      </c>
      <c r="D883" s="0" t="s">
        <v>35</v>
      </c>
      <c r="E883" s="0" t="s">
        <v>35</v>
      </c>
      <c r="F883" s="0" t="s">
        <v>480</v>
      </c>
      <c r="G883" s="0" t="s">
        <v>481</v>
      </c>
      <c r="H883" s="0" t="s">
        <v>3064</v>
      </c>
      <c r="I883" s="0" t="s">
        <v>3065</v>
      </c>
      <c r="J883" s="0" t="s">
        <v>3066</v>
      </c>
      <c r="M883" s="0" t="s">
        <v>3067</v>
      </c>
      <c r="N883" s="1" t="s">
        <v>3068</v>
      </c>
      <c r="O883" s="0" t="s">
        <v>3069</v>
      </c>
      <c r="P883" s="0" t="n">
        <v>1851</v>
      </c>
      <c r="Q883" s="0" t="s">
        <v>39</v>
      </c>
      <c r="R883" s="0" t="s">
        <v>3070</v>
      </c>
      <c r="S883" s="0" t="s">
        <v>3071</v>
      </c>
      <c r="T883" s="0" t="s">
        <v>3076</v>
      </c>
      <c r="V883" s="0" t="n">
        <v>1</v>
      </c>
      <c r="W883" s="0" t="n">
        <v>1</v>
      </c>
      <c r="X883" s="0" t="str">
        <f aca="false">"31811010747890"</f>
        <v>31811010747890</v>
      </c>
      <c r="Y883" s="0" t="s">
        <v>39</v>
      </c>
      <c r="Z883" s="0" t="s">
        <v>42</v>
      </c>
      <c r="AA883" s="0" t="s">
        <v>43</v>
      </c>
      <c r="AE883" s="1" t="s">
        <v>52</v>
      </c>
    </row>
    <row r="884" customFormat="false" ht="12.8" hidden="false" customHeight="false" outlineLevel="0" collapsed="false">
      <c r="A884" s="0" t="n">
        <v>509680</v>
      </c>
      <c r="B884" s="0" t="n">
        <v>546585</v>
      </c>
      <c r="C884" s="0" t="n">
        <v>616310</v>
      </c>
      <c r="D884" s="0" t="s">
        <v>35</v>
      </c>
      <c r="E884" s="0" t="s">
        <v>35</v>
      </c>
      <c r="F884" s="0" t="s">
        <v>480</v>
      </c>
      <c r="G884" s="0" t="s">
        <v>481</v>
      </c>
      <c r="H884" s="0" t="s">
        <v>3064</v>
      </c>
      <c r="I884" s="0" t="s">
        <v>3065</v>
      </c>
      <c r="J884" s="0" t="s">
        <v>3066</v>
      </c>
      <c r="M884" s="0" t="s">
        <v>3067</v>
      </c>
      <c r="N884" s="1" t="s">
        <v>3068</v>
      </c>
      <c r="O884" s="0" t="s">
        <v>3069</v>
      </c>
      <c r="P884" s="0" t="n">
        <v>1851</v>
      </c>
      <c r="Q884" s="0" t="s">
        <v>39</v>
      </c>
      <c r="R884" s="0" t="s">
        <v>3070</v>
      </c>
      <c r="S884" s="0" t="s">
        <v>3071</v>
      </c>
      <c r="T884" s="0" t="s">
        <v>3077</v>
      </c>
      <c r="V884" s="0" t="n">
        <v>1</v>
      </c>
      <c r="W884" s="0" t="n">
        <v>1</v>
      </c>
      <c r="X884" s="0" t="str">
        <f aca="false">"31811010747908"</f>
        <v>31811010747908</v>
      </c>
      <c r="Y884" s="0" t="s">
        <v>39</v>
      </c>
      <c r="Z884" s="0" t="s">
        <v>42</v>
      </c>
      <c r="AA884" s="0" t="s">
        <v>43</v>
      </c>
      <c r="AE884" s="1" t="s">
        <v>52</v>
      </c>
    </row>
    <row r="885" customFormat="false" ht="12.8" hidden="false" customHeight="false" outlineLevel="0" collapsed="false">
      <c r="A885" s="0" t="n">
        <v>509680</v>
      </c>
      <c r="B885" s="0" t="n">
        <v>546585</v>
      </c>
      <c r="C885" s="0" t="n">
        <v>616311</v>
      </c>
      <c r="D885" s="0" t="s">
        <v>35</v>
      </c>
      <c r="E885" s="0" t="s">
        <v>35</v>
      </c>
      <c r="F885" s="0" t="s">
        <v>480</v>
      </c>
      <c r="G885" s="0" t="s">
        <v>481</v>
      </c>
      <c r="H885" s="0" t="s">
        <v>3064</v>
      </c>
      <c r="I885" s="0" t="s">
        <v>3065</v>
      </c>
      <c r="J885" s="0" t="s">
        <v>3066</v>
      </c>
      <c r="M885" s="0" t="s">
        <v>3067</v>
      </c>
      <c r="N885" s="1" t="s">
        <v>3068</v>
      </c>
      <c r="O885" s="0" t="s">
        <v>3069</v>
      </c>
      <c r="P885" s="0" t="n">
        <v>1851</v>
      </c>
      <c r="Q885" s="0" t="s">
        <v>39</v>
      </c>
      <c r="R885" s="0" t="s">
        <v>3070</v>
      </c>
      <c r="S885" s="0" t="s">
        <v>3071</v>
      </c>
      <c r="T885" s="0" t="s">
        <v>3078</v>
      </c>
      <c r="V885" s="0" t="n">
        <v>1</v>
      </c>
      <c r="W885" s="0" t="n">
        <v>1</v>
      </c>
      <c r="X885" s="0" t="str">
        <f aca="false">"31811010747916"</f>
        <v>31811010747916</v>
      </c>
      <c r="Y885" s="0" t="s">
        <v>39</v>
      </c>
      <c r="Z885" s="0" t="s">
        <v>42</v>
      </c>
      <c r="AA885" s="0" t="s">
        <v>43</v>
      </c>
      <c r="AE885" s="1" t="s">
        <v>52</v>
      </c>
    </row>
    <row r="886" customFormat="false" ht="12.8" hidden="false" customHeight="false" outlineLevel="0" collapsed="false">
      <c r="A886" s="0" t="n">
        <v>509680</v>
      </c>
      <c r="B886" s="0" t="n">
        <v>546585</v>
      </c>
      <c r="C886" s="0" t="n">
        <v>616312</v>
      </c>
      <c r="D886" s="0" t="s">
        <v>35</v>
      </c>
      <c r="E886" s="0" t="s">
        <v>35</v>
      </c>
      <c r="F886" s="0" t="s">
        <v>480</v>
      </c>
      <c r="G886" s="0" t="s">
        <v>481</v>
      </c>
      <c r="H886" s="0" t="s">
        <v>3064</v>
      </c>
      <c r="I886" s="0" t="s">
        <v>3065</v>
      </c>
      <c r="J886" s="0" t="s">
        <v>3066</v>
      </c>
      <c r="M886" s="0" t="s">
        <v>3067</v>
      </c>
      <c r="N886" s="1" t="s">
        <v>3068</v>
      </c>
      <c r="O886" s="0" t="s">
        <v>3069</v>
      </c>
      <c r="P886" s="0" t="n">
        <v>1851</v>
      </c>
      <c r="Q886" s="0" t="s">
        <v>39</v>
      </c>
      <c r="R886" s="0" t="s">
        <v>3070</v>
      </c>
      <c r="S886" s="0" t="s">
        <v>3071</v>
      </c>
      <c r="T886" s="0" t="s">
        <v>3079</v>
      </c>
      <c r="V886" s="0" t="n">
        <v>1</v>
      </c>
      <c r="W886" s="0" t="n">
        <v>1</v>
      </c>
      <c r="X886" s="0" t="str">
        <f aca="false">"31811010747924"</f>
        <v>31811010747924</v>
      </c>
      <c r="Y886" s="0" t="s">
        <v>39</v>
      </c>
      <c r="Z886" s="0" t="s">
        <v>42</v>
      </c>
      <c r="AA886" s="0" t="s">
        <v>43</v>
      </c>
      <c r="AE886" s="1" t="s">
        <v>52</v>
      </c>
    </row>
    <row r="887" customFormat="false" ht="12.8" hidden="false" customHeight="false" outlineLevel="0" collapsed="false">
      <c r="A887" s="0" t="n">
        <v>509680</v>
      </c>
      <c r="B887" s="0" t="n">
        <v>546585</v>
      </c>
      <c r="C887" s="0" t="n">
        <v>616313</v>
      </c>
      <c r="D887" s="0" t="s">
        <v>35</v>
      </c>
      <c r="E887" s="0" t="s">
        <v>35</v>
      </c>
      <c r="F887" s="0" t="s">
        <v>480</v>
      </c>
      <c r="G887" s="0" t="s">
        <v>481</v>
      </c>
      <c r="H887" s="0" t="s">
        <v>3064</v>
      </c>
      <c r="I887" s="0" t="s">
        <v>3065</v>
      </c>
      <c r="J887" s="0" t="s">
        <v>3066</v>
      </c>
      <c r="M887" s="0" t="s">
        <v>3067</v>
      </c>
      <c r="N887" s="1" t="s">
        <v>3068</v>
      </c>
      <c r="O887" s="0" t="s">
        <v>3069</v>
      </c>
      <c r="P887" s="0" t="n">
        <v>1851</v>
      </c>
      <c r="Q887" s="0" t="s">
        <v>39</v>
      </c>
      <c r="R887" s="0" t="s">
        <v>3070</v>
      </c>
      <c r="S887" s="0" t="s">
        <v>3071</v>
      </c>
      <c r="T887" s="0" t="s">
        <v>3080</v>
      </c>
      <c r="V887" s="0" t="n">
        <v>1</v>
      </c>
      <c r="W887" s="0" t="n">
        <v>1</v>
      </c>
      <c r="X887" s="0" t="str">
        <f aca="false">"31811010747742"</f>
        <v>31811010747742</v>
      </c>
      <c r="Y887" s="0" t="s">
        <v>39</v>
      </c>
      <c r="Z887" s="0" t="s">
        <v>42</v>
      </c>
      <c r="AA887" s="0" t="s">
        <v>43</v>
      </c>
      <c r="AE887" s="1" t="s">
        <v>52</v>
      </c>
    </row>
    <row r="888" customFormat="false" ht="12.8" hidden="false" customHeight="false" outlineLevel="0" collapsed="false">
      <c r="A888" s="0" t="n">
        <v>509680</v>
      </c>
      <c r="B888" s="0" t="n">
        <v>546585</v>
      </c>
      <c r="C888" s="0" t="n">
        <v>616314</v>
      </c>
      <c r="D888" s="0" t="s">
        <v>35</v>
      </c>
      <c r="E888" s="0" t="s">
        <v>35</v>
      </c>
      <c r="F888" s="0" t="s">
        <v>480</v>
      </c>
      <c r="G888" s="0" t="s">
        <v>481</v>
      </c>
      <c r="H888" s="0" t="s">
        <v>3064</v>
      </c>
      <c r="I888" s="0" t="s">
        <v>3065</v>
      </c>
      <c r="J888" s="0" t="s">
        <v>3066</v>
      </c>
      <c r="M888" s="0" t="s">
        <v>3067</v>
      </c>
      <c r="N888" s="1" t="s">
        <v>3068</v>
      </c>
      <c r="O888" s="0" t="s">
        <v>3069</v>
      </c>
      <c r="P888" s="0" t="n">
        <v>1851</v>
      </c>
      <c r="Q888" s="0" t="s">
        <v>39</v>
      </c>
      <c r="R888" s="0" t="s">
        <v>3070</v>
      </c>
      <c r="S888" s="0" t="s">
        <v>3071</v>
      </c>
      <c r="T888" s="0" t="s">
        <v>3081</v>
      </c>
      <c r="V888" s="0" t="n">
        <v>1</v>
      </c>
      <c r="W888" s="0" t="n">
        <v>1</v>
      </c>
      <c r="X888" s="0" t="str">
        <f aca="false">"31811010747734"</f>
        <v>31811010747734</v>
      </c>
      <c r="Y888" s="0" t="s">
        <v>39</v>
      </c>
      <c r="Z888" s="0" t="s">
        <v>42</v>
      </c>
      <c r="AA888" s="0" t="s">
        <v>43</v>
      </c>
      <c r="AE888" s="1" t="s">
        <v>52</v>
      </c>
    </row>
    <row r="889" customFormat="false" ht="12.8" hidden="false" customHeight="false" outlineLevel="0" collapsed="false">
      <c r="A889" s="0" t="n">
        <v>509680</v>
      </c>
      <c r="B889" s="0" t="n">
        <v>546585</v>
      </c>
      <c r="C889" s="0" t="n">
        <v>616315</v>
      </c>
      <c r="D889" s="0" t="s">
        <v>35</v>
      </c>
      <c r="E889" s="0" t="s">
        <v>35</v>
      </c>
      <c r="F889" s="0" t="s">
        <v>480</v>
      </c>
      <c r="G889" s="0" t="s">
        <v>481</v>
      </c>
      <c r="H889" s="0" t="s">
        <v>3064</v>
      </c>
      <c r="I889" s="0" t="s">
        <v>3065</v>
      </c>
      <c r="J889" s="0" t="s">
        <v>3066</v>
      </c>
      <c r="M889" s="0" t="s">
        <v>3067</v>
      </c>
      <c r="N889" s="1" t="s">
        <v>3068</v>
      </c>
      <c r="O889" s="0" t="s">
        <v>3069</v>
      </c>
      <c r="P889" s="0" t="n">
        <v>1851</v>
      </c>
      <c r="Q889" s="0" t="s">
        <v>39</v>
      </c>
      <c r="R889" s="0" t="s">
        <v>3070</v>
      </c>
      <c r="S889" s="0" t="s">
        <v>3071</v>
      </c>
      <c r="T889" s="0" t="s">
        <v>3082</v>
      </c>
      <c r="V889" s="0" t="n">
        <v>1</v>
      </c>
      <c r="W889" s="0" t="n">
        <v>1</v>
      </c>
      <c r="X889" s="0" t="str">
        <f aca="false">"31811010747759"</f>
        <v>31811010747759</v>
      </c>
      <c r="Y889" s="0" t="s">
        <v>39</v>
      </c>
      <c r="Z889" s="0" t="s">
        <v>42</v>
      </c>
      <c r="AA889" s="0" t="s">
        <v>43</v>
      </c>
      <c r="AE889" s="1" t="s">
        <v>52</v>
      </c>
    </row>
    <row r="890" customFormat="false" ht="12.8" hidden="false" customHeight="false" outlineLevel="0" collapsed="false">
      <c r="A890" s="0" t="n">
        <v>509680</v>
      </c>
      <c r="B890" s="0" t="n">
        <v>546585</v>
      </c>
      <c r="C890" s="0" t="n">
        <v>616316</v>
      </c>
      <c r="D890" s="0" t="s">
        <v>35</v>
      </c>
      <c r="E890" s="0" t="s">
        <v>35</v>
      </c>
      <c r="F890" s="0" t="s">
        <v>480</v>
      </c>
      <c r="G890" s="0" t="s">
        <v>481</v>
      </c>
      <c r="H890" s="0" t="s">
        <v>3064</v>
      </c>
      <c r="I890" s="0" t="s">
        <v>3065</v>
      </c>
      <c r="J890" s="0" t="s">
        <v>3066</v>
      </c>
      <c r="M890" s="0" t="s">
        <v>3067</v>
      </c>
      <c r="N890" s="1" t="s">
        <v>3068</v>
      </c>
      <c r="O890" s="0" t="s">
        <v>3069</v>
      </c>
      <c r="P890" s="0" t="n">
        <v>1851</v>
      </c>
      <c r="Q890" s="0" t="s">
        <v>39</v>
      </c>
      <c r="R890" s="0" t="s">
        <v>3070</v>
      </c>
      <c r="S890" s="0" t="s">
        <v>3071</v>
      </c>
      <c r="T890" s="0" t="s">
        <v>3083</v>
      </c>
      <c r="V890" s="0" t="n">
        <v>1</v>
      </c>
      <c r="W890" s="0" t="n">
        <v>1</v>
      </c>
      <c r="X890" s="0" t="str">
        <f aca="false">"31811010747767"</f>
        <v>31811010747767</v>
      </c>
      <c r="Y890" s="0" t="s">
        <v>39</v>
      </c>
      <c r="Z890" s="0" t="s">
        <v>42</v>
      </c>
      <c r="AA890" s="0" t="s">
        <v>43</v>
      </c>
      <c r="AE890" s="1" t="s">
        <v>52</v>
      </c>
    </row>
    <row r="891" customFormat="false" ht="12.8" hidden="false" customHeight="false" outlineLevel="0" collapsed="false">
      <c r="A891" s="0" t="n">
        <v>551770</v>
      </c>
      <c r="B891" s="0" t="n">
        <v>590285</v>
      </c>
      <c r="C891" s="0" t="n">
        <v>666765</v>
      </c>
      <c r="D891" s="0" t="s">
        <v>35</v>
      </c>
      <c r="E891" s="0" t="s">
        <v>35</v>
      </c>
      <c r="F891" s="0" t="s">
        <v>36</v>
      </c>
      <c r="G891" s="0" t="s">
        <v>481</v>
      </c>
      <c r="H891" s="0" t="s">
        <v>3084</v>
      </c>
      <c r="J891" s="0" t="s">
        <v>3084</v>
      </c>
      <c r="M891" s="0" t="s">
        <v>3085</v>
      </c>
      <c r="N891" s="0" t="n">
        <v>1972</v>
      </c>
      <c r="O891" s="0" t="s">
        <v>3086</v>
      </c>
      <c r="P891" s="0" t="n">
        <v>1972</v>
      </c>
      <c r="Q891" s="0" t="s">
        <v>39</v>
      </c>
      <c r="R891" s="0" t="s">
        <v>3087</v>
      </c>
      <c r="S891" s="0" t="s">
        <v>3088</v>
      </c>
      <c r="V891" s="0" t="n">
        <v>1</v>
      </c>
      <c r="W891" s="0" t="n">
        <v>1</v>
      </c>
      <c r="X891" s="0" t="str">
        <f aca="false">"31811012066893"</f>
        <v>31811012066893</v>
      </c>
      <c r="Y891" s="0" t="s">
        <v>39</v>
      </c>
      <c r="Z891" s="0" t="s">
        <v>42</v>
      </c>
      <c r="AA891" s="0" t="s">
        <v>43</v>
      </c>
      <c r="AE891" s="1" t="s">
        <v>52</v>
      </c>
    </row>
    <row r="892" customFormat="false" ht="12.8" hidden="false" customHeight="false" outlineLevel="0" collapsed="false">
      <c r="A892" s="0" t="n">
        <v>551773</v>
      </c>
      <c r="B892" s="0" t="n">
        <v>590288</v>
      </c>
      <c r="C892" s="0" t="n">
        <v>666767</v>
      </c>
      <c r="D892" s="0" t="s">
        <v>35</v>
      </c>
      <c r="E892" s="0" t="s">
        <v>35</v>
      </c>
      <c r="F892" s="0" t="s">
        <v>36</v>
      </c>
      <c r="G892" s="0" t="s">
        <v>481</v>
      </c>
      <c r="H892" s="0" t="s">
        <v>3089</v>
      </c>
      <c r="I892" s="0" t="s">
        <v>3090</v>
      </c>
      <c r="J892" s="0" t="s">
        <v>3091</v>
      </c>
      <c r="M892" s="0" t="s">
        <v>3092</v>
      </c>
      <c r="N892" s="0" t="n">
        <v>1972</v>
      </c>
      <c r="O892" s="0" t="s">
        <v>3093</v>
      </c>
      <c r="P892" s="0" t="n">
        <v>1972</v>
      </c>
      <c r="Q892" s="0" t="s">
        <v>39</v>
      </c>
      <c r="R892" s="0" t="s">
        <v>3094</v>
      </c>
      <c r="S892" s="0" t="s">
        <v>3095</v>
      </c>
      <c r="V892" s="0" t="n">
        <v>1</v>
      </c>
      <c r="W892" s="0" t="n">
        <v>1</v>
      </c>
      <c r="X892" s="0" t="str">
        <f aca="false">"31811012066901"</f>
        <v>31811012066901</v>
      </c>
      <c r="Y892" s="0" t="s">
        <v>39</v>
      </c>
      <c r="Z892" s="0" t="s">
        <v>42</v>
      </c>
      <c r="AA892" s="0" t="s">
        <v>43</v>
      </c>
      <c r="AE892" s="1" t="s">
        <v>52</v>
      </c>
    </row>
    <row r="893" customFormat="false" ht="12.8" hidden="false" customHeight="false" outlineLevel="0" collapsed="false">
      <c r="A893" s="0" t="n">
        <v>302571</v>
      </c>
      <c r="B893" s="0" t="n">
        <v>330024</v>
      </c>
      <c r="C893" s="0" t="n">
        <v>368502</v>
      </c>
      <c r="D893" s="0" t="s">
        <v>35</v>
      </c>
      <c r="E893" s="0" t="s">
        <v>35</v>
      </c>
      <c r="F893" s="0" t="s">
        <v>36</v>
      </c>
      <c r="G893" s="0" t="s">
        <v>481</v>
      </c>
      <c r="H893" s="0" t="s">
        <v>3096</v>
      </c>
      <c r="J893" s="0" t="s">
        <v>3096</v>
      </c>
      <c r="M893" s="0" t="s">
        <v>3097</v>
      </c>
      <c r="N893" s="0" t="n">
        <v>1972</v>
      </c>
      <c r="O893" s="0" t="s">
        <v>3098</v>
      </c>
      <c r="P893" s="0" t="n">
        <v>1972</v>
      </c>
      <c r="Q893" s="0" t="s">
        <v>39</v>
      </c>
      <c r="R893" s="0" t="s">
        <v>3099</v>
      </c>
      <c r="S893" s="0" t="s">
        <v>3100</v>
      </c>
      <c r="V893" s="0" t="n">
        <v>1</v>
      </c>
      <c r="W893" s="0" t="n">
        <v>1</v>
      </c>
      <c r="X893" s="0" t="str">
        <f aca="false">"31811012066919"</f>
        <v>31811012066919</v>
      </c>
      <c r="Y893" s="0" t="s">
        <v>39</v>
      </c>
      <c r="Z893" s="0" t="s">
        <v>42</v>
      </c>
      <c r="AA893" s="0" t="s">
        <v>43</v>
      </c>
      <c r="AE893" s="1" t="s">
        <v>52</v>
      </c>
    </row>
    <row r="894" customFormat="false" ht="12.8" hidden="false" customHeight="false" outlineLevel="0" collapsed="false">
      <c r="A894" s="0" t="n">
        <v>363253</v>
      </c>
      <c r="B894" s="0" t="n">
        <v>392911</v>
      </c>
      <c r="C894" s="0" t="n">
        <v>436797</v>
      </c>
      <c r="D894" s="0" t="s">
        <v>35</v>
      </c>
      <c r="E894" s="0" t="s">
        <v>35</v>
      </c>
      <c r="F894" s="0" t="s">
        <v>36</v>
      </c>
      <c r="G894" s="0" t="s">
        <v>481</v>
      </c>
      <c r="H894" s="0" t="s">
        <v>3101</v>
      </c>
      <c r="J894" s="0" t="s">
        <v>3101</v>
      </c>
      <c r="M894" s="0" t="s">
        <v>3102</v>
      </c>
      <c r="N894" s="0" t="n">
        <v>1973</v>
      </c>
      <c r="O894" s="0" t="s">
        <v>3098</v>
      </c>
      <c r="P894" s="0" t="n">
        <v>1973</v>
      </c>
      <c r="Q894" s="0" t="s">
        <v>39</v>
      </c>
      <c r="R894" s="0" t="s">
        <v>3103</v>
      </c>
      <c r="S894" s="0" t="s">
        <v>3104</v>
      </c>
      <c r="V894" s="0" t="n">
        <v>1</v>
      </c>
      <c r="W894" s="0" t="n">
        <v>1</v>
      </c>
      <c r="X894" s="0" t="str">
        <f aca="false">"31811012066927"</f>
        <v>31811012066927</v>
      </c>
      <c r="Y894" s="0" t="s">
        <v>39</v>
      </c>
      <c r="Z894" s="0" t="s">
        <v>42</v>
      </c>
      <c r="AA894" s="0" t="s">
        <v>43</v>
      </c>
      <c r="AE894" s="1" t="s">
        <v>52</v>
      </c>
    </row>
    <row r="895" customFormat="false" ht="12.8" hidden="false" customHeight="false" outlineLevel="0" collapsed="false">
      <c r="A895" s="0" t="n">
        <v>364623</v>
      </c>
      <c r="B895" s="0" t="n">
        <v>394334</v>
      </c>
      <c r="C895" s="0" t="n">
        <v>438386</v>
      </c>
      <c r="D895" s="0" t="s">
        <v>35</v>
      </c>
      <c r="E895" s="0" t="s">
        <v>35</v>
      </c>
      <c r="F895" s="0" t="s">
        <v>36</v>
      </c>
      <c r="G895" s="0" t="s">
        <v>481</v>
      </c>
      <c r="H895" s="0" t="s">
        <v>3105</v>
      </c>
      <c r="J895" s="0" t="s">
        <v>3105</v>
      </c>
      <c r="M895" s="0" t="s">
        <v>3106</v>
      </c>
      <c r="N895" s="0" t="n">
        <v>1973</v>
      </c>
      <c r="O895" s="0" t="s">
        <v>3107</v>
      </c>
      <c r="P895" s="0" t="n">
        <v>1973</v>
      </c>
      <c r="Q895" s="0" t="s">
        <v>39</v>
      </c>
      <c r="R895" s="0" t="s">
        <v>3108</v>
      </c>
      <c r="S895" s="0" t="s">
        <v>3109</v>
      </c>
      <c r="V895" s="0" t="n">
        <v>1</v>
      </c>
      <c r="W895" s="0" t="n">
        <v>1</v>
      </c>
      <c r="X895" s="0" t="str">
        <f aca="false">"31811012067214"</f>
        <v>31811012067214</v>
      </c>
      <c r="Y895" s="0" t="s">
        <v>39</v>
      </c>
      <c r="Z895" s="0" t="s">
        <v>42</v>
      </c>
      <c r="AA895" s="0" t="s">
        <v>43</v>
      </c>
      <c r="AE895" s="1" t="s">
        <v>52</v>
      </c>
    </row>
    <row r="896" customFormat="false" ht="12.8" hidden="false" customHeight="false" outlineLevel="0" collapsed="false">
      <c r="A896" s="0" t="n">
        <v>366688</v>
      </c>
      <c r="B896" s="0" t="n">
        <v>396454</v>
      </c>
      <c r="C896" s="0" t="n">
        <v>440760</v>
      </c>
      <c r="D896" s="0" t="s">
        <v>35</v>
      </c>
      <c r="E896" s="0" t="s">
        <v>35</v>
      </c>
      <c r="F896" s="0" t="s">
        <v>36</v>
      </c>
      <c r="G896" s="0" t="s">
        <v>481</v>
      </c>
      <c r="H896" s="0" t="s">
        <v>3110</v>
      </c>
      <c r="J896" s="0" t="s">
        <v>3110</v>
      </c>
      <c r="M896" s="0" t="s">
        <v>3111</v>
      </c>
      <c r="N896" s="0" t="n">
        <v>1974</v>
      </c>
      <c r="O896" s="0" t="s">
        <v>3098</v>
      </c>
      <c r="P896" s="0" t="n">
        <v>1974</v>
      </c>
      <c r="Q896" s="0" t="s">
        <v>39</v>
      </c>
      <c r="R896" s="0" t="s">
        <v>3112</v>
      </c>
      <c r="S896" s="0" t="s">
        <v>3113</v>
      </c>
      <c r="V896" s="0" t="n">
        <v>1</v>
      </c>
      <c r="W896" s="0" t="n">
        <v>1</v>
      </c>
      <c r="X896" s="0" t="str">
        <f aca="false">"31811012067222"</f>
        <v>31811012067222</v>
      </c>
      <c r="Y896" s="0" t="s">
        <v>39</v>
      </c>
      <c r="Z896" s="0" t="s">
        <v>42</v>
      </c>
      <c r="AA896" s="0" t="s">
        <v>43</v>
      </c>
      <c r="AE896" s="1" t="s">
        <v>52</v>
      </c>
    </row>
    <row r="897" customFormat="false" ht="12.8" hidden="false" customHeight="false" outlineLevel="0" collapsed="false">
      <c r="A897" s="0" t="n">
        <v>366741</v>
      </c>
      <c r="B897" s="0" t="n">
        <v>396514</v>
      </c>
      <c r="C897" s="0" t="n">
        <v>440832</v>
      </c>
      <c r="D897" s="0" t="s">
        <v>35</v>
      </c>
      <c r="E897" s="0" t="s">
        <v>35</v>
      </c>
      <c r="F897" s="0" t="s">
        <v>36</v>
      </c>
      <c r="G897" s="0" t="s">
        <v>481</v>
      </c>
      <c r="H897" s="0" t="s">
        <v>3114</v>
      </c>
      <c r="J897" s="0" t="s">
        <v>3114</v>
      </c>
      <c r="M897" s="0" t="s">
        <v>3115</v>
      </c>
      <c r="N897" s="0" t="n">
        <v>1974</v>
      </c>
      <c r="O897" s="0" t="s">
        <v>3093</v>
      </c>
      <c r="P897" s="0" t="n">
        <v>1974</v>
      </c>
      <c r="Q897" s="0" t="s">
        <v>39</v>
      </c>
      <c r="R897" s="0" t="s">
        <v>3116</v>
      </c>
      <c r="S897" s="0" t="s">
        <v>3117</v>
      </c>
      <c r="V897" s="0" t="n">
        <v>1</v>
      </c>
      <c r="W897" s="0" t="n">
        <v>1</v>
      </c>
      <c r="X897" s="0" t="str">
        <f aca="false">"31811012067230"</f>
        <v>31811012067230</v>
      </c>
      <c r="Y897" s="0" t="s">
        <v>39</v>
      </c>
      <c r="Z897" s="0" t="s">
        <v>42</v>
      </c>
      <c r="AA897" s="0" t="s">
        <v>43</v>
      </c>
      <c r="AE897" s="1" t="s">
        <v>52</v>
      </c>
    </row>
    <row r="898" customFormat="false" ht="12.8" hidden="false" customHeight="false" outlineLevel="0" collapsed="false">
      <c r="A898" s="0" t="n">
        <v>367120</v>
      </c>
      <c r="B898" s="0" t="n">
        <v>396908</v>
      </c>
      <c r="C898" s="0" t="n">
        <v>441250</v>
      </c>
      <c r="D898" s="0" t="s">
        <v>35</v>
      </c>
      <c r="E898" s="0" t="s">
        <v>35</v>
      </c>
      <c r="F898" s="0" t="s">
        <v>36</v>
      </c>
      <c r="G898" s="0" t="s">
        <v>481</v>
      </c>
      <c r="H898" s="0" t="s">
        <v>3118</v>
      </c>
      <c r="J898" s="0" t="s">
        <v>3118</v>
      </c>
      <c r="M898" s="0" t="s">
        <v>3119</v>
      </c>
      <c r="N898" s="0" t="s">
        <v>3120</v>
      </c>
      <c r="O898" s="0" t="s">
        <v>3093</v>
      </c>
      <c r="P898" s="0" t="n">
        <v>1975</v>
      </c>
      <c r="Q898" s="0" t="s">
        <v>39</v>
      </c>
      <c r="R898" s="0" t="s">
        <v>3121</v>
      </c>
      <c r="S898" s="0" t="s">
        <v>3122</v>
      </c>
      <c r="V898" s="0" t="n">
        <v>1</v>
      </c>
      <c r="W898" s="0" t="n">
        <v>1</v>
      </c>
      <c r="X898" s="0" t="str">
        <f aca="false">"31811012067248"</f>
        <v>31811012067248</v>
      </c>
      <c r="Y898" s="0" t="s">
        <v>39</v>
      </c>
      <c r="Z898" s="0" t="s">
        <v>42</v>
      </c>
      <c r="AA898" s="0" t="s">
        <v>43</v>
      </c>
      <c r="AE898" s="1" t="s">
        <v>52</v>
      </c>
    </row>
    <row r="899" customFormat="false" ht="12.8" hidden="false" customHeight="false" outlineLevel="0" collapsed="false">
      <c r="A899" s="0" t="n">
        <v>361289</v>
      </c>
      <c r="B899" s="0" t="n">
        <v>390878</v>
      </c>
      <c r="C899" s="0" t="n">
        <v>434607</v>
      </c>
      <c r="D899" s="0" t="s">
        <v>35</v>
      </c>
      <c r="E899" s="0" t="s">
        <v>35</v>
      </c>
      <c r="F899" s="0" t="s">
        <v>36</v>
      </c>
      <c r="G899" s="0" t="s">
        <v>481</v>
      </c>
      <c r="H899" s="0" t="s">
        <v>3123</v>
      </c>
      <c r="J899" s="0" t="s">
        <v>3124</v>
      </c>
      <c r="M899" s="0" t="s">
        <v>3125</v>
      </c>
      <c r="N899" s="0" t="n">
        <v>1976</v>
      </c>
      <c r="O899" s="0" t="s">
        <v>3126</v>
      </c>
      <c r="P899" s="0" t="n">
        <v>1976</v>
      </c>
      <c r="Q899" s="0" t="s">
        <v>39</v>
      </c>
      <c r="R899" s="0" t="s">
        <v>3127</v>
      </c>
      <c r="S899" s="0" t="s">
        <v>3128</v>
      </c>
      <c r="V899" s="0" t="n">
        <v>1</v>
      </c>
      <c r="W899" s="0" t="n">
        <v>1</v>
      </c>
      <c r="X899" s="0" t="str">
        <f aca="false">"31811012067537"</f>
        <v>31811012067537</v>
      </c>
      <c r="Y899" s="0" t="s">
        <v>39</v>
      </c>
      <c r="Z899" s="0" t="s">
        <v>42</v>
      </c>
      <c r="AA899" s="0" t="s">
        <v>43</v>
      </c>
      <c r="AE899" s="1" t="s">
        <v>52</v>
      </c>
    </row>
    <row r="900" customFormat="false" ht="12.8" hidden="false" customHeight="false" outlineLevel="0" collapsed="false">
      <c r="A900" s="0" t="n">
        <v>367261</v>
      </c>
      <c r="B900" s="0" t="n">
        <v>397057</v>
      </c>
      <c r="C900" s="0" t="n">
        <v>441413</v>
      </c>
      <c r="D900" s="0" t="s">
        <v>35</v>
      </c>
      <c r="E900" s="0" t="s">
        <v>35</v>
      </c>
      <c r="F900" s="0" t="s">
        <v>36</v>
      </c>
      <c r="G900" s="0" t="s">
        <v>481</v>
      </c>
      <c r="H900" s="0" t="s">
        <v>3129</v>
      </c>
      <c r="J900" s="0" t="s">
        <v>3129</v>
      </c>
      <c r="M900" s="0" t="s">
        <v>3130</v>
      </c>
      <c r="N900" s="0" t="n">
        <v>1975</v>
      </c>
      <c r="O900" s="0" t="s">
        <v>3131</v>
      </c>
      <c r="P900" s="0" t="n">
        <v>1975</v>
      </c>
      <c r="Q900" s="0" t="s">
        <v>39</v>
      </c>
      <c r="R900" s="0" t="s">
        <v>3132</v>
      </c>
      <c r="S900" s="0" t="s">
        <v>3133</v>
      </c>
      <c r="V900" s="0" t="n">
        <v>1</v>
      </c>
      <c r="W900" s="0" t="n">
        <v>1</v>
      </c>
      <c r="X900" s="0" t="str">
        <f aca="false">"31811012067545"</f>
        <v>31811012067545</v>
      </c>
      <c r="Y900" s="0" t="s">
        <v>39</v>
      </c>
      <c r="Z900" s="0" t="s">
        <v>42</v>
      </c>
      <c r="AA900" s="0" t="s">
        <v>43</v>
      </c>
      <c r="AE900" s="1" t="s">
        <v>52</v>
      </c>
    </row>
    <row r="901" customFormat="false" ht="12.8" hidden="false" customHeight="false" outlineLevel="0" collapsed="false">
      <c r="A901" s="0" t="n">
        <v>367269</v>
      </c>
      <c r="B901" s="0" t="n">
        <v>397065</v>
      </c>
      <c r="C901" s="0" t="n">
        <v>441421</v>
      </c>
      <c r="D901" s="0" t="s">
        <v>35</v>
      </c>
      <c r="E901" s="0" t="s">
        <v>35</v>
      </c>
      <c r="F901" s="0" t="s">
        <v>36</v>
      </c>
      <c r="G901" s="0" t="s">
        <v>481</v>
      </c>
      <c r="H901" s="0" t="s">
        <v>3134</v>
      </c>
      <c r="J901" s="0" t="s">
        <v>3134</v>
      </c>
      <c r="M901" s="0" t="s">
        <v>3135</v>
      </c>
      <c r="N901" s="0" t="s">
        <v>3120</v>
      </c>
      <c r="O901" s="0" t="s">
        <v>3131</v>
      </c>
      <c r="P901" s="0" t="n">
        <v>1975</v>
      </c>
      <c r="Q901" s="0" t="s">
        <v>39</v>
      </c>
      <c r="R901" s="0" t="s">
        <v>3136</v>
      </c>
      <c r="S901" s="0" t="s">
        <v>3137</v>
      </c>
      <c r="V901" s="0" t="n">
        <v>1</v>
      </c>
      <c r="W901" s="0" t="n">
        <v>1</v>
      </c>
      <c r="X901" s="0" t="str">
        <f aca="false">"31811012067552"</f>
        <v>31811012067552</v>
      </c>
      <c r="Y901" s="0" t="s">
        <v>39</v>
      </c>
      <c r="Z901" s="0" t="s">
        <v>42</v>
      </c>
      <c r="AA901" s="0" t="s">
        <v>43</v>
      </c>
      <c r="AE901" s="1" t="s">
        <v>52</v>
      </c>
    </row>
    <row r="902" customFormat="false" ht="12.8" hidden="false" customHeight="false" outlineLevel="0" collapsed="false">
      <c r="A902" s="0" t="n">
        <v>540427</v>
      </c>
      <c r="B902" s="0" t="n">
        <v>578720</v>
      </c>
      <c r="C902" s="0" t="n">
        <v>654789</v>
      </c>
      <c r="D902" s="0" t="s">
        <v>35</v>
      </c>
      <c r="E902" s="0" t="s">
        <v>35</v>
      </c>
      <c r="F902" s="0" t="s">
        <v>36</v>
      </c>
      <c r="G902" s="0" t="s">
        <v>481</v>
      </c>
      <c r="H902" s="0" t="s">
        <v>3138</v>
      </c>
      <c r="J902" s="0" t="s">
        <v>3138</v>
      </c>
      <c r="M902" s="0" t="s">
        <v>3139</v>
      </c>
      <c r="N902" s="0" t="n">
        <v>1976</v>
      </c>
      <c r="O902" s="0" t="s">
        <v>3131</v>
      </c>
      <c r="P902" s="0" t="n">
        <v>1976</v>
      </c>
      <c r="Q902" s="0" t="s">
        <v>39</v>
      </c>
      <c r="R902" s="0" t="s">
        <v>3140</v>
      </c>
      <c r="S902" s="0" t="s">
        <v>3141</v>
      </c>
      <c r="V902" s="0" t="n">
        <v>1</v>
      </c>
      <c r="W902" s="0" t="n">
        <v>1</v>
      </c>
      <c r="X902" s="0" t="str">
        <f aca="false">"31811012067560"</f>
        <v>31811012067560</v>
      </c>
      <c r="Y902" s="0" t="s">
        <v>39</v>
      </c>
      <c r="Z902" s="0" t="s">
        <v>42</v>
      </c>
      <c r="AA902" s="0" t="s">
        <v>43</v>
      </c>
      <c r="AE902" s="1" t="s">
        <v>52</v>
      </c>
    </row>
    <row r="903" customFormat="false" ht="12.8" hidden="false" customHeight="false" outlineLevel="0" collapsed="false">
      <c r="A903" s="0" t="n">
        <v>321510</v>
      </c>
      <c r="B903" s="0" t="n">
        <v>349779</v>
      </c>
      <c r="C903" s="0" t="n">
        <v>390331</v>
      </c>
      <c r="D903" s="0" t="s">
        <v>35</v>
      </c>
      <c r="E903" s="0" t="s">
        <v>35</v>
      </c>
      <c r="F903" s="0" t="s">
        <v>36</v>
      </c>
      <c r="G903" s="0" t="s">
        <v>481</v>
      </c>
      <c r="H903" s="0" t="s">
        <v>3142</v>
      </c>
      <c r="J903" s="0" t="s">
        <v>3142</v>
      </c>
      <c r="M903" s="0" t="s">
        <v>3143</v>
      </c>
      <c r="N903" s="0" t="n">
        <v>1977</v>
      </c>
      <c r="O903" s="0" t="s">
        <v>3126</v>
      </c>
      <c r="P903" s="0" t="n">
        <v>1977</v>
      </c>
      <c r="Q903" s="0" t="s">
        <v>39</v>
      </c>
      <c r="R903" s="0" t="s">
        <v>3144</v>
      </c>
      <c r="S903" s="0" t="s">
        <v>3145</v>
      </c>
      <c r="V903" s="0" t="n">
        <v>1</v>
      </c>
      <c r="W903" s="0" t="n">
        <v>1</v>
      </c>
      <c r="X903" s="0" t="str">
        <f aca="false">"31811012067859"</f>
        <v>31811012067859</v>
      </c>
      <c r="Y903" s="0" t="s">
        <v>39</v>
      </c>
      <c r="Z903" s="0" t="s">
        <v>42</v>
      </c>
      <c r="AA903" s="0" t="s">
        <v>43</v>
      </c>
      <c r="AE903" s="1" t="s">
        <v>52</v>
      </c>
    </row>
    <row r="904" customFormat="false" ht="12.8" hidden="false" customHeight="false" outlineLevel="0" collapsed="false">
      <c r="A904" s="0" t="n">
        <v>321507</v>
      </c>
      <c r="B904" s="0" t="n">
        <v>349775</v>
      </c>
      <c r="C904" s="0" t="n">
        <v>390327</v>
      </c>
      <c r="D904" s="0" t="s">
        <v>35</v>
      </c>
      <c r="E904" s="0" t="s">
        <v>35</v>
      </c>
      <c r="F904" s="0" t="s">
        <v>36</v>
      </c>
      <c r="G904" s="0" t="s">
        <v>481</v>
      </c>
      <c r="H904" s="0" t="s">
        <v>3146</v>
      </c>
      <c r="J904" s="0" t="s">
        <v>3146</v>
      </c>
      <c r="M904" s="0" t="s">
        <v>3147</v>
      </c>
      <c r="N904" s="0" t="n">
        <v>1977</v>
      </c>
      <c r="O904" s="0" t="s">
        <v>3093</v>
      </c>
      <c r="P904" s="0" t="n">
        <v>1977</v>
      </c>
      <c r="Q904" s="0" t="s">
        <v>39</v>
      </c>
      <c r="R904" s="0" t="s">
        <v>3148</v>
      </c>
      <c r="S904" s="0" t="s">
        <v>3149</v>
      </c>
      <c r="V904" s="0" t="n">
        <v>1</v>
      </c>
      <c r="W904" s="0" t="n">
        <v>1</v>
      </c>
      <c r="X904" s="0" t="str">
        <f aca="false">"31811012067867"</f>
        <v>31811012067867</v>
      </c>
      <c r="Y904" s="0" t="s">
        <v>39</v>
      </c>
      <c r="Z904" s="0" t="s">
        <v>42</v>
      </c>
      <c r="AA904" s="0" t="s">
        <v>43</v>
      </c>
      <c r="AE904" s="1" t="s">
        <v>52</v>
      </c>
    </row>
    <row r="905" customFormat="false" ht="12.8" hidden="false" customHeight="false" outlineLevel="0" collapsed="false">
      <c r="A905" s="0" t="n">
        <v>321402</v>
      </c>
      <c r="B905" s="0" t="n">
        <v>349665</v>
      </c>
      <c r="C905" s="0" t="n">
        <v>390215</v>
      </c>
      <c r="D905" s="0" t="s">
        <v>35</v>
      </c>
      <c r="E905" s="0" t="s">
        <v>35</v>
      </c>
      <c r="F905" s="0" t="s">
        <v>3150</v>
      </c>
      <c r="G905" s="0" t="s">
        <v>481</v>
      </c>
      <c r="H905" s="0" t="s">
        <v>3151</v>
      </c>
      <c r="J905" s="0" t="s">
        <v>3151</v>
      </c>
      <c r="M905" s="0" t="s">
        <v>3152</v>
      </c>
      <c r="N905" s="0" t="n">
        <v>1978</v>
      </c>
      <c r="O905" s="0" t="s">
        <v>3126</v>
      </c>
      <c r="P905" s="0" t="n">
        <v>1978</v>
      </c>
      <c r="Q905" s="0" t="s">
        <v>39</v>
      </c>
      <c r="R905" s="0" t="s">
        <v>3153</v>
      </c>
      <c r="S905" s="0" t="s">
        <v>3154</v>
      </c>
      <c r="V905" s="0" t="n">
        <v>1</v>
      </c>
      <c r="W905" s="0" t="n">
        <v>1</v>
      </c>
      <c r="X905" s="0" t="str">
        <f aca="false">"31811012067875"</f>
        <v>31811012067875</v>
      </c>
      <c r="Y905" s="0" t="s">
        <v>39</v>
      </c>
      <c r="Z905" s="0" t="s">
        <v>42</v>
      </c>
      <c r="AA905" s="0" t="s">
        <v>43</v>
      </c>
      <c r="AE905" s="1" t="s">
        <v>52</v>
      </c>
    </row>
    <row r="906" customFormat="false" ht="12.8" hidden="false" customHeight="false" outlineLevel="0" collapsed="false">
      <c r="A906" s="0" t="n">
        <v>334707</v>
      </c>
      <c r="B906" s="0" t="n">
        <v>363382</v>
      </c>
      <c r="C906" s="0" t="n">
        <v>405003</v>
      </c>
      <c r="D906" s="0" t="s">
        <v>35</v>
      </c>
      <c r="E906" s="0" t="s">
        <v>35</v>
      </c>
      <c r="F906" s="0" t="s">
        <v>36</v>
      </c>
      <c r="G906" s="0" t="s">
        <v>481</v>
      </c>
      <c r="H906" s="0" t="s">
        <v>3155</v>
      </c>
      <c r="J906" s="0" t="s">
        <v>3155</v>
      </c>
      <c r="M906" s="0" t="s">
        <v>3156</v>
      </c>
      <c r="N906" s="0" t="n">
        <v>1978</v>
      </c>
      <c r="O906" s="0" t="s">
        <v>3126</v>
      </c>
      <c r="P906" s="0" t="n">
        <v>1978</v>
      </c>
      <c r="Q906" s="0" t="s">
        <v>39</v>
      </c>
      <c r="R906" s="0" t="s">
        <v>3157</v>
      </c>
      <c r="S906" s="0" t="s">
        <v>3158</v>
      </c>
      <c r="V906" s="0" t="n">
        <v>1</v>
      </c>
      <c r="W906" s="0" t="n">
        <v>1</v>
      </c>
      <c r="X906" s="0" t="str">
        <f aca="false">"31811012067883"</f>
        <v>31811012067883</v>
      </c>
      <c r="Y906" s="0" t="s">
        <v>39</v>
      </c>
      <c r="Z906" s="0" t="s">
        <v>42</v>
      </c>
      <c r="AA906" s="0" t="s">
        <v>43</v>
      </c>
      <c r="AE906" s="1" t="s">
        <v>52</v>
      </c>
    </row>
    <row r="907" customFormat="false" ht="12.8" hidden="false" customHeight="false" outlineLevel="0" collapsed="false">
      <c r="A907" s="0" t="n">
        <v>313528</v>
      </c>
      <c r="B907" s="0" t="n">
        <v>341534</v>
      </c>
      <c r="C907" s="0" t="n">
        <v>381283</v>
      </c>
      <c r="D907" s="0" t="s">
        <v>35</v>
      </c>
      <c r="E907" s="0" t="s">
        <v>35</v>
      </c>
      <c r="F907" s="0" t="s">
        <v>36</v>
      </c>
      <c r="G907" s="0" t="s">
        <v>481</v>
      </c>
      <c r="H907" s="0" t="s">
        <v>3159</v>
      </c>
      <c r="J907" s="0" t="s">
        <v>3159</v>
      </c>
      <c r="M907" s="0" t="s">
        <v>3160</v>
      </c>
      <c r="N907" s="0" t="n">
        <v>1977</v>
      </c>
      <c r="O907" s="0" t="s">
        <v>3131</v>
      </c>
      <c r="P907" s="0" t="n">
        <v>1977</v>
      </c>
      <c r="Q907" s="0" t="s">
        <v>39</v>
      </c>
      <c r="R907" s="0" t="s">
        <v>3161</v>
      </c>
      <c r="S907" s="0" t="s">
        <v>3162</v>
      </c>
      <c r="V907" s="0" t="n">
        <v>1</v>
      </c>
      <c r="W907" s="0" t="n">
        <v>1</v>
      </c>
      <c r="X907" s="0" t="str">
        <f aca="false">"31811012066562"</f>
        <v>31811012066562</v>
      </c>
      <c r="Y907" s="0" t="s">
        <v>39</v>
      </c>
      <c r="Z907" s="0" t="s">
        <v>42</v>
      </c>
      <c r="AA907" s="0" t="s">
        <v>43</v>
      </c>
      <c r="AE907" s="1" t="s">
        <v>52</v>
      </c>
    </row>
    <row r="908" customFormat="false" ht="12.8" hidden="false" customHeight="false" outlineLevel="0" collapsed="false">
      <c r="A908" s="0" t="n">
        <v>313539</v>
      </c>
      <c r="B908" s="0" t="n">
        <v>341545</v>
      </c>
      <c r="C908" s="0" t="n">
        <v>381294</v>
      </c>
      <c r="D908" s="0" t="s">
        <v>35</v>
      </c>
      <c r="E908" s="0" t="s">
        <v>35</v>
      </c>
      <c r="F908" s="0" t="s">
        <v>36</v>
      </c>
      <c r="G908" s="0" t="s">
        <v>481</v>
      </c>
      <c r="H908" s="0" t="s">
        <v>3163</v>
      </c>
      <c r="J908" s="0" t="s">
        <v>3164</v>
      </c>
      <c r="M908" s="0" t="s">
        <v>3165</v>
      </c>
      <c r="N908" s="0" t="n">
        <v>1977</v>
      </c>
      <c r="O908" s="0" t="s">
        <v>3131</v>
      </c>
      <c r="P908" s="0" t="n">
        <v>1977</v>
      </c>
      <c r="Q908" s="0" t="s">
        <v>39</v>
      </c>
      <c r="R908" s="0" t="s">
        <v>3166</v>
      </c>
      <c r="S908" s="0" t="s">
        <v>3167</v>
      </c>
      <c r="V908" s="0" t="n">
        <v>1</v>
      </c>
      <c r="W908" s="0" t="n">
        <v>1</v>
      </c>
      <c r="X908" s="0" t="str">
        <f aca="false">"31811012066539"</f>
        <v>31811012066539</v>
      </c>
      <c r="Y908" s="0" t="s">
        <v>39</v>
      </c>
      <c r="Z908" s="0" t="s">
        <v>42</v>
      </c>
      <c r="AA908" s="0" t="s">
        <v>43</v>
      </c>
      <c r="AE908" s="1" t="s">
        <v>52</v>
      </c>
    </row>
    <row r="909" customFormat="false" ht="12.8" hidden="false" customHeight="false" outlineLevel="0" collapsed="false">
      <c r="A909" s="0" t="n">
        <v>327157</v>
      </c>
      <c r="B909" s="0" t="n">
        <v>355621</v>
      </c>
      <c r="C909" s="0" t="n">
        <v>396666</v>
      </c>
      <c r="D909" s="0" t="s">
        <v>35</v>
      </c>
      <c r="E909" s="0" t="s">
        <v>35</v>
      </c>
      <c r="F909" s="0" t="s">
        <v>36</v>
      </c>
      <c r="G909" s="0" t="s">
        <v>481</v>
      </c>
      <c r="H909" s="0" t="s">
        <v>3168</v>
      </c>
      <c r="J909" s="0" t="s">
        <v>3168</v>
      </c>
      <c r="M909" s="0" t="s">
        <v>3169</v>
      </c>
      <c r="N909" s="0" t="s">
        <v>3170</v>
      </c>
      <c r="O909" s="0" t="s">
        <v>3131</v>
      </c>
      <c r="P909" s="0" t="n">
        <v>1978</v>
      </c>
      <c r="Q909" s="0" t="s">
        <v>39</v>
      </c>
      <c r="R909" s="0" t="s">
        <v>3171</v>
      </c>
      <c r="S909" s="0" t="s">
        <v>3172</v>
      </c>
      <c r="V909" s="0" t="n">
        <v>1</v>
      </c>
      <c r="W909" s="0" t="n">
        <v>1</v>
      </c>
      <c r="X909" s="0" t="str">
        <f aca="false">"31811012066547"</f>
        <v>31811012066547</v>
      </c>
      <c r="Y909" s="0" t="s">
        <v>39</v>
      </c>
      <c r="Z909" s="0" t="s">
        <v>42</v>
      </c>
      <c r="AA909" s="0" t="s">
        <v>43</v>
      </c>
      <c r="AE909" s="1" t="s">
        <v>52</v>
      </c>
    </row>
    <row r="910" customFormat="false" ht="12.8" hidden="false" customHeight="false" outlineLevel="0" collapsed="false">
      <c r="A910" s="0" t="n">
        <v>321516</v>
      </c>
      <c r="B910" s="0" t="n">
        <v>349785</v>
      </c>
      <c r="C910" s="0" t="n">
        <v>390338</v>
      </c>
      <c r="D910" s="0" t="s">
        <v>35</v>
      </c>
      <c r="E910" s="0" t="s">
        <v>35</v>
      </c>
      <c r="F910" s="0" t="s">
        <v>36</v>
      </c>
      <c r="G910" s="0" t="s">
        <v>481</v>
      </c>
      <c r="H910" s="0" t="s">
        <v>3173</v>
      </c>
      <c r="J910" s="0" t="s">
        <v>3173</v>
      </c>
      <c r="L910" s="1" t="s">
        <v>3174</v>
      </c>
      <c r="M910" s="0" t="s">
        <v>3175</v>
      </c>
      <c r="N910" s="0" t="n">
        <v>1979</v>
      </c>
      <c r="O910" s="0" t="s">
        <v>3093</v>
      </c>
      <c r="P910" s="0" t="n">
        <v>1979</v>
      </c>
      <c r="Q910" s="0" t="s">
        <v>39</v>
      </c>
      <c r="R910" s="0" t="s">
        <v>3176</v>
      </c>
      <c r="S910" s="0" t="s">
        <v>3177</v>
      </c>
      <c r="V910" s="0" t="n">
        <v>1</v>
      </c>
      <c r="W910" s="0" t="n">
        <v>1</v>
      </c>
      <c r="X910" s="0" t="str">
        <f aca="false">"31811012066554"</f>
        <v>31811012066554</v>
      </c>
      <c r="Y910" s="0" t="s">
        <v>39</v>
      </c>
      <c r="Z910" s="0" t="s">
        <v>42</v>
      </c>
      <c r="AA910" s="0" t="s">
        <v>43</v>
      </c>
      <c r="AE910" s="1" t="s">
        <v>52</v>
      </c>
    </row>
    <row r="911" customFormat="false" ht="12.8" hidden="false" customHeight="false" outlineLevel="0" collapsed="false">
      <c r="A911" s="0" t="n">
        <v>322724</v>
      </c>
      <c r="B911" s="0" t="n">
        <v>351055</v>
      </c>
      <c r="C911" s="0" t="n">
        <v>391767</v>
      </c>
      <c r="D911" s="0" t="s">
        <v>35</v>
      </c>
      <c r="E911" s="0" t="s">
        <v>35</v>
      </c>
      <c r="F911" s="0" t="s">
        <v>36</v>
      </c>
      <c r="G911" s="0" t="s">
        <v>481</v>
      </c>
      <c r="H911" s="0" t="s">
        <v>3178</v>
      </c>
      <c r="J911" s="0" t="s">
        <v>3179</v>
      </c>
      <c r="L911" s="0" t="n">
        <v>2251621369</v>
      </c>
      <c r="M911" s="0" t="s">
        <v>3180</v>
      </c>
      <c r="N911" s="0" t="n">
        <v>1979</v>
      </c>
      <c r="O911" s="0" t="s">
        <v>3131</v>
      </c>
      <c r="P911" s="0" t="n">
        <v>1979</v>
      </c>
      <c r="Q911" s="0" t="s">
        <v>39</v>
      </c>
      <c r="R911" s="0" t="s">
        <v>3181</v>
      </c>
      <c r="S911" s="0" t="s">
        <v>3182</v>
      </c>
      <c r="V911" s="0" t="n">
        <v>1</v>
      </c>
      <c r="W911" s="0" t="n">
        <v>1</v>
      </c>
      <c r="X911" s="0" t="str">
        <f aca="false">"31811012066851"</f>
        <v>31811012066851</v>
      </c>
      <c r="Y911" s="0" t="s">
        <v>39</v>
      </c>
      <c r="Z911" s="0" t="s">
        <v>42</v>
      </c>
      <c r="AA911" s="0" t="s">
        <v>43</v>
      </c>
      <c r="AE911" s="1" t="s">
        <v>52</v>
      </c>
    </row>
    <row r="912" customFormat="false" ht="12.8" hidden="false" customHeight="false" outlineLevel="0" collapsed="false">
      <c r="A912" s="0" t="n">
        <v>315161</v>
      </c>
      <c r="B912" s="0" t="n">
        <v>343248</v>
      </c>
      <c r="C912" s="0" t="n">
        <v>383394</v>
      </c>
      <c r="D912" s="0" t="s">
        <v>35</v>
      </c>
      <c r="E912" s="0" t="s">
        <v>35</v>
      </c>
      <c r="F912" s="0" t="s">
        <v>36</v>
      </c>
      <c r="G912" s="0" t="s">
        <v>481</v>
      </c>
      <c r="H912" s="0" t="s">
        <v>3183</v>
      </c>
      <c r="J912" s="0" t="s">
        <v>3183</v>
      </c>
      <c r="L912" s="0" t="n">
        <v>2251621377</v>
      </c>
      <c r="M912" s="0" t="s">
        <v>3184</v>
      </c>
      <c r="N912" s="0" t="n">
        <v>1979</v>
      </c>
      <c r="O912" s="0" t="s">
        <v>3131</v>
      </c>
      <c r="P912" s="0" t="n">
        <v>1979</v>
      </c>
      <c r="Q912" s="0" t="s">
        <v>39</v>
      </c>
      <c r="R912" s="0" t="s">
        <v>3185</v>
      </c>
      <c r="S912" s="0" t="s">
        <v>3186</v>
      </c>
      <c r="V912" s="0" t="n">
        <v>1</v>
      </c>
      <c r="W912" s="0" t="n">
        <v>1</v>
      </c>
      <c r="X912" s="0" t="str">
        <f aca="false">"31811012066869"</f>
        <v>31811012066869</v>
      </c>
      <c r="Y912" s="0" t="s">
        <v>39</v>
      </c>
      <c r="Z912" s="0" t="s">
        <v>42</v>
      </c>
      <c r="AA912" s="0" t="s">
        <v>43</v>
      </c>
      <c r="AE912" s="1" t="s">
        <v>52</v>
      </c>
    </row>
    <row r="913" customFormat="false" ht="12.8" hidden="false" customHeight="false" outlineLevel="0" collapsed="false">
      <c r="A913" s="0" t="n">
        <v>318597</v>
      </c>
      <c r="B913" s="0" t="n">
        <v>346777</v>
      </c>
      <c r="C913" s="0" t="n">
        <v>387161</v>
      </c>
      <c r="D913" s="0" t="s">
        <v>35</v>
      </c>
      <c r="E913" s="0" t="s">
        <v>35</v>
      </c>
      <c r="F913" s="0" t="s">
        <v>36</v>
      </c>
      <c r="G913" s="0" t="s">
        <v>481</v>
      </c>
      <c r="H913" s="0" t="s">
        <v>3187</v>
      </c>
      <c r="J913" s="0" t="s">
        <v>3188</v>
      </c>
      <c r="M913" s="0" t="s">
        <v>3189</v>
      </c>
      <c r="N913" s="0" t="n">
        <v>1979</v>
      </c>
      <c r="O913" s="0" t="s">
        <v>3190</v>
      </c>
      <c r="P913" s="0" t="n">
        <v>1979</v>
      </c>
      <c r="Q913" s="0" t="s">
        <v>39</v>
      </c>
      <c r="R913" s="0" t="s">
        <v>3191</v>
      </c>
      <c r="S913" s="0" t="s">
        <v>3192</v>
      </c>
      <c r="V913" s="0" t="n">
        <v>1</v>
      </c>
      <c r="W913" s="0" t="n">
        <v>1</v>
      </c>
      <c r="X913" s="0" t="str">
        <f aca="false">"31811012066877"</f>
        <v>31811012066877</v>
      </c>
      <c r="Y913" s="0" t="s">
        <v>39</v>
      </c>
      <c r="Z913" s="0" t="s">
        <v>42</v>
      </c>
      <c r="AA913" s="0" t="s">
        <v>43</v>
      </c>
      <c r="AE913" s="1" t="s">
        <v>52</v>
      </c>
    </row>
    <row r="914" customFormat="false" ht="12.8" hidden="false" customHeight="false" outlineLevel="0" collapsed="false">
      <c r="A914" s="0" t="n">
        <v>551726</v>
      </c>
      <c r="B914" s="0" t="n">
        <v>590237</v>
      </c>
      <c r="C914" s="0" t="n">
        <v>666720</v>
      </c>
      <c r="D914" s="0" t="s">
        <v>35</v>
      </c>
      <c r="E914" s="0" t="s">
        <v>35</v>
      </c>
      <c r="F914" s="0" t="s">
        <v>36</v>
      </c>
      <c r="G914" s="0" t="s">
        <v>481</v>
      </c>
      <c r="H914" s="0" t="s">
        <v>3193</v>
      </c>
      <c r="J914" s="0" t="s">
        <v>3193</v>
      </c>
      <c r="L914" s="0" t="n">
        <v>2251621393</v>
      </c>
      <c r="M914" s="0" t="s">
        <v>3194</v>
      </c>
      <c r="N914" s="0" t="s">
        <v>3195</v>
      </c>
      <c r="O914" s="0" t="s">
        <v>3190</v>
      </c>
      <c r="P914" s="0" t="n">
        <v>1983</v>
      </c>
      <c r="Q914" s="0" t="s">
        <v>39</v>
      </c>
      <c r="R914" s="0" t="s">
        <v>3196</v>
      </c>
      <c r="S914" s="0" t="s">
        <v>3197</v>
      </c>
      <c r="V914" s="0" t="n">
        <v>1</v>
      </c>
      <c r="W914" s="0" t="n">
        <v>1</v>
      </c>
      <c r="X914" s="0" t="str">
        <f aca="false">"31811012066885"</f>
        <v>31811012066885</v>
      </c>
      <c r="Y914" s="0" t="s">
        <v>39</v>
      </c>
      <c r="Z914" s="0" t="s">
        <v>42</v>
      </c>
      <c r="AA914" s="0" t="s">
        <v>43</v>
      </c>
      <c r="AE914" s="1" t="s">
        <v>52</v>
      </c>
    </row>
    <row r="915" customFormat="false" ht="12.8" hidden="false" customHeight="false" outlineLevel="0" collapsed="false">
      <c r="A915" s="0" t="n">
        <v>306572</v>
      </c>
      <c r="B915" s="0" t="n">
        <v>334263</v>
      </c>
      <c r="C915" s="0" t="n">
        <v>373176</v>
      </c>
      <c r="D915" s="0" t="s">
        <v>35</v>
      </c>
      <c r="E915" s="0" t="s">
        <v>35</v>
      </c>
      <c r="F915" s="0" t="s">
        <v>36</v>
      </c>
      <c r="G915" s="0" t="s">
        <v>481</v>
      </c>
      <c r="H915" s="0" t="s">
        <v>3198</v>
      </c>
      <c r="J915" s="0" t="s">
        <v>3198</v>
      </c>
      <c r="L915" s="0" t="n">
        <v>2251621415</v>
      </c>
      <c r="M915" s="0" t="s">
        <v>3199</v>
      </c>
      <c r="N915" s="0" t="n">
        <v>1981</v>
      </c>
      <c r="O915" s="0" t="s">
        <v>3086</v>
      </c>
      <c r="P915" s="0" t="n">
        <v>1981</v>
      </c>
      <c r="Q915" s="0" t="s">
        <v>39</v>
      </c>
      <c r="R915" s="0" t="s">
        <v>3200</v>
      </c>
      <c r="S915" s="0" t="s">
        <v>3201</v>
      </c>
      <c r="V915" s="0" t="n">
        <v>1</v>
      </c>
      <c r="W915" s="0" t="n">
        <v>1</v>
      </c>
      <c r="X915" s="0" t="str">
        <f aca="false">"31811012067172"</f>
        <v>31811012067172</v>
      </c>
      <c r="Y915" s="0" t="s">
        <v>39</v>
      </c>
      <c r="Z915" s="0" t="s">
        <v>42</v>
      </c>
      <c r="AA915" s="0" t="s">
        <v>43</v>
      </c>
      <c r="AE915" s="1" t="s">
        <v>52</v>
      </c>
    </row>
    <row r="916" customFormat="false" ht="12.8" hidden="false" customHeight="false" outlineLevel="0" collapsed="false">
      <c r="A916" s="0" t="n">
        <v>87053</v>
      </c>
      <c r="B916" s="0" t="n">
        <v>94192</v>
      </c>
      <c r="C916" s="0" t="n">
        <v>105755</v>
      </c>
      <c r="D916" s="0" t="s">
        <v>35</v>
      </c>
      <c r="E916" s="0" t="s">
        <v>35</v>
      </c>
      <c r="F916" s="0" t="s">
        <v>36</v>
      </c>
      <c r="G916" s="0" t="s">
        <v>481</v>
      </c>
      <c r="H916" s="0" t="s">
        <v>3202</v>
      </c>
      <c r="J916" s="0" t="s">
        <v>3202</v>
      </c>
      <c r="L916" s="1" t="s">
        <v>3203</v>
      </c>
      <c r="M916" s="0" t="s">
        <v>3204</v>
      </c>
      <c r="N916" s="0" t="n">
        <v>1982</v>
      </c>
      <c r="O916" s="0" t="s">
        <v>3131</v>
      </c>
      <c r="P916" s="0" t="n">
        <v>1982</v>
      </c>
      <c r="Q916" s="0" t="s">
        <v>39</v>
      </c>
      <c r="R916" s="0" t="s">
        <v>3205</v>
      </c>
      <c r="S916" s="0" t="s">
        <v>3206</v>
      </c>
      <c r="V916" s="0" t="n">
        <v>1</v>
      </c>
      <c r="W916" s="0" t="n">
        <v>1</v>
      </c>
      <c r="X916" s="0" t="str">
        <f aca="false">"31811012067180"</f>
        <v>31811012067180</v>
      </c>
      <c r="Y916" s="0" t="s">
        <v>39</v>
      </c>
      <c r="Z916" s="0" t="s">
        <v>42</v>
      </c>
      <c r="AA916" s="0" t="s">
        <v>43</v>
      </c>
      <c r="AE916" s="1" t="s">
        <v>52</v>
      </c>
    </row>
    <row r="917" customFormat="false" ht="12.8" hidden="false" customHeight="false" outlineLevel="0" collapsed="false">
      <c r="A917" s="0" t="n">
        <v>306573</v>
      </c>
      <c r="B917" s="0" t="n">
        <v>334264</v>
      </c>
      <c r="C917" s="0" t="n">
        <v>373177</v>
      </c>
      <c r="D917" s="0" t="s">
        <v>35</v>
      </c>
      <c r="E917" s="0" t="s">
        <v>35</v>
      </c>
      <c r="F917" s="0" t="s">
        <v>36</v>
      </c>
      <c r="G917" s="0" t="s">
        <v>481</v>
      </c>
      <c r="H917" s="0" t="s">
        <v>3207</v>
      </c>
      <c r="J917" s="0" t="s">
        <v>3207</v>
      </c>
      <c r="L917" s="0" t="n">
        <v>2251621431</v>
      </c>
      <c r="M917" s="0" t="s">
        <v>3208</v>
      </c>
      <c r="N917" s="0" t="n">
        <v>1982</v>
      </c>
      <c r="O917" s="0" t="s">
        <v>3086</v>
      </c>
      <c r="P917" s="0" t="n">
        <v>1982</v>
      </c>
      <c r="Q917" s="0" t="s">
        <v>39</v>
      </c>
      <c r="R917" s="0" t="s">
        <v>3209</v>
      </c>
      <c r="S917" s="0" t="s">
        <v>3210</v>
      </c>
      <c r="V917" s="0" t="n">
        <v>1</v>
      </c>
      <c r="W917" s="0" t="n">
        <v>1</v>
      </c>
      <c r="X917" s="0" t="str">
        <f aca="false">"31811012067198"</f>
        <v>31811012067198</v>
      </c>
      <c r="Y917" s="0" t="s">
        <v>39</v>
      </c>
      <c r="Z917" s="0" t="s">
        <v>42</v>
      </c>
      <c r="AA917" s="0" t="s">
        <v>43</v>
      </c>
      <c r="AE917" s="1" t="s">
        <v>52</v>
      </c>
    </row>
    <row r="918" customFormat="false" ht="12.8" hidden="false" customHeight="false" outlineLevel="0" collapsed="false">
      <c r="A918" s="0" t="n">
        <v>258517</v>
      </c>
      <c r="B918" s="0" t="n">
        <v>283188</v>
      </c>
      <c r="C918" s="0" t="n">
        <v>318176</v>
      </c>
      <c r="D918" s="0" t="s">
        <v>35</v>
      </c>
      <c r="E918" s="0" t="s">
        <v>35</v>
      </c>
      <c r="F918" s="0" t="s">
        <v>36</v>
      </c>
      <c r="G918" s="0" t="s">
        <v>481</v>
      </c>
      <c r="H918" s="0" t="s">
        <v>3211</v>
      </c>
      <c r="J918" s="0" t="s">
        <v>3211</v>
      </c>
      <c r="M918" s="0" t="s">
        <v>3212</v>
      </c>
      <c r="N918" s="0" t="n">
        <v>1983</v>
      </c>
      <c r="O918" s="0" t="s">
        <v>3086</v>
      </c>
      <c r="P918" s="0" t="n">
        <v>1983</v>
      </c>
      <c r="Q918" s="0" t="s">
        <v>39</v>
      </c>
      <c r="R918" s="0" t="s">
        <v>3213</v>
      </c>
      <c r="S918" s="0" t="s">
        <v>3214</v>
      </c>
      <c r="V918" s="0" t="n">
        <v>1</v>
      </c>
      <c r="W918" s="0" t="n">
        <v>1</v>
      </c>
      <c r="X918" s="0" t="str">
        <f aca="false">"31811012067206"</f>
        <v>31811012067206</v>
      </c>
      <c r="Y918" s="0" t="s">
        <v>39</v>
      </c>
      <c r="Z918" s="0" t="s">
        <v>42</v>
      </c>
      <c r="AA918" s="0" t="s">
        <v>43</v>
      </c>
      <c r="AE918" s="1" t="s">
        <v>52</v>
      </c>
    </row>
    <row r="919" customFormat="false" ht="12.8" hidden="false" customHeight="false" outlineLevel="0" collapsed="false">
      <c r="A919" s="0" t="n">
        <v>234270</v>
      </c>
      <c r="B919" s="0" t="n">
        <v>256819</v>
      </c>
      <c r="C919" s="0" t="n">
        <v>289047</v>
      </c>
      <c r="D919" s="0" t="s">
        <v>35</v>
      </c>
      <c r="E919" s="0" t="s">
        <v>35</v>
      </c>
      <c r="F919" s="0" t="s">
        <v>36</v>
      </c>
      <c r="G919" s="0" t="s">
        <v>481</v>
      </c>
      <c r="H919" s="0" t="s">
        <v>3215</v>
      </c>
      <c r="J919" s="0" t="s">
        <v>3215</v>
      </c>
      <c r="L919" s="0" t="n">
        <v>2251621458</v>
      </c>
      <c r="M919" s="0" t="s">
        <v>3216</v>
      </c>
      <c r="N919" s="0" t="n">
        <v>1983</v>
      </c>
      <c r="O919" s="0" t="s">
        <v>3093</v>
      </c>
      <c r="P919" s="0" t="n">
        <v>1983</v>
      </c>
      <c r="Q919" s="0" t="s">
        <v>39</v>
      </c>
      <c r="R919" s="0" t="s">
        <v>3217</v>
      </c>
      <c r="S919" s="0" t="s">
        <v>3218</v>
      </c>
      <c r="V919" s="0" t="n">
        <v>1</v>
      </c>
      <c r="W919" s="0" t="n">
        <v>1</v>
      </c>
      <c r="X919" s="0" t="str">
        <f aca="false">"31811012067495"</f>
        <v>31811012067495</v>
      </c>
      <c r="Y919" s="0" t="s">
        <v>39</v>
      </c>
      <c r="Z919" s="0" t="s">
        <v>42</v>
      </c>
      <c r="AA919" s="0" t="s">
        <v>43</v>
      </c>
      <c r="AE919" s="1" t="s">
        <v>52</v>
      </c>
    </row>
    <row r="920" customFormat="false" ht="12.8" hidden="false" customHeight="false" outlineLevel="0" collapsed="false">
      <c r="A920" s="0" t="n">
        <v>258516</v>
      </c>
      <c r="B920" s="0" t="n">
        <v>283187</v>
      </c>
      <c r="C920" s="0" t="n">
        <v>318175</v>
      </c>
      <c r="D920" s="0" t="s">
        <v>35</v>
      </c>
      <c r="E920" s="0" t="s">
        <v>35</v>
      </c>
      <c r="F920" s="0" t="s">
        <v>36</v>
      </c>
      <c r="G920" s="0" t="s">
        <v>481</v>
      </c>
      <c r="H920" s="0" t="s">
        <v>3219</v>
      </c>
      <c r="J920" s="0" t="s">
        <v>3219</v>
      </c>
      <c r="L920" s="0" t="n">
        <v>2251621466</v>
      </c>
      <c r="M920" s="0" t="s">
        <v>3220</v>
      </c>
      <c r="N920" s="0" t="n">
        <v>1983</v>
      </c>
      <c r="O920" s="0" t="s">
        <v>3221</v>
      </c>
      <c r="P920" s="0" t="n">
        <v>1983</v>
      </c>
      <c r="Q920" s="0" t="s">
        <v>39</v>
      </c>
      <c r="R920" s="0" t="s">
        <v>3222</v>
      </c>
      <c r="S920" s="0" t="s">
        <v>3223</v>
      </c>
      <c r="V920" s="0" t="n">
        <v>1</v>
      </c>
      <c r="W920" s="0" t="n">
        <v>1</v>
      </c>
      <c r="X920" s="0" t="str">
        <f aca="false">"31811012067503"</f>
        <v>31811012067503</v>
      </c>
      <c r="Y920" s="0" t="s">
        <v>39</v>
      </c>
      <c r="Z920" s="0" t="s">
        <v>42</v>
      </c>
      <c r="AA920" s="0" t="s">
        <v>43</v>
      </c>
      <c r="AE920" s="1" t="s">
        <v>52</v>
      </c>
    </row>
    <row r="921" customFormat="false" ht="12.8" hidden="false" customHeight="false" outlineLevel="0" collapsed="false">
      <c r="A921" s="0" t="n">
        <v>261690</v>
      </c>
      <c r="B921" s="0" t="n">
        <v>286612</v>
      </c>
      <c r="C921" s="0" t="n">
        <v>321951</v>
      </c>
      <c r="D921" s="0" t="s">
        <v>35</v>
      </c>
      <c r="E921" s="0" t="s">
        <v>35</v>
      </c>
      <c r="F921" s="0" t="s">
        <v>36</v>
      </c>
      <c r="G921" s="0" t="s">
        <v>481</v>
      </c>
      <c r="H921" s="0" t="s">
        <v>3224</v>
      </c>
      <c r="J921" s="0" t="s">
        <v>3224</v>
      </c>
      <c r="L921" s="0" t="n">
        <v>2251621474</v>
      </c>
      <c r="M921" s="0" t="s">
        <v>3225</v>
      </c>
      <c r="N921" s="0" t="n">
        <v>1983</v>
      </c>
      <c r="O921" s="0" t="s">
        <v>3086</v>
      </c>
      <c r="P921" s="0" t="n">
        <v>1983</v>
      </c>
      <c r="Q921" s="0" t="s">
        <v>39</v>
      </c>
      <c r="R921" s="0" t="s">
        <v>3226</v>
      </c>
      <c r="S921" s="0" t="s">
        <v>3227</v>
      </c>
      <c r="V921" s="0" t="n">
        <v>1</v>
      </c>
      <c r="W921" s="0" t="n">
        <v>1</v>
      </c>
      <c r="X921" s="0" t="str">
        <f aca="false">"31811012067511"</f>
        <v>31811012067511</v>
      </c>
      <c r="Y921" s="0" t="s">
        <v>39</v>
      </c>
      <c r="Z921" s="0" t="s">
        <v>42</v>
      </c>
      <c r="AA921" s="0" t="s">
        <v>43</v>
      </c>
      <c r="AE921" s="1" t="s">
        <v>52</v>
      </c>
    </row>
    <row r="922" customFormat="false" ht="12.8" hidden="false" customHeight="false" outlineLevel="0" collapsed="false">
      <c r="A922" s="0" t="n">
        <v>119545</v>
      </c>
      <c r="B922" s="0" t="n">
        <v>128577</v>
      </c>
      <c r="C922" s="0" t="n">
        <v>143170</v>
      </c>
      <c r="D922" s="0" t="s">
        <v>35</v>
      </c>
      <c r="E922" s="0" t="s">
        <v>35</v>
      </c>
      <c r="F922" s="0" t="s">
        <v>36</v>
      </c>
      <c r="G922" s="0" t="s">
        <v>481</v>
      </c>
      <c r="H922" s="0" t="s">
        <v>3228</v>
      </c>
      <c r="J922" s="0" t="s">
        <v>3228</v>
      </c>
      <c r="L922" s="0" t="s">
        <v>3229</v>
      </c>
      <c r="M922" s="0" t="s">
        <v>3230</v>
      </c>
      <c r="N922" s="0" t="n">
        <v>1984</v>
      </c>
      <c r="O922" s="0" t="s">
        <v>3131</v>
      </c>
      <c r="P922" s="0" t="n">
        <v>1984</v>
      </c>
      <c r="Q922" s="0" t="s">
        <v>39</v>
      </c>
      <c r="R922" s="0" t="s">
        <v>3231</v>
      </c>
      <c r="S922" s="0" t="s">
        <v>3232</v>
      </c>
      <c r="T922" s="0" t="s">
        <v>53</v>
      </c>
      <c r="V922" s="0" t="n">
        <v>1</v>
      </c>
      <c r="W922" s="0" t="n">
        <v>1</v>
      </c>
      <c r="X922" s="0" t="str">
        <f aca="false">"31811012067818"</f>
        <v>31811012067818</v>
      </c>
      <c r="Y922" s="0" t="s">
        <v>39</v>
      </c>
      <c r="Z922" s="0" t="s">
        <v>42</v>
      </c>
      <c r="AA922" s="0" t="s">
        <v>43</v>
      </c>
      <c r="AE922" s="1" t="s">
        <v>52</v>
      </c>
      <c r="AF922" s="1" t="s">
        <v>3233</v>
      </c>
      <c r="AH922" s="1" t="s">
        <v>3234</v>
      </c>
    </row>
    <row r="923" customFormat="false" ht="12.8" hidden="false" customHeight="false" outlineLevel="0" collapsed="false">
      <c r="A923" s="0" t="n">
        <v>519241</v>
      </c>
      <c r="B923" s="0" t="n">
        <v>556640</v>
      </c>
      <c r="C923" s="0" t="n">
        <v>628414</v>
      </c>
      <c r="D923" s="0" t="s">
        <v>35</v>
      </c>
      <c r="E923" s="0" t="s">
        <v>35</v>
      </c>
      <c r="F923" s="0" t="s">
        <v>36</v>
      </c>
      <c r="G923" s="0" t="s">
        <v>481</v>
      </c>
      <c r="H923" s="0" t="s">
        <v>3235</v>
      </c>
      <c r="J923" s="0" t="s">
        <v>3235</v>
      </c>
      <c r="L923" s="0" t="n">
        <v>2251621458</v>
      </c>
      <c r="M923" s="0" t="s">
        <v>3236</v>
      </c>
      <c r="N923" s="0" t="s">
        <v>3237</v>
      </c>
      <c r="O923" s="0" t="s">
        <v>3238</v>
      </c>
      <c r="P923" s="0" t="n">
        <v>1985</v>
      </c>
      <c r="Q923" s="0" t="s">
        <v>39</v>
      </c>
      <c r="R923" s="0" t="s">
        <v>3239</v>
      </c>
      <c r="S923" s="0" t="s">
        <v>3240</v>
      </c>
      <c r="V923" s="0" t="n">
        <v>1</v>
      </c>
      <c r="W923" s="0" t="n">
        <v>1</v>
      </c>
      <c r="X923" s="0" t="str">
        <f aca="false">"31811012067826"</f>
        <v>31811012067826</v>
      </c>
      <c r="Y923" s="0" t="s">
        <v>39</v>
      </c>
      <c r="Z923" s="0" t="s">
        <v>42</v>
      </c>
      <c r="AA923" s="0" t="s">
        <v>43</v>
      </c>
      <c r="AE923" s="1" t="s">
        <v>52</v>
      </c>
    </row>
    <row r="924" customFormat="false" ht="12.8" hidden="false" customHeight="false" outlineLevel="0" collapsed="false">
      <c r="A924" s="0" t="n">
        <v>205660</v>
      </c>
      <c r="B924" s="0" t="n">
        <v>225641</v>
      </c>
      <c r="C924" s="0" t="n">
        <v>253976</v>
      </c>
      <c r="D924" s="0" t="s">
        <v>35</v>
      </c>
      <c r="E924" s="0" t="s">
        <v>35</v>
      </c>
      <c r="F924" s="0" t="s">
        <v>36</v>
      </c>
      <c r="G924" s="0" t="s">
        <v>481</v>
      </c>
      <c r="H924" s="0" t="s">
        <v>3241</v>
      </c>
      <c r="J924" s="0" t="s">
        <v>3242</v>
      </c>
      <c r="L924" s="0" t="n">
        <v>2251621458</v>
      </c>
      <c r="M924" s="0" t="s">
        <v>3243</v>
      </c>
      <c r="N924" s="0" t="n">
        <v>1985</v>
      </c>
      <c r="O924" s="0" t="s">
        <v>3098</v>
      </c>
      <c r="P924" s="0" t="n">
        <v>1985</v>
      </c>
      <c r="Q924" s="0" t="s">
        <v>39</v>
      </c>
      <c r="R924" s="0" t="s">
        <v>3244</v>
      </c>
      <c r="S924" s="0" t="s">
        <v>3245</v>
      </c>
      <c r="V924" s="0" t="n">
        <v>1</v>
      </c>
      <c r="W924" s="0" t="n">
        <v>1</v>
      </c>
      <c r="X924" s="0" t="str">
        <f aca="false">"31811012067834"</f>
        <v>31811012067834</v>
      </c>
      <c r="Y924" s="0" t="s">
        <v>39</v>
      </c>
      <c r="Z924" s="0" t="s">
        <v>42</v>
      </c>
      <c r="AA924" s="0" t="s">
        <v>43</v>
      </c>
      <c r="AE924" s="1" t="s">
        <v>52</v>
      </c>
    </row>
    <row r="925" customFormat="false" ht="12.8" hidden="false" customHeight="false" outlineLevel="0" collapsed="false">
      <c r="A925" s="0" t="n">
        <v>221831</v>
      </c>
      <c r="B925" s="0" t="n">
        <v>243351</v>
      </c>
      <c r="C925" s="0" t="n">
        <v>274202</v>
      </c>
      <c r="D925" s="0" t="s">
        <v>35</v>
      </c>
      <c r="E925" s="0" t="s">
        <v>35</v>
      </c>
      <c r="F925" s="0" t="s">
        <v>36</v>
      </c>
      <c r="G925" s="0" t="s">
        <v>481</v>
      </c>
      <c r="H925" s="0" t="s">
        <v>3246</v>
      </c>
      <c r="J925" s="0" t="s">
        <v>3246</v>
      </c>
      <c r="L925" s="0" t="n">
        <v>2251621458</v>
      </c>
      <c r="M925" s="0" t="s">
        <v>3247</v>
      </c>
      <c r="N925" s="0" t="n">
        <v>1985</v>
      </c>
      <c r="O925" s="0" t="s">
        <v>3086</v>
      </c>
      <c r="P925" s="0" t="n">
        <v>1985</v>
      </c>
      <c r="Q925" s="0" t="s">
        <v>39</v>
      </c>
      <c r="R925" s="0" t="s">
        <v>3248</v>
      </c>
      <c r="S925" s="0" t="s">
        <v>3249</v>
      </c>
      <c r="V925" s="0" t="n">
        <v>1</v>
      </c>
      <c r="W925" s="0" t="n">
        <v>1</v>
      </c>
      <c r="X925" s="0" t="str">
        <f aca="false">"31811012067842"</f>
        <v>31811012067842</v>
      </c>
      <c r="Y925" s="0" t="s">
        <v>39</v>
      </c>
      <c r="Z925" s="0" t="s">
        <v>42</v>
      </c>
      <c r="AA925" s="0" t="s">
        <v>43</v>
      </c>
      <c r="AE925" s="1" t="s">
        <v>52</v>
      </c>
    </row>
    <row r="926" customFormat="false" ht="12.8" hidden="false" customHeight="false" outlineLevel="0" collapsed="false">
      <c r="A926" s="0" t="n">
        <v>222243</v>
      </c>
      <c r="B926" s="0" t="n">
        <v>243815</v>
      </c>
      <c r="C926" s="0" t="n">
        <v>274735</v>
      </c>
      <c r="D926" s="0" t="s">
        <v>35</v>
      </c>
      <c r="E926" s="0" t="s">
        <v>35</v>
      </c>
      <c r="F926" s="0" t="s">
        <v>36</v>
      </c>
      <c r="G926" s="0" t="s">
        <v>481</v>
      </c>
      <c r="H926" s="0" t="s">
        <v>3250</v>
      </c>
      <c r="J926" s="0" t="s">
        <v>3250</v>
      </c>
      <c r="L926" s="0" t="n">
        <v>2251621520</v>
      </c>
      <c r="M926" s="0" t="s">
        <v>3251</v>
      </c>
      <c r="N926" s="0" t="n">
        <v>1985</v>
      </c>
      <c r="O926" s="0" t="s">
        <v>3098</v>
      </c>
      <c r="P926" s="0" t="n">
        <v>1985</v>
      </c>
      <c r="Q926" s="0" t="s">
        <v>39</v>
      </c>
      <c r="R926" s="0" t="s">
        <v>3252</v>
      </c>
      <c r="S926" s="0" t="s">
        <v>3253</v>
      </c>
      <c r="V926" s="0" t="n">
        <v>1</v>
      </c>
      <c r="W926" s="0" t="n">
        <v>1</v>
      </c>
      <c r="X926" s="0" t="str">
        <f aca="false">"31811012066521"</f>
        <v>31811012066521</v>
      </c>
      <c r="Y926" s="0" t="s">
        <v>39</v>
      </c>
      <c r="Z926" s="0" t="s">
        <v>42</v>
      </c>
      <c r="AA926" s="0" t="s">
        <v>43</v>
      </c>
      <c r="AE926" s="1" t="s">
        <v>52</v>
      </c>
    </row>
    <row r="927" customFormat="false" ht="12.8" hidden="false" customHeight="false" outlineLevel="0" collapsed="false">
      <c r="A927" s="0" t="n">
        <v>446130</v>
      </c>
      <c r="B927" s="0" t="n">
        <v>531889</v>
      </c>
      <c r="C927" s="0" t="n">
        <v>597365</v>
      </c>
      <c r="D927" s="0" t="s">
        <v>35</v>
      </c>
      <c r="E927" s="0" t="s">
        <v>35</v>
      </c>
      <c r="F927" s="0" t="s">
        <v>36</v>
      </c>
      <c r="G927" s="0" t="s">
        <v>481</v>
      </c>
      <c r="H927" s="0" t="s">
        <v>3254</v>
      </c>
      <c r="I927" s="0" t="s">
        <v>3056</v>
      </c>
      <c r="J927" s="0" t="s">
        <v>3254</v>
      </c>
      <c r="M927" s="0" t="s">
        <v>3255</v>
      </c>
      <c r="N927" s="0" t="n">
        <v>1962</v>
      </c>
      <c r="O927" s="0" t="s">
        <v>3256</v>
      </c>
      <c r="P927" s="0" t="n">
        <v>1962</v>
      </c>
      <c r="Q927" s="0" t="s">
        <v>39</v>
      </c>
      <c r="R927" s="0" t="s">
        <v>3257</v>
      </c>
      <c r="S927" s="0" t="s">
        <v>3258</v>
      </c>
      <c r="V927" s="0" t="n">
        <v>1</v>
      </c>
      <c r="W927" s="0" t="n">
        <v>1</v>
      </c>
      <c r="X927" s="0" t="str">
        <f aca="false">"31811010747650"</f>
        <v>31811010747650</v>
      </c>
      <c r="Y927" s="0" t="s">
        <v>39</v>
      </c>
      <c r="Z927" s="0" t="s">
        <v>42</v>
      </c>
      <c r="AA927" s="0" t="s">
        <v>43</v>
      </c>
      <c r="AE927" s="1" t="s">
        <v>52</v>
      </c>
    </row>
    <row r="928" customFormat="false" ht="12.8" hidden="false" customHeight="false" outlineLevel="0" collapsed="false">
      <c r="A928" s="0" t="n">
        <v>338156</v>
      </c>
      <c r="B928" s="0" t="n">
        <v>366963</v>
      </c>
      <c r="C928" s="0" t="n">
        <v>408778</v>
      </c>
      <c r="D928" s="0" t="s">
        <v>35</v>
      </c>
      <c r="E928" s="0" t="s">
        <v>35</v>
      </c>
      <c r="F928" s="0" t="s">
        <v>36</v>
      </c>
      <c r="G928" s="0" t="s">
        <v>481</v>
      </c>
      <c r="H928" s="0" t="s">
        <v>3259</v>
      </c>
      <c r="I928" s="0" t="s">
        <v>3260</v>
      </c>
      <c r="J928" s="0" t="s">
        <v>3261</v>
      </c>
      <c r="M928" s="0" t="s">
        <v>3262</v>
      </c>
      <c r="N928" s="0" t="s">
        <v>3263</v>
      </c>
      <c r="O928" s="0" t="s">
        <v>3264</v>
      </c>
      <c r="P928" s="0" t="n">
        <v>1954</v>
      </c>
      <c r="Q928" s="0" t="s">
        <v>39</v>
      </c>
      <c r="R928" s="0" t="s">
        <v>3265</v>
      </c>
      <c r="S928" s="0" t="s">
        <v>3266</v>
      </c>
      <c r="V928" s="0" t="n">
        <v>1</v>
      </c>
      <c r="W928" s="0" t="n">
        <v>1</v>
      </c>
      <c r="X928" s="0" t="str">
        <f aca="false">"31811010747692"</f>
        <v>31811010747692</v>
      </c>
      <c r="Y928" s="0" t="s">
        <v>39</v>
      </c>
      <c r="Z928" s="0" t="s">
        <v>42</v>
      </c>
      <c r="AA928" s="0" t="s">
        <v>43</v>
      </c>
      <c r="AE928" s="1" t="s">
        <v>52</v>
      </c>
    </row>
    <row r="929" customFormat="false" ht="12.8" hidden="false" customHeight="false" outlineLevel="0" collapsed="false">
      <c r="A929" s="0" t="n">
        <v>337770</v>
      </c>
      <c r="B929" s="0" t="n">
        <v>366557</v>
      </c>
      <c r="C929" s="0" t="n">
        <v>408358</v>
      </c>
      <c r="D929" s="0" t="s">
        <v>35</v>
      </c>
      <c r="E929" s="0" t="s">
        <v>35</v>
      </c>
      <c r="F929" s="0" t="s">
        <v>36</v>
      </c>
      <c r="G929" s="0" t="s">
        <v>481</v>
      </c>
      <c r="H929" s="0" t="s">
        <v>3267</v>
      </c>
      <c r="I929" s="0" t="s">
        <v>3268</v>
      </c>
      <c r="J929" s="0" t="s">
        <v>3269</v>
      </c>
      <c r="M929" s="0" t="s">
        <v>3270</v>
      </c>
      <c r="N929" s="0" t="n">
        <v>1966</v>
      </c>
      <c r="O929" s="0" t="s">
        <v>3264</v>
      </c>
      <c r="P929" s="0" t="n">
        <v>1966</v>
      </c>
      <c r="Q929" s="0" t="s">
        <v>39</v>
      </c>
      <c r="R929" s="0" t="s">
        <v>3271</v>
      </c>
      <c r="S929" s="0" t="s">
        <v>3272</v>
      </c>
      <c r="V929" s="0" t="n">
        <v>1</v>
      </c>
      <c r="W929" s="0" t="n">
        <v>1</v>
      </c>
      <c r="X929" s="0" t="str">
        <f aca="false">"31811010747700"</f>
        <v>31811010747700</v>
      </c>
      <c r="Y929" s="0" t="s">
        <v>39</v>
      </c>
      <c r="Z929" s="0" t="s">
        <v>42</v>
      </c>
      <c r="AA929" s="0" t="s">
        <v>43</v>
      </c>
      <c r="AE929" s="1" t="s">
        <v>52</v>
      </c>
    </row>
    <row r="930" customFormat="false" ht="12.8" hidden="false" customHeight="false" outlineLevel="0" collapsed="false">
      <c r="A930" s="0" t="n">
        <v>337770</v>
      </c>
      <c r="B930" s="0" t="n">
        <v>366558</v>
      </c>
      <c r="C930" s="0" t="n">
        <v>408359</v>
      </c>
      <c r="D930" s="0" t="s">
        <v>35</v>
      </c>
      <c r="E930" s="0" t="s">
        <v>35</v>
      </c>
      <c r="F930" s="0" t="s">
        <v>36</v>
      </c>
      <c r="G930" s="0" t="s">
        <v>481</v>
      </c>
      <c r="H930" s="0" t="s">
        <v>3267</v>
      </c>
      <c r="I930" s="0" t="s">
        <v>3268</v>
      </c>
      <c r="J930" s="0" t="s">
        <v>3269</v>
      </c>
      <c r="M930" s="0" t="s">
        <v>3270</v>
      </c>
      <c r="N930" s="0" t="n">
        <v>1966</v>
      </c>
      <c r="O930" s="0" t="s">
        <v>3264</v>
      </c>
      <c r="P930" s="0" t="n">
        <v>1966</v>
      </c>
      <c r="Q930" s="0" t="s">
        <v>39</v>
      </c>
      <c r="R930" s="0" t="s">
        <v>3271</v>
      </c>
      <c r="S930" s="0" t="s">
        <v>3272</v>
      </c>
      <c r="V930" s="0" t="n">
        <v>2</v>
      </c>
      <c r="W930" s="0" t="n">
        <v>1</v>
      </c>
      <c r="X930" s="0" t="str">
        <f aca="false">"31811010747718"</f>
        <v>31811010747718</v>
      </c>
      <c r="Y930" s="0" t="s">
        <v>39</v>
      </c>
      <c r="Z930" s="0" t="s">
        <v>42</v>
      </c>
      <c r="AA930" s="0" t="s">
        <v>43</v>
      </c>
      <c r="AE930" s="1" t="s">
        <v>52</v>
      </c>
    </row>
    <row r="931" customFormat="false" ht="12.8" hidden="false" customHeight="false" outlineLevel="0" collapsed="false">
      <c r="A931" s="0" t="n">
        <v>325573</v>
      </c>
      <c r="B931" s="0" t="n">
        <v>353981</v>
      </c>
      <c r="C931" s="0" t="n">
        <v>394967</v>
      </c>
      <c r="D931" s="0" t="s">
        <v>35</v>
      </c>
      <c r="E931" s="0" t="s">
        <v>35</v>
      </c>
      <c r="F931" s="0" t="s">
        <v>36</v>
      </c>
      <c r="G931" s="0" t="s">
        <v>481</v>
      </c>
      <c r="H931" s="0" t="s">
        <v>3273</v>
      </c>
      <c r="I931" s="0" t="s">
        <v>3274</v>
      </c>
      <c r="J931" s="0" t="s">
        <v>3275</v>
      </c>
      <c r="M931" s="0" t="s">
        <v>3276</v>
      </c>
      <c r="N931" s="0" t="s">
        <v>3277</v>
      </c>
      <c r="O931" s="0" t="s">
        <v>3278</v>
      </c>
      <c r="P931" s="0" t="n">
        <v>1935</v>
      </c>
      <c r="Q931" s="0" t="s">
        <v>39</v>
      </c>
      <c r="R931" s="0" t="s">
        <v>3279</v>
      </c>
      <c r="S931" s="0" t="s">
        <v>3280</v>
      </c>
      <c r="V931" s="0" t="n">
        <v>1</v>
      </c>
      <c r="W931" s="0" t="n">
        <v>1</v>
      </c>
      <c r="X931" s="0" t="str">
        <f aca="false">"31811010747841"</f>
        <v>31811010747841</v>
      </c>
      <c r="Y931" s="0" t="s">
        <v>39</v>
      </c>
      <c r="Z931" s="0" t="s">
        <v>42</v>
      </c>
      <c r="AA931" s="0" t="s">
        <v>43</v>
      </c>
      <c r="AE931" s="1" t="s">
        <v>52</v>
      </c>
      <c r="AH931" s="1" t="s">
        <v>3281</v>
      </c>
    </row>
    <row r="932" customFormat="false" ht="12.8" hidden="false" customHeight="false" outlineLevel="0" collapsed="false">
      <c r="A932" s="0" t="n">
        <v>502028</v>
      </c>
      <c r="B932" s="0" t="n">
        <v>483353</v>
      </c>
      <c r="C932" s="0" t="n">
        <v>541598</v>
      </c>
      <c r="D932" s="0" t="s">
        <v>35</v>
      </c>
      <c r="E932" s="0" t="s">
        <v>35</v>
      </c>
      <c r="F932" s="0" t="s">
        <v>36</v>
      </c>
      <c r="G932" s="0" t="s">
        <v>500</v>
      </c>
      <c r="H932" s="0" t="s">
        <v>3282</v>
      </c>
      <c r="I932" s="0" t="s">
        <v>3283</v>
      </c>
      <c r="J932" s="0" t="s">
        <v>3284</v>
      </c>
      <c r="M932" s="0" t="s">
        <v>3285</v>
      </c>
      <c r="N932" s="0" t="s">
        <v>667</v>
      </c>
      <c r="O932" s="0" t="s">
        <v>3286</v>
      </c>
      <c r="P932" s="0" t="n">
        <v>1954</v>
      </c>
      <c r="Q932" s="0" t="s">
        <v>39</v>
      </c>
      <c r="R932" s="0" t="s">
        <v>3287</v>
      </c>
      <c r="S932" s="0" t="s">
        <v>3288</v>
      </c>
      <c r="V932" s="0" t="n">
        <v>1</v>
      </c>
      <c r="W932" s="0" t="n">
        <v>1</v>
      </c>
      <c r="X932" s="0" t="str">
        <f aca="false">"31811010747809"</f>
        <v>31811010747809</v>
      </c>
      <c r="Y932" s="0" t="s">
        <v>39</v>
      </c>
      <c r="Z932" s="0" t="s">
        <v>42</v>
      </c>
      <c r="AA932" s="0" t="s">
        <v>43</v>
      </c>
      <c r="AE932" s="1" t="s">
        <v>52</v>
      </c>
    </row>
    <row r="933" customFormat="false" ht="12.8" hidden="false" customHeight="false" outlineLevel="0" collapsed="false">
      <c r="A933" s="0" t="n">
        <v>313830</v>
      </c>
      <c r="B933" s="0" t="n">
        <v>341853</v>
      </c>
      <c r="C933" s="0" t="n">
        <v>381733</v>
      </c>
      <c r="D933" s="0" t="s">
        <v>35</v>
      </c>
      <c r="E933" s="0" t="s">
        <v>35</v>
      </c>
      <c r="F933" s="0" t="s">
        <v>480</v>
      </c>
      <c r="G933" s="0" t="s">
        <v>500</v>
      </c>
      <c r="H933" s="0" t="s">
        <v>3289</v>
      </c>
      <c r="I933" s="0" t="s">
        <v>3290</v>
      </c>
      <c r="J933" s="0" t="s">
        <v>3291</v>
      </c>
      <c r="M933" s="0" t="s">
        <v>3292</v>
      </c>
      <c r="N933" s="1" t="s">
        <v>3293</v>
      </c>
      <c r="O933" s="0" t="s">
        <v>3294</v>
      </c>
      <c r="P933" s="0" t="n">
        <v>1950</v>
      </c>
      <c r="Q933" s="0" t="s">
        <v>39</v>
      </c>
      <c r="R933" s="0" t="s">
        <v>3295</v>
      </c>
      <c r="S933" s="0" t="s">
        <v>3296</v>
      </c>
      <c r="T933" s="0" t="n">
        <v>1959</v>
      </c>
      <c r="V933" s="0" t="n">
        <v>1</v>
      </c>
      <c r="W933" s="0" t="n">
        <v>1</v>
      </c>
      <c r="X933" s="0" t="str">
        <f aca="false">"31811012022276"</f>
        <v>31811012022276</v>
      </c>
      <c r="Y933" s="0" t="s">
        <v>39</v>
      </c>
      <c r="Z933" s="0" t="s">
        <v>42</v>
      </c>
      <c r="AA933" s="0" t="s">
        <v>622</v>
      </c>
      <c r="AE933" s="1" t="s">
        <v>52</v>
      </c>
    </row>
    <row r="934" customFormat="false" ht="12.8" hidden="false" customHeight="false" outlineLevel="0" collapsed="false">
      <c r="A934" s="0" t="n">
        <v>313830</v>
      </c>
      <c r="B934" s="0" t="n">
        <v>341853</v>
      </c>
      <c r="C934" s="0" t="n">
        <v>381734</v>
      </c>
      <c r="D934" s="0" t="s">
        <v>35</v>
      </c>
      <c r="E934" s="0" t="s">
        <v>35</v>
      </c>
      <c r="F934" s="0" t="s">
        <v>480</v>
      </c>
      <c r="G934" s="0" t="s">
        <v>500</v>
      </c>
      <c r="H934" s="0" t="s">
        <v>3289</v>
      </c>
      <c r="I934" s="0" t="s">
        <v>3290</v>
      </c>
      <c r="J934" s="0" t="s">
        <v>3291</v>
      </c>
      <c r="M934" s="0" t="s">
        <v>3292</v>
      </c>
      <c r="N934" s="1" t="s">
        <v>3293</v>
      </c>
      <c r="O934" s="0" t="s">
        <v>3294</v>
      </c>
      <c r="P934" s="0" t="n">
        <v>1950</v>
      </c>
      <c r="Q934" s="0" t="s">
        <v>39</v>
      </c>
      <c r="R934" s="0" t="s">
        <v>3295</v>
      </c>
      <c r="S934" s="0" t="s">
        <v>3296</v>
      </c>
      <c r="T934" s="0" t="n">
        <v>1955</v>
      </c>
      <c r="V934" s="0" t="n">
        <v>1</v>
      </c>
      <c r="W934" s="0" t="n">
        <v>1</v>
      </c>
      <c r="X934" s="0" t="str">
        <f aca="false">"31811012022268"</f>
        <v>31811012022268</v>
      </c>
      <c r="Y934" s="0" t="s">
        <v>39</v>
      </c>
      <c r="Z934" s="0" t="s">
        <v>42</v>
      </c>
      <c r="AA934" s="0" t="s">
        <v>622</v>
      </c>
      <c r="AE934" s="1" t="s">
        <v>52</v>
      </c>
    </row>
    <row r="935" customFormat="false" ht="12.8" hidden="false" customHeight="false" outlineLevel="0" collapsed="false">
      <c r="A935" s="0" t="n">
        <v>313830</v>
      </c>
      <c r="B935" s="0" t="n">
        <v>341853</v>
      </c>
      <c r="C935" s="0" t="n">
        <v>381735</v>
      </c>
      <c r="D935" s="0" t="s">
        <v>35</v>
      </c>
      <c r="E935" s="0" t="s">
        <v>35</v>
      </c>
      <c r="F935" s="0" t="s">
        <v>480</v>
      </c>
      <c r="G935" s="0" t="s">
        <v>500</v>
      </c>
      <c r="H935" s="0" t="s">
        <v>3289</v>
      </c>
      <c r="I935" s="0" t="s">
        <v>3290</v>
      </c>
      <c r="J935" s="0" t="s">
        <v>3291</v>
      </c>
      <c r="M935" s="0" t="s">
        <v>3292</v>
      </c>
      <c r="N935" s="1" t="s">
        <v>3293</v>
      </c>
      <c r="O935" s="0" t="s">
        <v>3294</v>
      </c>
      <c r="P935" s="0" t="n">
        <v>1950</v>
      </c>
      <c r="Q935" s="0" t="s">
        <v>39</v>
      </c>
      <c r="R935" s="0" t="s">
        <v>3295</v>
      </c>
      <c r="S935" s="0" t="s">
        <v>3296</v>
      </c>
      <c r="T935" s="0" t="n">
        <v>1953</v>
      </c>
      <c r="V935" s="0" t="n">
        <v>1</v>
      </c>
      <c r="W935" s="0" t="n">
        <v>1</v>
      </c>
      <c r="X935" s="0" t="str">
        <f aca="false">"31811012022250"</f>
        <v>31811012022250</v>
      </c>
      <c r="Y935" s="0" t="s">
        <v>39</v>
      </c>
      <c r="Z935" s="0" t="s">
        <v>42</v>
      </c>
      <c r="AA935" s="0" t="s">
        <v>622</v>
      </c>
      <c r="AE935" s="1" t="s">
        <v>52</v>
      </c>
    </row>
    <row r="936" customFormat="false" ht="12.8" hidden="false" customHeight="false" outlineLevel="0" collapsed="false">
      <c r="A936" s="0" t="n">
        <v>313830</v>
      </c>
      <c r="B936" s="0" t="n">
        <v>341853</v>
      </c>
      <c r="C936" s="0" t="n">
        <v>381736</v>
      </c>
      <c r="D936" s="0" t="s">
        <v>35</v>
      </c>
      <c r="E936" s="0" t="s">
        <v>35</v>
      </c>
      <c r="F936" s="0" t="s">
        <v>480</v>
      </c>
      <c r="G936" s="0" t="s">
        <v>500</v>
      </c>
      <c r="H936" s="0" t="s">
        <v>3289</v>
      </c>
      <c r="I936" s="0" t="s">
        <v>3290</v>
      </c>
      <c r="J936" s="0" t="s">
        <v>3291</v>
      </c>
      <c r="M936" s="0" t="s">
        <v>3292</v>
      </c>
      <c r="N936" s="1" t="s">
        <v>3293</v>
      </c>
      <c r="O936" s="0" t="s">
        <v>3294</v>
      </c>
      <c r="P936" s="0" t="n">
        <v>1950</v>
      </c>
      <c r="Q936" s="0" t="s">
        <v>39</v>
      </c>
      <c r="R936" s="0" t="s">
        <v>3295</v>
      </c>
      <c r="S936" s="0" t="s">
        <v>3296</v>
      </c>
      <c r="T936" s="0" t="n">
        <v>1951</v>
      </c>
      <c r="V936" s="0" t="n">
        <v>1</v>
      </c>
      <c r="W936" s="0" t="n">
        <v>1</v>
      </c>
      <c r="X936" s="0" t="str">
        <f aca="false">"31811012021963"</f>
        <v>31811012021963</v>
      </c>
      <c r="Y936" s="0" t="s">
        <v>39</v>
      </c>
      <c r="Z936" s="0" t="s">
        <v>42</v>
      </c>
      <c r="AA936" s="0" t="s">
        <v>622</v>
      </c>
      <c r="AE936" s="1" t="s">
        <v>52</v>
      </c>
    </row>
    <row r="937" customFormat="false" ht="12.8" hidden="false" customHeight="false" outlineLevel="0" collapsed="false">
      <c r="A937" s="0" t="n">
        <v>466352</v>
      </c>
      <c r="B937" s="0" t="n">
        <v>498234</v>
      </c>
      <c r="C937" s="0" t="n">
        <v>559505</v>
      </c>
      <c r="D937" s="0" t="s">
        <v>35</v>
      </c>
      <c r="E937" s="0" t="s">
        <v>35</v>
      </c>
      <c r="F937" s="0" t="s">
        <v>36</v>
      </c>
      <c r="G937" s="0" t="s">
        <v>500</v>
      </c>
      <c r="H937" s="0" t="s">
        <v>3297</v>
      </c>
      <c r="I937" s="0" t="s">
        <v>3298</v>
      </c>
      <c r="J937" s="0" t="s">
        <v>3297</v>
      </c>
      <c r="M937" s="0" t="s">
        <v>3299</v>
      </c>
      <c r="N937" s="0" t="n">
        <v>1969</v>
      </c>
      <c r="O937" s="0" t="s">
        <v>3300</v>
      </c>
      <c r="P937" s="0" t="n">
        <v>1969</v>
      </c>
      <c r="Q937" s="0" t="s">
        <v>39</v>
      </c>
      <c r="R937" s="0" t="s">
        <v>3301</v>
      </c>
      <c r="S937" s="0" t="s">
        <v>3302</v>
      </c>
      <c r="V937" s="0" t="n">
        <v>1</v>
      </c>
      <c r="W937" s="0" t="n">
        <v>1</v>
      </c>
      <c r="X937" s="0" t="str">
        <f aca="false">"31811010747932"</f>
        <v>31811010747932</v>
      </c>
      <c r="Y937" s="0" t="s">
        <v>39</v>
      </c>
      <c r="Z937" s="0" t="s">
        <v>42</v>
      </c>
      <c r="AA937" s="0" t="s">
        <v>43</v>
      </c>
      <c r="AE937" s="1" t="s">
        <v>52</v>
      </c>
    </row>
    <row r="938" customFormat="false" ht="12.8" hidden="false" customHeight="false" outlineLevel="0" collapsed="false">
      <c r="A938" s="0" t="n">
        <v>471606</v>
      </c>
      <c r="B938" s="0" t="n">
        <v>503660</v>
      </c>
      <c r="C938" s="0" t="n">
        <v>565572</v>
      </c>
      <c r="D938" s="0" t="s">
        <v>35</v>
      </c>
      <c r="E938" s="0" t="s">
        <v>35</v>
      </c>
      <c r="F938" s="0" t="s">
        <v>36</v>
      </c>
      <c r="G938" s="0" t="s">
        <v>500</v>
      </c>
      <c r="H938" s="0" t="s">
        <v>3303</v>
      </c>
      <c r="I938" s="0" t="s">
        <v>3304</v>
      </c>
      <c r="J938" s="0" t="s">
        <v>3303</v>
      </c>
      <c r="M938" s="0" t="s">
        <v>3305</v>
      </c>
      <c r="N938" s="0" t="n">
        <v>1970</v>
      </c>
      <c r="O938" s="0" t="s">
        <v>3306</v>
      </c>
      <c r="P938" s="0" t="n">
        <v>1970</v>
      </c>
      <c r="Q938" s="0" t="s">
        <v>39</v>
      </c>
      <c r="R938" s="0" t="s">
        <v>3307</v>
      </c>
      <c r="S938" s="0" t="s">
        <v>3308</v>
      </c>
      <c r="V938" s="0" t="n">
        <v>1</v>
      </c>
      <c r="W938" s="0" t="n">
        <v>1</v>
      </c>
      <c r="X938" s="0" t="str">
        <f aca="false">"31811010747940"</f>
        <v>31811010747940</v>
      </c>
      <c r="Y938" s="0" t="s">
        <v>39</v>
      </c>
      <c r="Z938" s="0" t="s">
        <v>42</v>
      </c>
      <c r="AA938" s="0" t="s">
        <v>43</v>
      </c>
      <c r="AE938" s="1" t="s">
        <v>52</v>
      </c>
    </row>
    <row r="939" customFormat="false" ht="12.8" hidden="false" customHeight="false" outlineLevel="0" collapsed="false">
      <c r="A939" s="0" t="n">
        <v>127596</v>
      </c>
      <c r="B939" s="0" t="n">
        <v>137360</v>
      </c>
      <c r="C939" s="0" t="n">
        <v>152708</v>
      </c>
      <c r="D939" s="0" t="s">
        <v>35</v>
      </c>
      <c r="E939" s="0" t="s">
        <v>35</v>
      </c>
      <c r="F939" s="0" t="s">
        <v>36</v>
      </c>
      <c r="G939" s="0" t="s">
        <v>37</v>
      </c>
      <c r="H939" s="0" t="s">
        <v>3309</v>
      </c>
      <c r="I939" s="0" t="s">
        <v>3310</v>
      </c>
      <c r="J939" s="0" t="s">
        <v>3309</v>
      </c>
      <c r="M939" s="0" t="s">
        <v>3311</v>
      </c>
      <c r="N939" s="0" t="n">
        <v>1956</v>
      </c>
      <c r="O939" s="0" t="s">
        <v>3300</v>
      </c>
      <c r="P939" s="0" t="n">
        <v>1956</v>
      </c>
      <c r="Q939" s="0" t="s">
        <v>39</v>
      </c>
      <c r="R939" s="0" t="s">
        <v>3312</v>
      </c>
      <c r="S939" s="0" t="s">
        <v>3313</v>
      </c>
      <c r="V939" s="0" t="n">
        <v>1</v>
      </c>
      <c r="W939" s="0" t="n">
        <v>1</v>
      </c>
      <c r="X939" s="0" t="str">
        <f aca="false">"31811010747825"</f>
        <v>31811010747825</v>
      </c>
      <c r="Y939" s="0" t="s">
        <v>39</v>
      </c>
      <c r="Z939" s="0" t="s">
        <v>42</v>
      </c>
      <c r="AA939" s="0" t="s">
        <v>43</v>
      </c>
      <c r="AE939" s="1" t="s">
        <v>52</v>
      </c>
    </row>
    <row r="940" customFormat="false" ht="12.8" hidden="false" customHeight="false" outlineLevel="0" collapsed="false">
      <c r="A940" s="0" t="n">
        <v>501847</v>
      </c>
      <c r="B940" s="0" t="n">
        <v>483163</v>
      </c>
      <c r="C940" s="0" t="n">
        <v>541397</v>
      </c>
      <c r="D940" s="0" t="s">
        <v>35</v>
      </c>
      <c r="E940" s="0" t="s">
        <v>35</v>
      </c>
      <c r="F940" s="0" t="s">
        <v>36</v>
      </c>
      <c r="G940" s="0" t="s">
        <v>500</v>
      </c>
      <c r="H940" s="0" t="s">
        <v>3314</v>
      </c>
      <c r="I940" s="0" t="s">
        <v>3315</v>
      </c>
      <c r="J940" s="0" t="s">
        <v>3316</v>
      </c>
      <c r="M940" s="0" t="s">
        <v>3317</v>
      </c>
      <c r="N940" s="0" t="n">
        <v>1928</v>
      </c>
      <c r="O940" s="0" t="s">
        <v>3318</v>
      </c>
      <c r="P940" s="0" t="n">
        <v>1928</v>
      </c>
      <c r="Q940" s="0" t="s">
        <v>39</v>
      </c>
      <c r="R940" s="0" t="s">
        <v>3319</v>
      </c>
      <c r="S940" s="0" t="s">
        <v>3320</v>
      </c>
      <c r="V940" s="0" t="n">
        <v>1</v>
      </c>
      <c r="W940" s="0" t="n">
        <v>1</v>
      </c>
      <c r="X940" s="0" t="str">
        <f aca="false">"31811010747817"</f>
        <v>31811010747817</v>
      </c>
      <c r="Y940" s="0" t="s">
        <v>39</v>
      </c>
      <c r="Z940" s="0" t="s">
        <v>42</v>
      </c>
      <c r="AA940" s="0" t="s">
        <v>43</v>
      </c>
      <c r="AE940" s="1" t="s">
        <v>52</v>
      </c>
    </row>
    <row r="941" customFormat="false" ht="12.8" hidden="false" customHeight="false" outlineLevel="0" collapsed="false">
      <c r="A941" s="0" t="n">
        <v>360559</v>
      </c>
      <c r="B941" s="0" t="n">
        <v>390122</v>
      </c>
      <c r="C941" s="0" t="n">
        <v>433814</v>
      </c>
      <c r="D941" s="0" t="s">
        <v>35</v>
      </c>
      <c r="E941" s="0" t="s">
        <v>35</v>
      </c>
      <c r="F941" s="0" t="s">
        <v>36</v>
      </c>
      <c r="G941" s="0" t="s">
        <v>37</v>
      </c>
      <c r="H941" s="0" t="s">
        <v>3321</v>
      </c>
      <c r="I941" s="0" t="s">
        <v>3322</v>
      </c>
      <c r="J941" s="0" t="s">
        <v>3323</v>
      </c>
      <c r="M941" s="0" t="s">
        <v>3324</v>
      </c>
      <c r="N941" s="0" t="s">
        <v>172</v>
      </c>
      <c r="O941" s="0" t="s">
        <v>3325</v>
      </c>
      <c r="P941" s="0" t="n">
        <v>1974</v>
      </c>
      <c r="Q941" s="0" t="s">
        <v>39</v>
      </c>
      <c r="R941" s="0" t="s">
        <v>3326</v>
      </c>
      <c r="S941" s="0" t="s">
        <v>3327</v>
      </c>
      <c r="V941" s="0" t="n">
        <v>1</v>
      </c>
      <c r="W941" s="0" t="n">
        <v>1</v>
      </c>
      <c r="X941" s="0" t="str">
        <f aca="false">"31811010747783"</f>
        <v>31811010747783</v>
      </c>
      <c r="Y941" s="0" t="s">
        <v>39</v>
      </c>
      <c r="Z941" s="0" t="s">
        <v>42</v>
      </c>
      <c r="AA941" s="0" t="s">
        <v>43</v>
      </c>
      <c r="AE941" s="1" t="s">
        <v>52</v>
      </c>
      <c r="AH941" s="1" t="s">
        <v>3328</v>
      </c>
    </row>
    <row r="942" customFormat="false" ht="12.8" hidden="false" customHeight="false" outlineLevel="0" collapsed="false">
      <c r="A942" s="0" t="n">
        <v>499396</v>
      </c>
      <c r="B942" s="0" t="n">
        <v>480560</v>
      </c>
      <c r="C942" s="0" t="n">
        <v>538516</v>
      </c>
      <c r="D942" s="0" t="s">
        <v>35</v>
      </c>
      <c r="E942" s="0" t="s">
        <v>35</v>
      </c>
      <c r="F942" s="0" t="s">
        <v>36</v>
      </c>
      <c r="G942" s="0" t="s">
        <v>500</v>
      </c>
      <c r="H942" s="0" t="s">
        <v>3329</v>
      </c>
      <c r="I942" s="0" t="s">
        <v>3330</v>
      </c>
      <c r="J942" s="0" t="s">
        <v>3331</v>
      </c>
      <c r="M942" s="0" t="s">
        <v>3332</v>
      </c>
      <c r="N942" s="0" t="n">
        <v>1939</v>
      </c>
      <c r="O942" s="0" t="s">
        <v>3333</v>
      </c>
      <c r="P942" s="0" t="n">
        <v>1939</v>
      </c>
      <c r="Q942" s="0" t="s">
        <v>39</v>
      </c>
      <c r="R942" s="0" t="s">
        <v>3334</v>
      </c>
      <c r="S942" s="0" t="s">
        <v>3335</v>
      </c>
      <c r="V942" s="0" t="n">
        <v>1</v>
      </c>
      <c r="W942" s="0" t="n">
        <v>1</v>
      </c>
      <c r="X942" s="0" t="str">
        <f aca="false">"31811010747775"</f>
        <v>31811010747775</v>
      </c>
      <c r="Y942" s="0" t="s">
        <v>39</v>
      </c>
      <c r="Z942" s="0" t="s">
        <v>42</v>
      </c>
      <c r="AA942" s="0" t="s">
        <v>43</v>
      </c>
      <c r="AE942" s="1" t="s">
        <v>52</v>
      </c>
    </row>
    <row r="943" customFormat="false" ht="12.8" hidden="false" customHeight="false" outlineLevel="0" collapsed="false">
      <c r="A943" s="0" t="n">
        <v>497006</v>
      </c>
      <c r="B943" s="0" t="n">
        <v>478134</v>
      </c>
      <c r="C943" s="0" t="n">
        <v>535918</v>
      </c>
      <c r="D943" s="0" t="s">
        <v>35</v>
      </c>
      <c r="E943" s="0" t="s">
        <v>35</v>
      </c>
      <c r="F943" s="0" t="s">
        <v>36</v>
      </c>
      <c r="G943" s="0" t="s">
        <v>500</v>
      </c>
      <c r="H943" s="0" t="s">
        <v>3336</v>
      </c>
      <c r="I943" s="0" t="s">
        <v>3337</v>
      </c>
      <c r="J943" s="0" t="s">
        <v>3336</v>
      </c>
      <c r="M943" s="0" t="s">
        <v>3338</v>
      </c>
      <c r="N943" s="0" t="n">
        <v>1941</v>
      </c>
      <c r="O943" s="0" t="s">
        <v>3339</v>
      </c>
      <c r="P943" s="0" t="n">
        <v>1941</v>
      </c>
      <c r="Q943" s="0" t="s">
        <v>39</v>
      </c>
      <c r="R943" s="0" t="s">
        <v>3340</v>
      </c>
      <c r="S943" s="0" t="s">
        <v>3341</v>
      </c>
      <c r="V943" s="0" t="n">
        <v>1</v>
      </c>
      <c r="W943" s="0" t="n">
        <v>1</v>
      </c>
      <c r="X943" s="0" t="str">
        <f aca="false">"31811010747965"</f>
        <v>31811010747965</v>
      </c>
      <c r="Y943" s="0" t="s">
        <v>39</v>
      </c>
      <c r="Z943" s="0" t="s">
        <v>42</v>
      </c>
      <c r="AA943" s="0" t="s">
        <v>43</v>
      </c>
      <c r="AE943" s="1" t="s">
        <v>52</v>
      </c>
      <c r="AH943" s="1" t="s">
        <v>3342</v>
      </c>
    </row>
    <row r="944" customFormat="false" ht="12.8" hidden="false" customHeight="false" outlineLevel="0" collapsed="false">
      <c r="A944" s="0" t="n">
        <v>412831</v>
      </c>
      <c r="B944" s="0" t="n">
        <v>445362</v>
      </c>
      <c r="C944" s="0" t="n">
        <v>496506</v>
      </c>
      <c r="D944" s="0" t="s">
        <v>35</v>
      </c>
      <c r="E944" s="0" t="s">
        <v>35</v>
      </c>
      <c r="F944" s="0" t="s">
        <v>36</v>
      </c>
      <c r="G944" s="0" t="s">
        <v>37</v>
      </c>
      <c r="H944" s="0" t="s">
        <v>3343</v>
      </c>
      <c r="I944" s="0" t="s">
        <v>3344</v>
      </c>
      <c r="J944" s="0" t="s">
        <v>3343</v>
      </c>
      <c r="M944" s="0" t="s">
        <v>3345</v>
      </c>
      <c r="N944" s="0" t="n">
        <v>1947</v>
      </c>
      <c r="P944" s="0" t="n">
        <v>1947</v>
      </c>
      <c r="Q944" s="0" t="s">
        <v>39</v>
      </c>
      <c r="R944" s="0" t="s">
        <v>3346</v>
      </c>
      <c r="S944" s="0" t="s">
        <v>3347</v>
      </c>
      <c r="V944" s="0" t="n">
        <v>1</v>
      </c>
      <c r="W944" s="0" t="n">
        <v>1</v>
      </c>
      <c r="X944" s="0" t="str">
        <f aca="false">"31811010747957"</f>
        <v>31811010747957</v>
      </c>
      <c r="Y944" s="0" t="s">
        <v>39</v>
      </c>
      <c r="Z944" s="0" t="s">
        <v>42</v>
      </c>
      <c r="AA944" s="0" t="s">
        <v>43</v>
      </c>
      <c r="AE944" s="1" t="s">
        <v>52</v>
      </c>
      <c r="AH944" s="1" t="s">
        <v>708</v>
      </c>
    </row>
    <row r="945" customFormat="false" ht="12.8" hidden="false" customHeight="false" outlineLevel="0" collapsed="false">
      <c r="A945" s="0" t="n">
        <v>489225</v>
      </c>
      <c r="B945" s="0" t="n">
        <v>521867</v>
      </c>
      <c r="C945" s="0" t="n">
        <v>585769</v>
      </c>
      <c r="D945" s="0" t="s">
        <v>35</v>
      </c>
      <c r="E945" s="0" t="s">
        <v>35</v>
      </c>
      <c r="F945" s="0" t="s">
        <v>36</v>
      </c>
      <c r="G945" s="0" t="s">
        <v>37</v>
      </c>
      <c r="H945" s="0" t="s">
        <v>3348</v>
      </c>
      <c r="J945" s="0" t="s">
        <v>3349</v>
      </c>
      <c r="M945" s="0" t="s">
        <v>3350</v>
      </c>
      <c r="N945" s="0" t="s">
        <v>2044</v>
      </c>
      <c r="O945" s="0" t="s">
        <v>3351</v>
      </c>
      <c r="P945" s="0" t="n">
        <v>1995</v>
      </c>
      <c r="Q945" s="0" t="s">
        <v>39</v>
      </c>
      <c r="R945" s="0" t="s">
        <v>3352</v>
      </c>
      <c r="S945" s="0" t="s">
        <v>3353</v>
      </c>
      <c r="V945" s="0" t="n">
        <v>1</v>
      </c>
      <c r="W945" s="0" t="n">
        <v>1</v>
      </c>
      <c r="X945" s="0" t="str">
        <f aca="false">"31811011628586"</f>
        <v>31811011628586</v>
      </c>
      <c r="Y945" s="0" t="s">
        <v>39</v>
      </c>
      <c r="Z945" s="0" t="s">
        <v>42</v>
      </c>
      <c r="AA945" s="0" t="s">
        <v>43</v>
      </c>
      <c r="AE945" s="1" t="s">
        <v>52</v>
      </c>
    </row>
    <row r="946" customFormat="false" ht="12.8" hidden="false" customHeight="false" outlineLevel="0" collapsed="false">
      <c r="A946" s="0" t="n">
        <v>101516</v>
      </c>
      <c r="B946" s="0" t="n">
        <v>109353</v>
      </c>
      <c r="C946" s="0" t="n">
        <v>122176</v>
      </c>
      <c r="D946" s="0" t="s">
        <v>35</v>
      </c>
      <c r="E946" s="0" t="s">
        <v>35</v>
      </c>
      <c r="F946" s="0" t="s">
        <v>36</v>
      </c>
      <c r="G946" s="0" t="s">
        <v>37</v>
      </c>
      <c r="H946" s="0" t="s">
        <v>3354</v>
      </c>
      <c r="I946" s="0" t="s">
        <v>3355</v>
      </c>
      <c r="J946" s="0" t="s">
        <v>3354</v>
      </c>
      <c r="M946" s="0" t="s">
        <v>3356</v>
      </c>
      <c r="N946" s="0" t="s">
        <v>3357</v>
      </c>
      <c r="O946" s="0" t="s">
        <v>3358</v>
      </c>
      <c r="P946" s="0" t="n">
        <v>1971</v>
      </c>
      <c r="Q946" s="0" t="s">
        <v>39</v>
      </c>
      <c r="R946" s="0" t="s">
        <v>3359</v>
      </c>
      <c r="S946" s="0" t="s">
        <v>3360</v>
      </c>
      <c r="V946" s="0" t="n">
        <v>1</v>
      </c>
      <c r="W946" s="0" t="n">
        <v>1</v>
      </c>
      <c r="X946" s="0" t="str">
        <f aca="false">"31811010369067"</f>
        <v>31811010369067</v>
      </c>
      <c r="Y946" s="0" t="s">
        <v>39</v>
      </c>
      <c r="Z946" s="0" t="s">
        <v>42</v>
      </c>
      <c r="AA946" s="0" t="s">
        <v>43</v>
      </c>
      <c r="AE946" s="1" t="s">
        <v>52</v>
      </c>
    </row>
    <row r="947" customFormat="false" ht="12.8" hidden="false" customHeight="false" outlineLevel="0" collapsed="false">
      <c r="A947" s="0" t="n">
        <v>516519</v>
      </c>
      <c r="B947" s="0" t="n">
        <v>553817</v>
      </c>
      <c r="C947" s="0" t="n">
        <v>625054</v>
      </c>
      <c r="D947" s="0" t="s">
        <v>35</v>
      </c>
      <c r="E947" s="0" t="s">
        <v>35</v>
      </c>
      <c r="F947" s="0" t="s">
        <v>36</v>
      </c>
      <c r="G947" s="0" t="s">
        <v>37</v>
      </c>
      <c r="H947" s="0" t="s">
        <v>3361</v>
      </c>
      <c r="I947" s="0" t="s">
        <v>3362</v>
      </c>
      <c r="J947" s="0" t="s">
        <v>3363</v>
      </c>
      <c r="M947" s="0" t="s">
        <v>3364</v>
      </c>
      <c r="N947" s="0" t="s">
        <v>3365</v>
      </c>
      <c r="O947" s="0" t="s">
        <v>3366</v>
      </c>
      <c r="P947" s="0" t="n">
        <v>1997</v>
      </c>
      <c r="Q947" s="0" t="s">
        <v>39</v>
      </c>
      <c r="R947" s="0" t="s">
        <v>3367</v>
      </c>
      <c r="S947" s="0" t="s">
        <v>3368</v>
      </c>
      <c r="V947" s="0" t="n">
        <v>1</v>
      </c>
      <c r="W947" s="0" t="n">
        <v>1</v>
      </c>
      <c r="X947" s="0" t="str">
        <f aca="false">"31811010972092"</f>
        <v>31811010972092</v>
      </c>
      <c r="Y947" s="0" t="s">
        <v>39</v>
      </c>
      <c r="Z947" s="0" t="s">
        <v>42</v>
      </c>
      <c r="AA947" s="0" t="s">
        <v>43</v>
      </c>
      <c r="AE947" s="1" t="s">
        <v>52</v>
      </c>
    </row>
    <row r="948" customFormat="false" ht="12.8" hidden="false" customHeight="false" outlineLevel="0" collapsed="false">
      <c r="A948" s="0" t="n">
        <v>276615</v>
      </c>
      <c r="B948" s="0" t="n">
        <v>302558</v>
      </c>
      <c r="C948" s="0" t="n">
        <v>339112</v>
      </c>
      <c r="D948" s="0" t="s">
        <v>35</v>
      </c>
      <c r="E948" s="0" t="s">
        <v>35</v>
      </c>
      <c r="F948" s="0" t="s">
        <v>36</v>
      </c>
      <c r="G948" s="0" t="s">
        <v>37</v>
      </c>
      <c r="H948" s="0" t="s">
        <v>3369</v>
      </c>
      <c r="J948" s="0" t="s">
        <v>3370</v>
      </c>
      <c r="M948" s="0" t="s">
        <v>3371</v>
      </c>
      <c r="N948" s="0" t="n">
        <v>1968</v>
      </c>
      <c r="O948" s="0" t="s">
        <v>3372</v>
      </c>
      <c r="P948" s="0" t="n">
        <v>1968</v>
      </c>
      <c r="Q948" s="0" t="s">
        <v>39</v>
      </c>
      <c r="R948" s="0" t="s">
        <v>3373</v>
      </c>
      <c r="S948" s="0" t="s">
        <v>3374</v>
      </c>
      <c r="V948" s="0" t="n">
        <v>1</v>
      </c>
      <c r="W948" s="0" t="n">
        <v>1</v>
      </c>
      <c r="X948" s="0" t="str">
        <f aca="false">"31811010369109"</f>
        <v>31811010369109</v>
      </c>
      <c r="Y948" s="0" t="s">
        <v>39</v>
      </c>
      <c r="Z948" s="0" t="s">
        <v>42</v>
      </c>
      <c r="AA948" s="0" t="s">
        <v>43</v>
      </c>
      <c r="AE948" s="1" t="s">
        <v>52</v>
      </c>
    </row>
    <row r="949" customFormat="false" ht="12.8" hidden="false" customHeight="false" outlineLevel="0" collapsed="false">
      <c r="A949" s="0" t="n">
        <v>441479</v>
      </c>
      <c r="B949" s="0" t="n">
        <v>527041</v>
      </c>
      <c r="C949" s="0" t="n">
        <v>591908</v>
      </c>
      <c r="D949" s="0" t="s">
        <v>35</v>
      </c>
      <c r="E949" s="0" t="s">
        <v>35</v>
      </c>
      <c r="F949" s="0" t="s">
        <v>36</v>
      </c>
      <c r="G949" s="0" t="s">
        <v>37</v>
      </c>
      <c r="H949" s="0" t="s">
        <v>3375</v>
      </c>
      <c r="I949" s="0" t="s">
        <v>3376</v>
      </c>
      <c r="J949" s="0" t="s">
        <v>3377</v>
      </c>
      <c r="M949" s="0" t="s">
        <v>3378</v>
      </c>
      <c r="N949" s="0" t="n">
        <v>1961</v>
      </c>
      <c r="O949" s="0" t="s">
        <v>118</v>
      </c>
      <c r="P949" s="0" t="n">
        <v>1961</v>
      </c>
      <c r="Q949" s="0" t="s">
        <v>39</v>
      </c>
      <c r="R949" s="0" t="s">
        <v>3379</v>
      </c>
      <c r="S949" s="0" t="s">
        <v>3380</v>
      </c>
      <c r="V949" s="0" t="n">
        <v>1</v>
      </c>
      <c r="W949" s="0" t="n">
        <v>1</v>
      </c>
      <c r="X949" s="0" t="str">
        <f aca="false">"31811010748005"</f>
        <v>31811010748005</v>
      </c>
      <c r="Y949" s="0" t="s">
        <v>39</v>
      </c>
      <c r="Z949" s="0" t="s">
        <v>42</v>
      </c>
      <c r="AA949" s="0" t="s">
        <v>43</v>
      </c>
      <c r="AE949" s="1" t="s">
        <v>52</v>
      </c>
      <c r="AH949" s="1" t="s">
        <v>3381</v>
      </c>
    </row>
    <row r="950" customFormat="false" ht="12.8" hidden="false" customHeight="false" outlineLevel="0" collapsed="false">
      <c r="A950" s="0" t="n">
        <v>298092</v>
      </c>
      <c r="B950" s="0" t="n">
        <v>325324</v>
      </c>
      <c r="C950" s="0" t="n">
        <v>363457</v>
      </c>
      <c r="D950" s="0" t="s">
        <v>35</v>
      </c>
      <c r="E950" s="0" t="s">
        <v>35</v>
      </c>
      <c r="F950" s="0" t="s">
        <v>36</v>
      </c>
      <c r="G950" s="0" t="s">
        <v>3382</v>
      </c>
      <c r="H950" s="0" t="s">
        <v>3383</v>
      </c>
      <c r="I950" s="0" t="s">
        <v>3384</v>
      </c>
      <c r="J950" s="0" t="s">
        <v>3385</v>
      </c>
      <c r="M950" s="0" t="s">
        <v>3386</v>
      </c>
      <c r="N950" s="0" t="n">
        <v>1936</v>
      </c>
      <c r="O950" s="0" t="s">
        <v>3387</v>
      </c>
      <c r="P950" s="0" t="n">
        <v>1980</v>
      </c>
      <c r="Q950" s="0" t="s">
        <v>39</v>
      </c>
      <c r="R950" s="0" t="s">
        <v>3388</v>
      </c>
      <c r="S950" s="0" t="s">
        <v>3389</v>
      </c>
      <c r="V950" s="0" t="n">
        <v>1</v>
      </c>
      <c r="W950" s="0" t="n">
        <v>1</v>
      </c>
      <c r="X950" s="0" t="str">
        <f aca="false">"31811010747981"</f>
        <v>31811010747981</v>
      </c>
      <c r="Y950" s="0" t="s">
        <v>39</v>
      </c>
      <c r="Z950" s="0" t="s">
        <v>42</v>
      </c>
      <c r="AA950" s="0" t="s">
        <v>43</v>
      </c>
      <c r="AE950" s="1" t="s">
        <v>52</v>
      </c>
    </row>
    <row r="951" customFormat="false" ht="12.8" hidden="false" customHeight="false" outlineLevel="0" collapsed="false">
      <c r="A951" s="0" t="n">
        <v>249123</v>
      </c>
      <c r="B951" s="0" t="n">
        <v>272990</v>
      </c>
      <c r="C951" s="0" t="n">
        <v>307008</v>
      </c>
      <c r="D951" s="0" t="s">
        <v>35</v>
      </c>
      <c r="E951" s="0" t="s">
        <v>35</v>
      </c>
      <c r="F951" s="0" t="s">
        <v>36</v>
      </c>
      <c r="G951" s="0" t="s">
        <v>3382</v>
      </c>
      <c r="H951" s="0" t="s">
        <v>3390</v>
      </c>
      <c r="I951" s="0" t="s">
        <v>3391</v>
      </c>
      <c r="J951" s="0" t="s">
        <v>3390</v>
      </c>
      <c r="M951" s="0" t="s">
        <v>3392</v>
      </c>
      <c r="N951" s="0" t="s">
        <v>3393</v>
      </c>
      <c r="O951" s="0" t="s">
        <v>3394</v>
      </c>
      <c r="P951" s="0" t="n">
        <v>1950</v>
      </c>
      <c r="Q951" s="0" t="s">
        <v>39</v>
      </c>
      <c r="R951" s="0" t="s">
        <v>3395</v>
      </c>
      <c r="S951" s="0" t="s">
        <v>3396</v>
      </c>
      <c r="V951" s="0" t="n">
        <v>1</v>
      </c>
      <c r="W951" s="0" t="n">
        <v>1</v>
      </c>
      <c r="X951" s="0" t="str">
        <f aca="false">"31811010747999"</f>
        <v>31811010747999</v>
      </c>
      <c r="Y951" s="0" t="s">
        <v>39</v>
      </c>
      <c r="Z951" s="0" t="s">
        <v>42</v>
      </c>
      <c r="AA951" s="0" t="s">
        <v>43</v>
      </c>
      <c r="AE951" s="1" t="s">
        <v>52</v>
      </c>
    </row>
    <row r="952" customFormat="false" ht="12.8" hidden="false" customHeight="false" outlineLevel="0" collapsed="false">
      <c r="A952" s="0" t="n">
        <v>246252</v>
      </c>
      <c r="B952" s="0" t="n">
        <v>269862</v>
      </c>
      <c r="C952" s="0" t="n">
        <v>303429</v>
      </c>
      <c r="D952" s="0" t="s">
        <v>35</v>
      </c>
      <c r="E952" s="0" t="s">
        <v>35</v>
      </c>
      <c r="F952" s="0" t="s">
        <v>36</v>
      </c>
      <c r="G952" s="0" t="s">
        <v>37</v>
      </c>
      <c r="H952" s="0" t="s">
        <v>3397</v>
      </c>
      <c r="I952" s="0" t="s">
        <v>3398</v>
      </c>
      <c r="J952" s="0" t="s">
        <v>3399</v>
      </c>
      <c r="M952" s="0" t="s">
        <v>3400</v>
      </c>
      <c r="N952" s="0" t="n">
        <v>1966</v>
      </c>
      <c r="O952" s="0" t="s">
        <v>3401</v>
      </c>
      <c r="P952" s="0" t="n">
        <v>1966</v>
      </c>
      <c r="Q952" s="0" t="s">
        <v>39</v>
      </c>
      <c r="R952" s="0" t="s">
        <v>3402</v>
      </c>
      <c r="S952" s="0" t="s">
        <v>3403</v>
      </c>
      <c r="V952" s="0" t="n">
        <v>1</v>
      </c>
      <c r="W952" s="0" t="n">
        <v>1</v>
      </c>
      <c r="X952" s="0" t="str">
        <f aca="false">"31811010369349"</f>
        <v>31811010369349</v>
      </c>
      <c r="Y952" s="0" t="s">
        <v>39</v>
      </c>
      <c r="Z952" s="0" t="s">
        <v>42</v>
      </c>
      <c r="AA952" s="0" t="s">
        <v>43</v>
      </c>
      <c r="AE952" s="1" t="s">
        <v>52</v>
      </c>
    </row>
    <row r="953" customFormat="false" ht="12.8" hidden="false" customHeight="false" outlineLevel="0" collapsed="false">
      <c r="A953" s="0" t="n">
        <v>422455</v>
      </c>
      <c r="B953" s="0" t="n">
        <v>455474</v>
      </c>
      <c r="C953" s="0" t="n">
        <v>508537</v>
      </c>
      <c r="D953" s="0" t="s">
        <v>35</v>
      </c>
      <c r="E953" s="0" t="s">
        <v>35</v>
      </c>
      <c r="F953" s="0" t="s">
        <v>36</v>
      </c>
      <c r="G953" s="0" t="s">
        <v>481</v>
      </c>
      <c r="H953" s="0" t="s">
        <v>3404</v>
      </c>
      <c r="I953" s="0" t="s">
        <v>3405</v>
      </c>
      <c r="J953" s="0" t="s">
        <v>3404</v>
      </c>
      <c r="M953" s="0" t="s">
        <v>3406</v>
      </c>
      <c r="N953" s="0" t="n">
        <v>1960</v>
      </c>
      <c r="P953" s="0" t="n">
        <v>1960</v>
      </c>
      <c r="Q953" s="0" t="s">
        <v>39</v>
      </c>
      <c r="R953" s="0" t="s">
        <v>3407</v>
      </c>
      <c r="S953" s="0" t="s">
        <v>3408</v>
      </c>
      <c r="V953" s="0" t="n">
        <v>1</v>
      </c>
      <c r="W953" s="0" t="n">
        <v>1</v>
      </c>
      <c r="X953" s="0" t="str">
        <f aca="false">"31811010747973"</f>
        <v>31811010747973</v>
      </c>
      <c r="Y953" s="0" t="s">
        <v>39</v>
      </c>
      <c r="Z953" s="0" t="s">
        <v>42</v>
      </c>
      <c r="AA953" s="0" t="s">
        <v>43</v>
      </c>
      <c r="AE953" s="1" t="s">
        <v>52</v>
      </c>
    </row>
    <row r="954" customFormat="false" ht="12.8" hidden="false" customHeight="false" outlineLevel="0" collapsed="false">
      <c r="A954" s="0" t="n">
        <v>206984</v>
      </c>
      <c r="B954" s="0" t="n">
        <v>227094</v>
      </c>
      <c r="C954" s="0" t="n">
        <v>255601</v>
      </c>
      <c r="D954" s="0" t="s">
        <v>35</v>
      </c>
      <c r="E954" s="0" t="s">
        <v>35</v>
      </c>
      <c r="F954" s="0" t="s">
        <v>36</v>
      </c>
      <c r="G954" s="0" t="s">
        <v>37</v>
      </c>
      <c r="H954" s="0" t="s">
        <v>3409</v>
      </c>
      <c r="I954" s="0" t="s">
        <v>3410</v>
      </c>
      <c r="J954" s="0" t="s">
        <v>3411</v>
      </c>
      <c r="L954" s="0" t="n">
        <v>814787509</v>
      </c>
      <c r="M954" s="0" t="s">
        <v>3412</v>
      </c>
      <c r="N954" s="0" t="n">
        <v>1970</v>
      </c>
      <c r="O954" s="0" t="s">
        <v>3413</v>
      </c>
      <c r="P954" s="0" t="n">
        <v>1970</v>
      </c>
      <c r="Q954" s="0" t="s">
        <v>39</v>
      </c>
      <c r="R954" s="0" t="s">
        <v>3414</v>
      </c>
      <c r="S954" s="0" t="s">
        <v>3415</v>
      </c>
      <c r="V954" s="0" t="n">
        <v>1</v>
      </c>
      <c r="W954" s="0" t="n">
        <v>1</v>
      </c>
      <c r="X954" s="0" t="str">
        <f aca="false">"31811010370420"</f>
        <v>31811010370420</v>
      </c>
      <c r="Y954" s="0" t="s">
        <v>39</v>
      </c>
      <c r="Z954" s="0" t="s">
        <v>42</v>
      </c>
      <c r="AA954" s="0" t="s">
        <v>43</v>
      </c>
      <c r="AE954" s="1" t="s">
        <v>52</v>
      </c>
    </row>
    <row r="955" customFormat="false" ht="12.8" hidden="false" customHeight="false" outlineLevel="0" collapsed="false">
      <c r="A955" s="0" t="n">
        <v>269526</v>
      </c>
      <c r="B955" s="0" t="n">
        <v>295098</v>
      </c>
      <c r="C955" s="0" t="n">
        <v>331075</v>
      </c>
      <c r="D955" s="0" t="s">
        <v>35</v>
      </c>
      <c r="E955" s="0" t="s">
        <v>35</v>
      </c>
      <c r="F955" s="0" t="s">
        <v>480</v>
      </c>
      <c r="G955" s="0" t="s">
        <v>3416</v>
      </c>
      <c r="H955" s="0" t="s">
        <v>3417</v>
      </c>
      <c r="I955" s="0" t="s">
        <v>3418</v>
      </c>
      <c r="J955" s="0" t="s">
        <v>3417</v>
      </c>
      <c r="M955" s="0" t="s">
        <v>3419</v>
      </c>
      <c r="O955" s="0" t="s">
        <v>3420</v>
      </c>
      <c r="P955" s="0" t="n">
        <v>1853</v>
      </c>
      <c r="Q955" s="0" t="s">
        <v>39</v>
      </c>
      <c r="R955" s="0" t="s">
        <v>3421</v>
      </c>
      <c r="S955" s="0" t="s">
        <v>3422</v>
      </c>
      <c r="T955" s="0" t="s">
        <v>3423</v>
      </c>
      <c r="V955" s="0" t="n">
        <v>1</v>
      </c>
      <c r="W955" s="0" t="n">
        <v>1</v>
      </c>
      <c r="X955" s="0" t="str">
        <f aca="false">"31811012021948"</f>
        <v>31811012021948</v>
      </c>
      <c r="Y955" s="0" t="s">
        <v>39</v>
      </c>
      <c r="Z955" s="0" t="s">
        <v>42</v>
      </c>
      <c r="AA955" s="0" t="s">
        <v>43</v>
      </c>
      <c r="AE955" s="1" t="s">
        <v>52</v>
      </c>
    </row>
    <row r="956" customFormat="false" ht="12.8" hidden="false" customHeight="false" outlineLevel="0" collapsed="false">
      <c r="A956" s="0" t="n">
        <v>269526</v>
      </c>
      <c r="B956" s="0" t="n">
        <v>295098</v>
      </c>
      <c r="C956" s="0" t="n">
        <v>331076</v>
      </c>
      <c r="D956" s="0" t="s">
        <v>35</v>
      </c>
      <c r="E956" s="0" t="s">
        <v>35</v>
      </c>
      <c r="F956" s="0" t="s">
        <v>480</v>
      </c>
      <c r="G956" s="0" t="s">
        <v>3416</v>
      </c>
      <c r="H956" s="0" t="s">
        <v>3417</v>
      </c>
      <c r="I956" s="0" t="s">
        <v>3418</v>
      </c>
      <c r="J956" s="0" t="s">
        <v>3417</v>
      </c>
      <c r="M956" s="0" t="s">
        <v>3419</v>
      </c>
      <c r="O956" s="0" t="s">
        <v>3420</v>
      </c>
      <c r="P956" s="0" t="n">
        <v>1853</v>
      </c>
      <c r="Q956" s="0" t="s">
        <v>39</v>
      </c>
      <c r="R956" s="0" t="s">
        <v>3421</v>
      </c>
      <c r="S956" s="0" t="s">
        <v>3422</v>
      </c>
      <c r="T956" s="0" t="s">
        <v>3424</v>
      </c>
      <c r="V956" s="0" t="n">
        <v>1</v>
      </c>
      <c r="W956" s="0" t="n">
        <v>1</v>
      </c>
      <c r="X956" s="0" t="str">
        <f aca="false">"31811012021955"</f>
        <v>31811012021955</v>
      </c>
      <c r="Y956" s="0" t="s">
        <v>39</v>
      </c>
      <c r="Z956" s="0" t="s">
        <v>42</v>
      </c>
      <c r="AA956" s="0" t="s">
        <v>43</v>
      </c>
      <c r="AE956" s="1" t="s">
        <v>52</v>
      </c>
    </row>
    <row r="957" customFormat="false" ht="12.8" hidden="false" customHeight="false" outlineLevel="0" collapsed="false">
      <c r="A957" s="0" t="n">
        <v>350327</v>
      </c>
      <c r="B957" s="0" t="n">
        <v>379553</v>
      </c>
      <c r="C957" s="0" t="n">
        <v>422396</v>
      </c>
      <c r="D957" s="0" t="s">
        <v>35</v>
      </c>
      <c r="E957" s="0" t="s">
        <v>35</v>
      </c>
      <c r="F957" s="0" t="s">
        <v>36</v>
      </c>
      <c r="G957" s="0" t="s">
        <v>37</v>
      </c>
      <c r="H957" s="0" t="s">
        <v>3425</v>
      </c>
      <c r="I957" s="0" t="s">
        <v>3426</v>
      </c>
      <c r="J957" s="0" t="s">
        <v>3427</v>
      </c>
      <c r="M957" s="0" t="s">
        <v>3428</v>
      </c>
      <c r="N957" s="0" t="n">
        <v>1956</v>
      </c>
      <c r="O957" s="0" t="s">
        <v>3429</v>
      </c>
      <c r="P957" s="0" t="n">
        <v>1956</v>
      </c>
      <c r="Q957" s="0" t="s">
        <v>39</v>
      </c>
      <c r="R957" s="0" t="s">
        <v>3430</v>
      </c>
      <c r="S957" s="0" t="s">
        <v>3431</v>
      </c>
      <c r="V957" s="0" t="n">
        <v>1</v>
      </c>
      <c r="W957" s="0" t="n">
        <v>1</v>
      </c>
      <c r="X957" s="0" t="str">
        <f aca="false">"31811010748047"</f>
        <v>31811010748047</v>
      </c>
      <c r="Y957" s="0" t="s">
        <v>39</v>
      </c>
      <c r="Z957" s="0" t="s">
        <v>42</v>
      </c>
      <c r="AA957" s="0" t="s">
        <v>43</v>
      </c>
      <c r="AE957" s="1" t="s">
        <v>52</v>
      </c>
    </row>
    <row r="958" customFormat="false" ht="12.8" hidden="false" customHeight="false" outlineLevel="0" collapsed="false">
      <c r="A958" s="0" t="n">
        <v>428006</v>
      </c>
      <c r="B958" s="0" t="n">
        <v>461209</v>
      </c>
      <c r="C958" s="0" t="n">
        <v>514908</v>
      </c>
      <c r="D958" s="0" t="s">
        <v>35</v>
      </c>
      <c r="E958" s="0" t="s">
        <v>35</v>
      </c>
      <c r="F958" s="0" t="s">
        <v>36</v>
      </c>
      <c r="G958" s="0" t="s">
        <v>37</v>
      </c>
      <c r="H958" s="0" t="s">
        <v>3432</v>
      </c>
      <c r="I958" s="0" t="s">
        <v>3433</v>
      </c>
      <c r="J958" s="0" t="s">
        <v>3432</v>
      </c>
      <c r="M958" s="0" t="s">
        <v>3434</v>
      </c>
      <c r="N958" s="0" t="n">
        <v>1926</v>
      </c>
      <c r="P958" s="0" t="n">
        <v>1926</v>
      </c>
      <c r="Q958" s="0" t="s">
        <v>39</v>
      </c>
      <c r="R958" s="0" t="s">
        <v>3435</v>
      </c>
      <c r="S958" s="0" t="s">
        <v>3436</v>
      </c>
      <c r="V958" s="0" t="n">
        <v>1</v>
      </c>
      <c r="W958" s="0" t="n">
        <v>1</v>
      </c>
      <c r="X958" s="0" t="str">
        <f aca="false">"31811010748039"</f>
        <v>31811010748039</v>
      </c>
      <c r="Y958" s="0" t="s">
        <v>39</v>
      </c>
      <c r="Z958" s="0" t="s">
        <v>42</v>
      </c>
      <c r="AA958" s="0" t="s">
        <v>43</v>
      </c>
      <c r="AE958" s="1" t="s">
        <v>52</v>
      </c>
    </row>
    <row r="959" customFormat="false" ht="12.8" hidden="false" customHeight="false" outlineLevel="0" collapsed="false">
      <c r="A959" s="0" t="n">
        <v>488167</v>
      </c>
      <c r="B959" s="0" t="n">
        <v>520760</v>
      </c>
      <c r="C959" s="0" t="n">
        <v>584443</v>
      </c>
      <c r="D959" s="0" t="s">
        <v>35</v>
      </c>
      <c r="E959" s="0" t="s">
        <v>35</v>
      </c>
      <c r="F959" s="0" t="s">
        <v>36</v>
      </c>
      <c r="G959" s="0" t="s">
        <v>3416</v>
      </c>
      <c r="H959" s="0" t="s">
        <v>3437</v>
      </c>
      <c r="I959" s="0" t="s">
        <v>3438</v>
      </c>
      <c r="J959" s="0" t="s">
        <v>3439</v>
      </c>
      <c r="M959" s="0" t="s">
        <v>3440</v>
      </c>
      <c r="N959" s="0" t="n">
        <v>1931</v>
      </c>
      <c r="O959" s="0" t="s">
        <v>3441</v>
      </c>
      <c r="P959" s="0" t="n">
        <v>1931</v>
      </c>
      <c r="Q959" s="0" t="s">
        <v>39</v>
      </c>
      <c r="R959" s="0" t="s">
        <v>3442</v>
      </c>
      <c r="S959" s="0" t="s">
        <v>3443</v>
      </c>
      <c r="V959" s="0" t="n">
        <v>1</v>
      </c>
      <c r="W959" s="0" t="n">
        <v>1</v>
      </c>
      <c r="X959" s="0" t="str">
        <f aca="false">"31811010748021"</f>
        <v>31811010748021</v>
      </c>
      <c r="Y959" s="0" t="s">
        <v>39</v>
      </c>
      <c r="Z959" s="0" t="s">
        <v>42</v>
      </c>
      <c r="AA959" s="0" t="s">
        <v>43</v>
      </c>
      <c r="AE959" s="1" t="s">
        <v>52</v>
      </c>
    </row>
    <row r="960" customFormat="false" ht="12.8" hidden="false" customHeight="false" outlineLevel="0" collapsed="false">
      <c r="A960" s="0" t="n">
        <v>19493</v>
      </c>
      <c r="B960" s="0" t="n">
        <v>21842</v>
      </c>
      <c r="C960" s="0" t="n">
        <v>25497</v>
      </c>
      <c r="D960" s="0" t="s">
        <v>35</v>
      </c>
      <c r="E960" s="0" t="s">
        <v>35</v>
      </c>
      <c r="F960" s="0" t="s">
        <v>36</v>
      </c>
      <c r="G960" s="0" t="s">
        <v>37</v>
      </c>
      <c r="H960" s="0" t="s">
        <v>3444</v>
      </c>
      <c r="I960" s="0" t="s">
        <v>3445</v>
      </c>
      <c r="J960" s="0" t="s">
        <v>3446</v>
      </c>
      <c r="L960" s="0" t="n">
        <v>70101078</v>
      </c>
      <c r="M960" s="0" t="s">
        <v>3447</v>
      </c>
      <c r="N960" s="0" t="s">
        <v>172</v>
      </c>
      <c r="O960" s="0" t="s">
        <v>692</v>
      </c>
      <c r="P960" s="0" t="n">
        <v>1974</v>
      </c>
      <c r="Q960" s="0" t="s">
        <v>39</v>
      </c>
      <c r="R960" s="0" t="s">
        <v>3448</v>
      </c>
      <c r="S960" s="0" t="s">
        <v>3449</v>
      </c>
      <c r="V960" s="0" t="n">
        <v>1</v>
      </c>
      <c r="W960" s="0" t="n">
        <v>1</v>
      </c>
      <c r="X960" s="0" t="str">
        <f aca="false">"31811010370537"</f>
        <v>31811010370537</v>
      </c>
      <c r="Y960" s="0" t="s">
        <v>39</v>
      </c>
      <c r="Z960" s="0" t="s">
        <v>42</v>
      </c>
      <c r="AA960" s="0" t="s">
        <v>43</v>
      </c>
      <c r="AE960" s="1" t="s">
        <v>52</v>
      </c>
    </row>
    <row r="961" customFormat="false" ht="12.8" hidden="false" customHeight="false" outlineLevel="0" collapsed="false">
      <c r="A961" s="0" t="n">
        <v>115427</v>
      </c>
      <c r="B961" s="0" t="n">
        <v>124191</v>
      </c>
      <c r="C961" s="0" t="n">
        <v>138387</v>
      </c>
      <c r="D961" s="0" t="s">
        <v>35</v>
      </c>
      <c r="E961" s="0" t="s">
        <v>35</v>
      </c>
      <c r="F961" s="0" t="s">
        <v>36</v>
      </c>
      <c r="G961" s="0" t="s">
        <v>37</v>
      </c>
      <c r="H961" s="0" t="s">
        <v>3450</v>
      </c>
      <c r="I961" s="0" t="s">
        <v>3451</v>
      </c>
      <c r="J961" s="0" t="s">
        <v>3450</v>
      </c>
      <c r="M961" s="0" t="s">
        <v>3452</v>
      </c>
      <c r="N961" s="0" t="s">
        <v>282</v>
      </c>
      <c r="O961" s="0" t="s">
        <v>3453</v>
      </c>
      <c r="P961" s="0" t="n">
        <v>1963</v>
      </c>
      <c r="Q961" s="0" t="s">
        <v>39</v>
      </c>
      <c r="R961" s="0" t="s">
        <v>3454</v>
      </c>
      <c r="S961" s="0" t="s">
        <v>3455</v>
      </c>
      <c r="V961" s="0" t="n">
        <v>1</v>
      </c>
      <c r="W961" s="0" t="n">
        <v>1</v>
      </c>
      <c r="X961" s="0" t="str">
        <f aca="false">"31811010370495"</f>
        <v>31811010370495</v>
      </c>
      <c r="Y961" s="0" t="s">
        <v>39</v>
      </c>
      <c r="Z961" s="0" t="s">
        <v>42</v>
      </c>
      <c r="AA961" s="0" t="s">
        <v>43</v>
      </c>
      <c r="AE961" s="1" t="s">
        <v>52</v>
      </c>
    </row>
    <row r="962" customFormat="false" ht="12.8" hidden="false" customHeight="false" outlineLevel="0" collapsed="false">
      <c r="A962" s="0" t="n">
        <v>10579</v>
      </c>
      <c r="B962" s="0" t="n">
        <v>12238</v>
      </c>
      <c r="C962" s="0" t="n">
        <v>14229</v>
      </c>
      <c r="D962" s="0" t="s">
        <v>35</v>
      </c>
      <c r="E962" s="0" t="s">
        <v>35</v>
      </c>
      <c r="F962" s="0" t="s">
        <v>36</v>
      </c>
      <c r="G962" s="0" t="s">
        <v>37</v>
      </c>
      <c r="H962" s="0" t="s">
        <v>3456</v>
      </c>
      <c r="J962" s="0" t="s">
        <v>3457</v>
      </c>
      <c r="L962" s="0" t="n">
        <v>801816793</v>
      </c>
      <c r="M962" s="0" t="s">
        <v>3458</v>
      </c>
      <c r="N962" s="0" t="s">
        <v>1854</v>
      </c>
      <c r="O962" s="0" t="s">
        <v>3459</v>
      </c>
      <c r="P962" s="0" t="n">
        <v>1976</v>
      </c>
      <c r="Q962" s="0" t="s">
        <v>39</v>
      </c>
      <c r="R962" s="0" t="s">
        <v>3460</v>
      </c>
      <c r="S962" s="0" t="s">
        <v>3461</v>
      </c>
      <c r="V962" s="0" t="n">
        <v>1</v>
      </c>
      <c r="W962" s="0" t="n">
        <v>1</v>
      </c>
      <c r="X962" s="0" t="str">
        <f aca="false">"31811010370453"</f>
        <v>31811010370453</v>
      </c>
      <c r="Y962" s="0" t="s">
        <v>39</v>
      </c>
      <c r="Z962" s="0" t="s">
        <v>42</v>
      </c>
      <c r="AA962" s="0" t="s">
        <v>43</v>
      </c>
      <c r="AE962" s="1" t="s">
        <v>52</v>
      </c>
    </row>
    <row r="963" customFormat="false" ht="12.8" hidden="false" customHeight="false" outlineLevel="0" collapsed="false">
      <c r="A963" s="0" t="n">
        <v>444915</v>
      </c>
      <c r="B963" s="0" t="n">
        <v>530616</v>
      </c>
      <c r="C963" s="0" t="n">
        <v>596031</v>
      </c>
      <c r="D963" s="0" t="s">
        <v>35</v>
      </c>
      <c r="E963" s="0" t="s">
        <v>35</v>
      </c>
      <c r="F963" s="0" t="s">
        <v>36</v>
      </c>
      <c r="G963" s="0" t="s">
        <v>37</v>
      </c>
      <c r="H963" s="0" t="s">
        <v>3462</v>
      </c>
      <c r="I963" s="0" t="s">
        <v>3463</v>
      </c>
      <c r="J963" s="0" t="s">
        <v>3462</v>
      </c>
      <c r="M963" s="0" t="s">
        <v>3464</v>
      </c>
      <c r="N963" s="0" t="n">
        <v>1959</v>
      </c>
      <c r="O963" s="0" t="s">
        <v>3465</v>
      </c>
      <c r="P963" s="0" t="n">
        <v>1959</v>
      </c>
      <c r="Q963" s="0" t="s">
        <v>39</v>
      </c>
      <c r="R963" s="0" t="s">
        <v>3466</v>
      </c>
      <c r="S963" s="0" t="s">
        <v>3467</v>
      </c>
      <c r="V963" s="0" t="n">
        <v>1</v>
      </c>
      <c r="W963" s="0" t="n">
        <v>1</v>
      </c>
      <c r="X963" s="0" t="str">
        <f aca="false">"31811010748013"</f>
        <v>31811010748013</v>
      </c>
      <c r="Y963" s="0" t="s">
        <v>39</v>
      </c>
      <c r="Z963" s="0" t="s">
        <v>42</v>
      </c>
      <c r="AA963" s="0" t="s">
        <v>43</v>
      </c>
      <c r="AE963" s="1" t="s">
        <v>52</v>
      </c>
    </row>
    <row r="964" customFormat="false" ht="12.8" hidden="false" customHeight="false" outlineLevel="0" collapsed="false">
      <c r="A964" s="0" t="n">
        <v>339116</v>
      </c>
      <c r="B964" s="0" t="n">
        <v>367956</v>
      </c>
      <c r="C964" s="0" t="n">
        <v>409920</v>
      </c>
      <c r="D964" s="0" t="s">
        <v>35</v>
      </c>
      <c r="E964" s="0" t="s">
        <v>35</v>
      </c>
      <c r="F964" s="0" t="s">
        <v>36</v>
      </c>
      <c r="G964" s="0" t="s">
        <v>37</v>
      </c>
      <c r="H964" s="0" t="s">
        <v>3468</v>
      </c>
      <c r="I964" s="0" t="s">
        <v>3469</v>
      </c>
      <c r="J964" s="0" t="s">
        <v>3468</v>
      </c>
      <c r="M964" s="0" t="s">
        <v>3470</v>
      </c>
      <c r="N964" s="0" t="n">
        <v>1953</v>
      </c>
      <c r="O964" s="0" t="s">
        <v>3471</v>
      </c>
      <c r="P964" s="0" t="n">
        <v>1953</v>
      </c>
      <c r="Q964" s="0" t="s">
        <v>39</v>
      </c>
      <c r="R964" s="0" t="s">
        <v>3472</v>
      </c>
      <c r="S964" s="0" t="s">
        <v>3473</v>
      </c>
      <c r="V964" s="0" t="n">
        <v>1</v>
      </c>
      <c r="W964" s="0" t="n">
        <v>1</v>
      </c>
      <c r="X964" s="0" t="str">
        <f aca="false">"31811010748278"</f>
        <v>31811010748278</v>
      </c>
      <c r="Y964" s="0" t="s">
        <v>39</v>
      </c>
      <c r="Z964" s="0" t="s">
        <v>42</v>
      </c>
      <c r="AA964" s="0" t="s">
        <v>43</v>
      </c>
      <c r="AE964" s="1" t="s">
        <v>52</v>
      </c>
    </row>
    <row r="965" customFormat="false" ht="12.8" hidden="false" customHeight="false" outlineLevel="0" collapsed="false">
      <c r="A965" s="0" t="n">
        <v>250764</v>
      </c>
      <c r="B965" s="0" t="n">
        <v>274759</v>
      </c>
      <c r="C965" s="0" t="n">
        <v>308967</v>
      </c>
      <c r="D965" s="0" t="s">
        <v>35</v>
      </c>
      <c r="E965" s="0" t="s">
        <v>35</v>
      </c>
      <c r="F965" s="0" t="s">
        <v>36</v>
      </c>
      <c r="G965" s="0" t="s">
        <v>37</v>
      </c>
      <c r="H965" s="0" t="s">
        <v>3474</v>
      </c>
      <c r="I965" s="0" t="s">
        <v>3475</v>
      </c>
      <c r="J965" s="0" t="s">
        <v>3474</v>
      </c>
      <c r="M965" s="0" t="s">
        <v>3476</v>
      </c>
      <c r="N965" s="0" t="n">
        <v>1965</v>
      </c>
      <c r="O965" s="0" t="s">
        <v>3477</v>
      </c>
      <c r="P965" s="0" t="n">
        <v>1965</v>
      </c>
      <c r="Q965" s="0" t="s">
        <v>39</v>
      </c>
      <c r="R965" s="0" t="s">
        <v>3478</v>
      </c>
      <c r="S965" s="0" t="s">
        <v>3479</v>
      </c>
      <c r="V965" s="0" t="n">
        <v>1</v>
      </c>
      <c r="W965" s="0" t="n">
        <v>1</v>
      </c>
      <c r="X965" s="0" t="str">
        <f aca="false">"31811010748286"</f>
        <v>31811010748286</v>
      </c>
      <c r="Y965" s="0" t="s">
        <v>39</v>
      </c>
      <c r="Z965" s="0" t="s">
        <v>42</v>
      </c>
      <c r="AA965" s="0" t="s">
        <v>43</v>
      </c>
      <c r="AE965" s="1" t="s">
        <v>52</v>
      </c>
      <c r="AH965" s="1" t="s">
        <v>3480</v>
      </c>
    </row>
    <row r="966" customFormat="false" ht="12.8" hidden="false" customHeight="false" outlineLevel="0" collapsed="false">
      <c r="A966" s="0" t="n">
        <v>331463</v>
      </c>
      <c r="B966" s="0" t="n">
        <v>360022</v>
      </c>
      <c r="C966" s="0" t="n">
        <v>401336</v>
      </c>
      <c r="D966" s="0" t="s">
        <v>35</v>
      </c>
      <c r="E966" s="0" t="s">
        <v>35</v>
      </c>
      <c r="F966" s="0" t="s">
        <v>36</v>
      </c>
      <c r="G966" s="0" t="s">
        <v>37</v>
      </c>
      <c r="H966" s="0" t="s">
        <v>3481</v>
      </c>
      <c r="I966" s="0" t="s">
        <v>3482</v>
      </c>
      <c r="J966" s="0" t="s">
        <v>3481</v>
      </c>
      <c r="M966" s="0" t="s">
        <v>3483</v>
      </c>
      <c r="N966" s="0" t="n">
        <v>1967</v>
      </c>
      <c r="O966" s="0" t="s">
        <v>3484</v>
      </c>
      <c r="P966" s="0" t="n">
        <v>1967</v>
      </c>
      <c r="Q966" s="0" t="s">
        <v>39</v>
      </c>
      <c r="R966" s="0" t="s">
        <v>3485</v>
      </c>
      <c r="S966" s="0" t="s">
        <v>3486</v>
      </c>
      <c r="V966" s="0" t="n">
        <v>1</v>
      </c>
      <c r="W966" s="0" t="n">
        <v>1</v>
      </c>
      <c r="X966" s="0" t="str">
        <f aca="false">"31811010037524"</f>
        <v>31811010037524</v>
      </c>
      <c r="Y966" s="0" t="s">
        <v>39</v>
      </c>
      <c r="Z966" s="0" t="s">
        <v>42</v>
      </c>
      <c r="AA966" s="0" t="s">
        <v>43</v>
      </c>
      <c r="AE966" s="1" t="s">
        <v>52</v>
      </c>
    </row>
    <row r="967" customFormat="false" ht="12.8" hidden="false" customHeight="false" outlineLevel="0" collapsed="false">
      <c r="A967" s="0" t="n">
        <v>322462</v>
      </c>
      <c r="B967" s="0" t="n">
        <v>350783</v>
      </c>
      <c r="C967" s="0" t="n">
        <v>391485</v>
      </c>
      <c r="D967" s="0" t="s">
        <v>35</v>
      </c>
      <c r="E967" s="0" t="s">
        <v>35</v>
      </c>
      <c r="F967" s="0" t="s">
        <v>36</v>
      </c>
      <c r="G967" s="0" t="s">
        <v>37</v>
      </c>
      <c r="H967" s="0" t="s">
        <v>3487</v>
      </c>
      <c r="I967" s="0" t="s">
        <v>3488</v>
      </c>
      <c r="J967" s="0" t="s">
        <v>3489</v>
      </c>
      <c r="M967" s="0" t="s">
        <v>3490</v>
      </c>
      <c r="N967" s="0" t="n">
        <v>1956</v>
      </c>
      <c r="O967" s="0" t="s">
        <v>3491</v>
      </c>
      <c r="P967" s="0" t="n">
        <v>1956</v>
      </c>
      <c r="Q967" s="0" t="s">
        <v>39</v>
      </c>
      <c r="R967" s="0" t="s">
        <v>3492</v>
      </c>
      <c r="S967" s="0" t="s">
        <v>3493</v>
      </c>
      <c r="V967" s="0" t="n">
        <v>1</v>
      </c>
      <c r="W967" s="0" t="n">
        <v>1</v>
      </c>
      <c r="X967" s="0" t="str">
        <f aca="false">"31811010748054"</f>
        <v>31811010748054</v>
      </c>
      <c r="Y967" s="0" t="s">
        <v>39</v>
      </c>
      <c r="Z967" s="0" t="s">
        <v>42</v>
      </c>
      <c r="AA967" s="0" t="s">
        <v>43</v>
      </c>
      <c r="AE967" s="1" t="s">
        <v>52</v>
      </c>
    </row>
    <row r="968" customFormat="false" ht="12.8" hidden="false" customHeight="false" outlineLevel="0" collapsed="false">
      <c r="A968" s="0" t="n">
        <v>447700</v>
      </c>
      <c r="B968" s="0" t="n">
        <v>533537</v>
      </c>
      <c r="C968" s="0" t="n">
        <v>599177</v>
      </c>
      <c r="D968" s="0" t="s">
        <v>35</v>
      </c>
      <c r="E968" s="0" t="s">
        <v>35</v>
      </c>
      <c r="F968" s="0" t="s">
        <v>480</v>
      </c>
      <c r="G968" s="0" t="s">
        <v>3494</v>
      </c>
      <c r="H968" s="0" t="s">
        <v>3495</v>
      </c>
      <c r="J968" s="0" t="s">
        <v>3496</v>
      </c>
      <c r="M968" s="0" t="s">
        <v>3497</v>
      </c>
      <c r="N968" s="1" t="s">
        <v>3498</v>
      </c>
      <c r="P968" s="0" t="n">
        <v>1957</v>
      </c>
      <c r="Q968" s="0" t="s">
        <v>39</v>
      </c>
      <c r="R968" s="0" t="s">
        <v>3499</v>
      </c>
      <c r="S968" s="0" t="s">
        <v>3500</v>
      </c>
      <c r="T968" s="0" t="s">
        <v>3501</v>
      </c>
      <c r="V968" s="0" t="n">
        <v>1</v>
      </c>
      <c r="W968" s="0" t="n">
        <v>1</v>
      </c>
      <c r="X968" s="0" t="str">
        <f aca="false">"31811011630103"</f>
        <v>31811011630103</v>
      </c>
      <c r="Y968" s="0" t="s">
        <v>39</v>
      </c>
      <c r="Z968" s="0" t="s">
        <v>42</v>
      </c>
      <c r="AA968" s="0" t="s">
        <v>43</v>
      </c>
      <c r="AE968" s="1" t="s">
        <v>52</v>
      </c>
    </row>
    <row r="969" customFormat="false" ht="12.8" hidden="false" customHeight="false" outlineLevel="0" collapsed="false">
      <c r="A969" s="0" t="n">
        <v>447700</v>
      </c>
      <c r="B969" s="0" t="n">
        <v>533537</v>
      </c>
      <c r="C969" s="0" t="n">
        <v>599178</v>
      </c>
      <c r="D969" s="0" t="s">
        <v>35</v>
      </c>
      <c r="E969" s="0" t="s">
        <v>35</v>
      </c>
      <c r="F969" s="0" t="s">
        <v>480</v>
      </c>
      <c r="G969" s="0" t="s">
        <v>3494</v>
      </c>
      <c r="H969" s="0" t="s">
        <v>3495</v>
      </c>
      <c r="J969" s="0" t="s">
        <v>3496</v>
      </c>
      <c r="M969" s="0" t="s">
        <v>3497</v>
      </c>
      <c r="N969" s="1" t="s">
        <v>3498</v>
      </c>
      <c r="P969" s="0" t="n">
        <v>1957</v>
      </c>
      <c r="Q969" s="0" t="s">
        <v>39</v>
      </c>
      <c r="R969" s="0" t="s">
        <v>3499</v>
      </c>
      <c r="S969" s="0" t="s">
        <v>3500</v>
      </c>
      <c r="T969" s="0" t="s">
        <v>3502</v>
      </c>
      <c r="V969" s="0" t="n">
        <v>1</v>
      </c>
      <c r="W969" s="0" t="n">
        <v>1</v>
      </c>
      <c r="X969" s="0" t="str">
        <f aca="false">"31811011630111"</f>
        <v>31811011630111</v>
      </c>
      <c r="Y969" s="0" t="s">
        <v>39</v>
      </c>
      <c r="Z969" s="0" t="s">
        <v>42</v>
      </c>
      <c r="AA969" s="0" t="s">
        <v>43</v>
      </c>
      <c r="AE969" s="1" t="s">
        <v>52</v>
      </c>
    </row>
    <row r="970" customFormat="false" ht="12.8" hidden="false" customHeight="false" outlineLevel="0" collapsed="false">
      <c r="A970" s="0" t="n">
        <v>447700</v>
      </c>
      <c r="B970" s="0" t="n">
        <v>533537</v>
      </c>
      <c r="C970" s="0" t="n">
        <v>599179</v>
      </c>
      <c r="D970" s="0" t="s">
        <v>35</v>
      </c>
      <c r="E970" s="0" t="s">
        <v>35</v>
      </c>
      <c r="F970" s="0" t="s">
        <v>480</v>
      </c>
      <c r="G970" s="0" t="s">
        <v>3494</v>
      </c>
      <c r="H970" s="0" t="s">
        <v>3495</v>
      </c>
      <c r="J970" s="0" t="s">
        <v>3496</v>
      </c>
      <c r="M970" s="0" t="s">
        <v>3497</v>
      </c>
      <c r="N970" s="1" t="s">
        <v>3498</v>
      </c>
      <c r="P970" s="0" t="n">
        <v>1957</v>
      </c>
      <c r="Q970" s="0" t="s">
        <v>39</v>
      </c>
      <c r="R970" s="0" t="s">
        <v>3499</v>
      </c>
      <c r="S970" s="0" t="s">
        <v>3500</v>
      </c>
      <c r="T970" s="0" t="s">
        <v>3503</v>
      </c>
      <c r="V970" s="0" t="n">
        <v>1</v>
      </c>
      <c r="W970" s="0" t="n">
        <v>1</v>
      </c>
      <c r="X970" s="0" t="str">
        <f aca="false">"31811013424562"</f>
        <v>31811013424562</v>
      </c>
      <c r="Y970" s="0" t="s">
        <v>39</v>
      </c>
      <c r="Z970" s="0" t="s">
        <v>42</v>
      </c>
      <c r="AA970" s="0" t="s">
        <v>43</v>
      </c>
      <c r="AE970" s="1" t="s">
        <v>52</v>
      </c>
    </row>
    <row r="971" customFormat="false" ht="12.8" hidden="false" customHeight="false" outlineLevel="0" collapsed="false">
      <c r="A971" s="0" t="n">
        <v>447700</v>
      </c>
      <c r="B971" s="0" t="n">
        <v>533537</v>
      </c>
      <c r="C971" s="0" t="n">
        <v>599180</v>
      </c>
      <c r="D971" s="0" t="s">
        <v>35</v>
      </c>
      <c r="E971" s="0" t="s">
        <v>35</v>
      </c>
      <c r="F971" s="0" t="s">
        <v>480</v>
      </c>
      <c r="G971" s="0" t="s">
        <v>3494</v>
      </c>
      <c r="H971" s="0" t="s">
        <v>3495</v>
      </c>
      <c r="J971" s="0" t="s">
        <v>3496</v>
      </c>
      <c r="M971" s="0" t="s">
        <v>3497</v>
      </c>
      <c r="N971" s="1" t="s">
        <v>3498</v>
      </c>
      <c r="P971" s="0" t="n">
        <v>1957</v>
      </c>
      <c r="Q971" s="0" t="s">
        <v>39</v>
      </c>
      <c r="R971" s="0" t="s">
        <v>3499</v>
      </c>
      <c r="S971" s="0" t="s">
        <v>3500</v>
      </c>
      <c r="T971" s="0" t="s">
        <v>3504</v>
      </c>
      <c r="V971" s="0" t="n">
        <v>1</v>
      </c>
      <c r="W971" s="0" t="n">
        <v>1</v>
      </c>
      <c r="X971" s="0" t="str">
        <f aca="false">"31811013424547"</f>
        <v>31811013424547</v>
      </c>
      <c r="Y971" s="0" t="s">
        <v>39</v>
      </c>
      <c r="Z971" s="0" t="s">
        <v>42</v>
      </c>
      <c r="AA971" s="0" t="s">
        <v>43</v>
      </c>
      <c r="AE971" s="1" t="s">
        <v>52</v>
      </c>
    </row>
    <row r="972" customFormat="false" ht="12.8" hidden="false" customHeight="false" outlineLevel="0" collapsed="false">
      <c r="A972" s="0" t="n">
        <v>447700</v>
      </c>
      <c r="B972" s="0" t="n">
        <v>533537</v>
      </c>
      <c r="C972" s="0" t="n">
        <v>599181</v>
      </c>
      <c r="D972" s="0" t="s">
        <v>35</v>
      </c>
      <c r="E972" s="0" t="s">
        <v>35</v>
      </c>
      <c r="F972" s="0" t="s">
        <v>480</v>
      </c>
      <c r="G972" s="0" t="s">
        <v>3494</v>
      </c>
      <c r="H972" s="0" t="s">
        <v>3495</v>
      </c>
      <c r="J972" s="0" t="s">
        <v>3496</v>
      </c>
      <c r="M972" s="0" t="s">
        <v>3497</v>
      </c>
      <c r="N972" s="1" t="s">
        <v>3498</v>
      </c>
      <c r="P972" s="0" t="n">
        <v>1957</v>
      </c>
      <c r="Q972" s="0" t="s">
        <v>39</v>
      </c>
      <c r="R972" s="0" t="s">
        <v>3499</v>
      </c>
      <c r="S972" s="0" t="s">
        <v>3500</v>
      </c>
      <c r="T972" s="0" t="s">
        <v>3505</v>
      </c>
      <c r="V972" s="0" t="n">
        <v>1</v>
      </c>
      <c r="W972" s="0" t="n">
        <v>1</v>
      </c>
      <c r="X972" s="0" t="str">
        <f aca="false">"31811013424539"</f>
        <v>31811013424539</v>
      </c>
      <c r="Y972" s="0" t="s">
        <v>39</v>
      </c>
      <c r="Z972" s="0" t="s">
        <v>42</v>
      </c>
      <c r="AA972" s="0" t="s">
        <v>43</v>
      </c>
      <c r="AE972" s="1" t="s">
        <v>52</v>
      </c>
    </row>
    <row r="973" customFormat="false" ht="12.8" hidden="false" customHeight="false" outlineLevel="0" collapsed="false">
      <c r="A973" s="0" t="n">
        <v>447700</v>
      </c>
      <c r="B973" s="0" t="n">
        <v>533537</v>
      </c>
      <c r="C973" s="0" t="n">
        <v>599182</v>
      </c>
      <c r="D973" s="0" t="s">
        <v>35</v>
      </c>
      <c r="E973" s="0" t="s">
        <v>35</v>
      </c>
      <c r="F973" s="0" t="s">
        <v>480</v>
      </c>
      <c r="G973" s="0" t="s">
        <v>3494</v>
      </c>
      <c r="H973" s="0" t="s">
        <v>3495</v>
      </c>
      <c r="J973" s="0" t="s">
        <v>3496</v>
      </c>
      <c r="M973" s="0" t="s">
        <v>3497</v>
      </c>
      <c r="N973" s="1" t="s">
        <v>3498</v>
      </c>
      <c r="P973" s="0" t="n">
        <v>1957</v>
      </c>
      <c r="Q973" s="0" t="s">
        <v>39</v>
      </c>
      <c r="R973" s="0" t="s">
        <v>3499</v>
      </c>
      <c r="S973" s="0" t="s">
        <v>3500</v>
      </c>
      <c r="T973" s="0" t="s">
        <v>3506</v>
      </c>
      <c r="V973" s="0" t="n">
        <v>1</v>
      </c>
      <c r="W973" s="0" t="n">
        <v>1</v>
      </c>
      <c r="X973" s="0" t="str">
        <f aca="false">"31811010938226"</f>
        <v>31811010938226</v>
      </c>
      <c r="Y973" s="0" t="s">
        <v>39</v>
      </c>
      <c r="Z973" s="0" t="s">
        <v>42</v>
      </c>
      <c r="AA973" s="0" t="s">
        <v>43</v>
      </c>
      <c r="AE973" s="1" t="s">
        <v>52</v>
      </c>
    </row>
    <row r="974" customFormat="false" ht="12.8" hidden="false" customHeight="false" outlineLevel="0" collapsed="false">
      <c r="A974" s="0" t="n">
        <v>447700</v>
      </c>
      <c r="B974" s="0" t="n">
        <v>533537</v>
      </c>
      <c r="C974" s="0" t="n">
        <v>599183</v>
      </c>
      <c r="D974" s="0" t="s">
        <v>35</v>
      </c>
      <c r="E974" s="0" t="s">
        <v>35</v>
      </c>
      <c r="F974" s="0" t="s">
        <v>480</v>
      </c>
      <c r="G974" s="0" t="s">
        <v>3494</v>
      </c>
      <c r="H974" s="0" t="s">
        <v>3495</v>
      </c>
      <c r="J974" s="0" t="s">
        <v>3496</v>
      </c>
      <c r="M974" s="0" t="s">
        <v>3497</v>
      </c>
      <c r="N974" s="1" t="s">
        <v>3498</v>
      </c>
      <c r="P974" s="0" t="n">
        <v>1957</v>
      </c>
      <c r="Q974" s="0" t="s">
        <v>39</v>
      </c>
      <c r="R974" s="0" t="s">
        <v>3499</v>
      </c>
      <c r="S974" s="0" t="s">
        <v>3500</v>
      </c>
      <c r="T974" s="0" t="s">
        <v>3507</v>
      </c>
      <c r="V974" s="0" t="n">
        <v>1</v>
      </c>
      <c r="W974" s="0" t="n">
        <v>1</v>
      </c>
      <c r="X974" s="0" t="str">
        <f aca="false">"31811013424554"</f>
        <v>31811013424554</v>
      </c>
      <c r="Y974" s="0" t="s">
        <v>39</v>
      </c>
      <c r="Z974" s="0" t="s">
        <v>42</v>
      </c>
      <c r="AA974" s="0" t="s">
        <v>43</v>
      </c>
      <c r="AE974" s="1" t="s">
        <v>52</v>
      </c>
    </row>
    <row r="975" customFormat="false" ht="12.8" hidden="false" customHeight="false" outlineLevel="0" collapsed="false">
      <c r="A975" s="0" t="n">
        <v>397781</v>
      </c>
      <c r="B975" s="0" t="n">
        <v>429551</v>
      </c>
      <c r="C975" s="0" t="n">
        <v>478788</v>
      </c>
      <c r="D975" s="0" t="s">
        <v>35</v>
      </c>
      <c r="E975" s="0" t="s">
        <v>35</v>
      </c>
      <c r="F975" s="0" t="s">
        <v>36</v>
      </c>
      <c r="G975" s="0" t="s">
        <v>412</v>
      </c>
      <c r="H975" s="0" t="s">
        <v>3508</v>
      </c>
      <c r="I975" s="0" t="s">
        <v>3509</v>
      </c>
      <c r="J975" s="0" t="s">
        <v>3508</v>
      </c>
      <c r="M975" s="0" t="s">
        <v>3510</v>
      </c>
      <c r="N975" s="0" t="n">
        <v>1937</v>
      </c>
      <c r="P975" s="0" t="n">
        <v>1937</v>
      </c>
      <c r="Q975" s="0" t="s">
        <v>39</v>
      </c>
      <c r="R975" s="0" t="s">
        <v>3511</v>
      </c>
      <c r="S975" s="0" t="s">
        <v>3512</v>
      </c>
      <c r="V975" s="0" t="n">
        <v>1</v>
      </c>
      <c r="W975" s="0" t="n">
        <v>1</v>
      </c>
      <c r="X975" s="0" t="str">
        <f aca="false">"31811010748245"</f>
        <v>31811010748245</v>
      </c>
      <c r="Y975" s="0" t="s">
        <v>39</v>
      </c>
      <c r="Z975" s="0" t="s">
        <v>42</v>
      </c>
      <c r="AA975" s="0" t="s">
        <v>43</v>
      </c>
      <c r="AE975" s="1" t="s">
        <v>52</v>
      </c>
    </row>
    <row r="976" customFormat="false" ht="12.8" hidden="false" customHeight="false" outlineLevel="0" collapsed="false">
      <c r="A976" s="0" t="n">
        <v>32691</v>
      </c>
      <c r="B976" s="0" t="n">
        <v>35780</v>
      </c>
      <c r="C976" s="0" t="n">
        <v>39883</v>
      </c>
      <c r="D976" s="0" t="s">
        <v>35</v>
      </c>
      <c r="E976" s="0" t="s">
        <v>35</v>
      </c>
      <c r="F976" s="0" t="s">
        <v>36</v>
      </c>
      <c r="G976" s="0" t="s">
        <v>37</v>
      </c>
      <c r="H976" s="0" t="s">
        <v>3513</v>
      </c>
      <c r="I976" s="0" t="s">
        <v>3514</v>
      </c>
      <c r="J976" s="0" t="s">
        <v>3515</v>
      </c>
      <c r="M976" s="0" t="s">
        <v>3516</v>
      </c>
      <c r="N976" s="0" t="n">
        <v>1958</v>
      </c>
      <c r="O976" s="0" t="s">
        <v>3517</v>
      </c>
      <c r="P976" s="0" t="n">
        <v>1958</v>
      </c>
      <c r="Q976" s="0" t="s">
        <v>39</v>
      </c>
      <c r="R976" s="0" t="s">
        <v>3518</v>
      </c>
      <c r="S976" s="0" t="s">
        <v>3519</v>
      </c>
      <c r="V976" s="0" t="n">
        <v>1</v>
      </c>
      <c r="W976" s="0" t="n">
        <v>1</v>
      </c>
      <c r="X976" s="0" t="str">
        <f aca="false">"31811010748377"</f>
        <v>31811010748377</v>
      </c>
      <c r="Y976" s="0" t="s">
        <v>39</v>
      </c>
      <c r="Z976" s="0" t="s">
        <v>42</v>
      </c>
      <c r="AA976" s="0" t="s">
        <v>43</v>
      </c>
      <c r="AE976" s="1" t="s">
        <v>52</v>
      </c>
    </row>
    <row r="977" customFormat="false" ht="12.8" hidden="false" customHeight="false" outlineLevel="0" collapsed="false">
      <c r="A977" s="0" t="n">
        <v>32691</v>
      </c>
      <c r="B977" s="0" t="n">
        <v>35781</v>
      </c>
      <c r="C977" s="0" t="n">
        <v>39884</v>
      </c>
      <c r="D977" s="0" t="s">
        <v>35</v>
      </c>
      <c r="E977" s="0" t="s">
        <v>35</v>
      </c>
      <c r="F977" s="0" t="s">
        <v>36</v>
      </c>
      <c r="G977" s="0" t="s">
        <v>37</v>
      </c>
      <c r="H977" s="0" t="s">
        <v>3513</v>
      </c>
      <c r="I977" s="0" t="s">
        <v>3514</v>
      </c>
      <c r="J977" s="0" t="s">
        <v>3515</v>
      </c>
      <c r="M977" s="0" t="s">
        <v>3516</v>
      </c>
      <c r="N977" s="0" t="n">
        <v>1958</v>
      </c>
      <c r="O977" s="0" t="s">
        <v>3517</v>
      </c>
      <c r="P977" s="0" t="n">
        <v>1958</v>
      </c>
      <c r="Q977" s="0" t="s">
        <v>39</v>
      </c>
      <c r="R977" s="0" t="s">
        <v>3518</v>
      </c>
      <c r="S977" s="0" t="s">
        <v>3519</v>
      </c>
      <c r="V977" s="0" t="n">
        <v>2</v>
      </c>
      <c r="W977" s="0" t="n">
        <v>1</v>
      </c>
      <c r="X977" s="0" t="str">
        <f aca="false">"31811010748385"</f>
        <v>31811010748385</v>
      </c>
      <c r="Y977" s="0" t="s">
        <v>39</v>
      </c>
      <c r="Z977" s="0" t="s">
        <v>42</v>
      </c>
      <c r="AA977" s="0" t="s">
        <v>43</v>
      </c>
      <c r="AE977" s="1" t="s">
        <v>52</v>
      </c>
    </row>
    <row r="978" customFormat="false" ht="12.8" hidden="false" customHeight="false" outlineLevel="0" collapsed="false">
      <c r="A978" s="0" t="n">
        <v>320718</v>
      </c>
      <c r="B978" s="0" t="n">
        <v>348952</v>
      </c>
      <c r="C978" s="0" t="n">
        <v>389435</v>
      </c>
      <c r="D978" s="0" t="s">
        <v>35</v>
      </c>
      <c r="E978" s="0" t="s">
        <v>35</v>
      </c>
      <c r="F978" s="0" t="s">
        <v>36</v>
      </c>
      <c r="G978" s="0" t="s">
        <v>37</v>
      </c>
      <c r="H978" s="0" t="s">
        <v>3520</v>
      </c>
      <c r="I978" s="0" t="s">
        <v>3521</v>
      </c>
      <c r="J978" s="0" t="s">
        <v>3520</v>
      </c>
      <c r="M978" s="0" t="s">
        <v>3522</v>
      </c>
      <c r="N978" s="0" t="s">
        <v>3523</v>
      </c>
      <c r="O978" s="0" t="s">
        <v>3524</v>
      </c>
      <c r="P978" s="0" t="n">
        <v>1946</v>
      </c>
      <c r="Q978" s="0" t="s">
        <v>39</v>
      </c>
      <c r="R978" s="0" t="s">
        <v>3525</v>
      </c>
      <c r="S978" s="0" t="s">
        <v>3526</v>
      </c>
      <c r="T978" s="0" t="s">
        <v>3527</v>
      </c>
      <c r="V978" s="0" t="n">
        <v>1</v>
      </c>
      <c r="W978" s="0" t="n">
        <v>1</v>
      </c>
      <c r="X978" s="0" t="str">
        <f aca="false">"31811012021641"</f>
        <v>31811012021641</v>
      </c>
      <c r="Y978" s="0" t="s">
        <v>39</v>
      </c>
      <c r="Z978" s="0" t="s">
        <v>42</v>
      </c>
      <c r="AA978" s="0" t="s">
        <v>43</v>
      </c>
      <c r="AE978" s="1" t="s">
        <v>52</v>
      </c>
    </row>
    <row r="979" customFormat="false" ht="12.8" hidden="false" customHeight="false" outlineLevel="0" collapsed="false">
      <c r="A979" s="0" t="n">
        <v>519939</v>
      </c>
      <c r="B979" s="0" t="n">
        <v>557357</v>
      </c>
      <c r="C979" s="0" t="n">
        <v>629257</v>
      </c>
      <c r="D979" s="0" t="s">
        <v>35</v>
      </c>
      <c r="E979" s="0" t="s">
        <v>35</v>
      </c>
      <c r="F979" s="0" t="s">
        <v>36</v>
      </c>
      <c r="G979" s="0" t="s">
        <v>37</v>
      </c>
      <c r="H979" s="0" t="s">
        <v>3528</v>
      </c>
      <c r="I979" s="0" t="s">
        <v>3529</v>
      </c>
      <c r="J979" s="0" t="s">
        <v>3530</v>
      </c>
      <c r="M979" s="0" t="s">
        <v>3531</v>
      </c>
      <c r="N979" s="0" t="s">
        <v>3532</v>
      </c>
      <c r="O979" s="0" t="s">
        <v>3533</v>
      </c>
      <c r="P979" s="0" t="n">
        <v>1949</v>
      </c>
      <c r="Q979" s="0" t="s">
        <v>39</v>
      </c>
      <c r="R979" s="0" t="s">
        <v>3525</v>
      </c>
      <c r="S979" s="0" t="s">
        <v>3526</v>
      </c>
      <c r="T979" s="0" t="s">
        <v>3534</v>
      </c>
      <c r="V979" s="0" t="n">
        <v>1</v>
      </c>
      <c r="W979" s="0" t="n">
        <v>1</v>
      </c>
      <c r="X979" s="0" t="str">
        <f aca="false">"31811012021625"</f>
        <v>31811012021625</v>
      </c>
      <c r="Y979" s="0" t="s">
        <v>39</v>
      </c>
      <c r="Z979" s="0" t="s">
        <v>42</v>
      </c>
      <c r="AA979" s="0" t="s">
        <v>43</v>
      </c>
      <c r="AE979" s="1" t="s">
        <v>52</v>
      </c>
    </row>
    <row r="980" customFormat="false" ht="12.8" hidden="false" customHeight="false" outlineLevel="0" collapsed="false">
      <c r="A980" s="0" t="n">
        <v>519939</v>
      </c>
      <c r="B980" s="0" t="n">
        <v>557357</v>
      </c>
      <c r="C980" s="0" t="n">
        <v>629258</v>
      </c>
      <c r="D980" s="0" t="s">
        <v>35</v>
      </c>
      <c r="E980" s="0" t="s">
        <v>35</v>
      </c>
      <c r="F980" s="0" t="s">
        <v>36</v>
      </c>
      <c r="G980" s="0" t="s">
        <v>37</v>
      </c>
      <c r="H980" s="0" t="s">
        <v>3528</v>
      </c>
      <c r="I980" s="0" t="s">
        <v>3529</v>
      </c>
      <c r="J980" s="0" t="s">
        <v>3530</v>
      </c>
      <c r="M980" s="0" t="s">
        <v>3531</v>
      </c>
      <c r="N980" s="0" t="s">
        <v>3532</v>
      </c>
      <c r="O980" s="0" t="s">
        <v>3533</v>
      </c>
      <c r="P980" s="0" t="n">
        <v>1949</v>
      </c>
      <c r="Q980" s="0" t="s">
        <v>39</v>
      </c>
      <c r="R980" s="0" t="s">
        <v>3525</v>
      </c>
      <c r="S980" s="0" t="s">
        <v>3526</v>
      </c>
      <c r="T980" s="0" t="s">
        <v>3535</v>
      </c>
      <c r="V980" s="0" t="n">
        <v>1</v>
      </c>
      <c r="W980" s="0" t="n">
        <v>1</v>
      </c>
      <c r="X980" s="0" t="str">
        <f aca="false">"31811012021633"</f>
        <v>31811012021633</v>
      </c>
      <c r="Y980" s="0" t="s">
        <v>39</v>
      </c>
      <c r="Z980" s="0" t="s">
        <v>42</v>
      </c>
      <c r="AA980" s="0" t="s">
        <v>43</v>
      </c>
      <c r="AE980" s="1" t="s">
        <v>52</v>
      </c>
    </row>
    <row r="981" customFormat="false" ht="12.8" hidden="false" customHeight="false" outlineLevel="0" collapsed="false">
      <c r="A981" s="0" t="n">
        <v>364633</v>
      </c>
      <c r="B981" s="0" t="n">
        <v>394346</v>
      </c>
      <c r="C981" s="0" t="n">
        <v>438398</v>
      </c>
      <c r="D981" s="0" t="s">
        <v>35</v>
      </c>
      <c r="E981" s="0" t="s">
        <v>35</v>
      </c>
      <c r="F981" s="0" t="s">
        <v>36</v>
      </c>
      <c r="G981" s="0" t="s">
        <v>37</v>
      </c>
      <c r="H981" s="0" t="s">
        <v>3536</v>
      </c>
      <c r="I981" s="0" t="s">
        <v>3537</v>
      </c>
      <c r="J981" s="0" t="s">
        <v>3538</v>
      </c>
      <c r="M981" s="0" t="s">
        <v>3539</v>
      </c>
      <c r="N981" s="0" t="n">
        <v>1934</v>
      </c>
      <c r="O981" s="0" t="s">
        <v>3540</v>
      </c>
      <c r="P981" s="0" t="n">
        <v>1934</v>
      </c>
      <c r="Q981" s="0" t="s">
        <v>39</v>
      </c>
      <c r="R981" s="0" t="s">
        <v>3541</v>
      </c>
      <c r="S981" s="0" t="s">
        <v>3542</v>
      </c>
      <c r="V981" s="0" t="n">
        <v>1</v>
      </c>
      <c r="W981" s="0" t="n">
        <v>1</v>
      </c>
      <c r="X981" s="0" t="str">
        <f aca="false">"31811010748393"</f>
        <v>31811010748393</v>
      </c>
      <c r="Y981" s="0" t="s">
        <v>39</v>
      </c>
      <c r="Z981" s="0" t="s">
        <v>42</v>
      </c>
      <c r="AA981" s="0" t="s">
        <v>43</v>
      </c>
      <c r="AE981" s="1" t="s">
        <v>52</v>
      </c>
    </row>
    <row r="982" customFormat="false" ht="12.8" hidden="false" customHeight="false" outlineLevel="0" collapsed="false">
      <c r="A982" s="0" t="n">
        <v>483157</v>
      </c>
      <c r="B982" s="0" t="n">
        <v>515525</v>
      </c>
      <c r="C982" s="0" t="n">
        <v>578452</v>
      </c>
      <c r="D982" s="0" t="s">
        <v>35</v>
      </c>
      <c r="E982" s="0" t="s">
        <v>35</v>
      </c>
      <c r="F982" s="0" t="s">
        <v>36</v>
      </c>
      <c r="G982" s="0" t="s">
        <v>37</v>
      </c>
      <c r="H982" s="0" t="s">
        <v>3543</v>
      </c>
      <c r="I982" s="0" t="s">
        <v>3537</v>
      </c>
      <c r="J982" s="0" t="s">
        <v>3543</v>
      </c>
      <c r="M982" s="0" t="s">
        <v>3544</v>
      </c>
      <c r="N982" s="0" t="s">
        <v>3545</v>
      </c>
      <c r="O982" s="0" t="s">
        <v>3546</v>
      </c>
      <c r="P982" s="0" t="n">
        <v>1939</v>
      </c>
      <c r="Q982" s="0" t="s">
        <v>39</v>
      </c>
      <c r="R982" s="0" t="s">
        <v>3547</v>
      </c>
      <c r="S982" s="0" t="s">
        <v>3548</v>
      </c>
      <c r="V982" s="0" t="n">
        <v>1</v>
      </c>
      <c r="W982" s="0" t="n">
        <v>1</v>
      </c>
      <c r="X982" s="0" t="str">
        <f aca="false">"31811010748336"</f>
        <v>31811010748336</v>
      </c>
      <c r="Y982" s="0" t="s">
        <v>39</v>
      </c>
      <c r="Z982" s="0" t="s">
        <v>42</v>
      </c>
      <c r="AA982" s="0" t="s">
        <v>43</v>
      </c>
      <c r="AE982" s="1" t="s">
        <v>52</v>
      </c>
    </row>
    <row r="983" customFormat="false" ht="12.8" hidden="false" customHeight="false" outlineLevel="0" collapsed="false">
      <c r="A983" s="0" t="n">
        <v>98567</v>
      </c>
      <c r="B983" s="0" t="n">
        <v>106337</v>
      </c>
      <c r="C983" s="0" t="n">
        <v>118955</v>
      </c>
      <c r="D983" s="0" t="s">
        <v>35</v>
      </c>
      <c r="E983" s="0" t="s">
        <v>35</v>
      </c>
      <c r="F983" s="0" t="s">
        <v>36</v>
      </c>
      <c r="G983" s="0" t="s">
        <v>37</v>
      </c>
      <c r="H983" s="0" t="s">
        <v>3549</v>
      </c>
      <c r="I983" s="0" t="s">
        <v>3550</v>
      </c>
      <c r="J983" s="0" t="s">
        <v>3549</v>
      </c>
      <c r="M983" s="0" t="s">
        <v>3551</v>
      </c>
      <c r="N983" s="0" t="s">
        <v>667</v>
      </c>
      <c r="O983" s="0" t="s">
        <v>3533</v>
      </c>
      <c r="P983" s="0" t="n">
        <v>1954</v>
      </c>
      <c r="Q983" s="0" t="s">
        <v>39</v>
      </c>
      <c r="R983" s="0" t="s">
        <v>3552</v>
      </c>
      <c r="S983" s="0" t="s">
        <v>3553</v>
      </c>
      <c r="V983" s="0" t="n">
        <v>1</v>
      </c>
      <c r="W983" s="0" t="n">
        <v>1</v>
      </c>
      <c r="X983" s="0" t="str">
        <f aca="false">"31811010748344"</f>
        <v>31811010748344</v>
      </c>
      <c r="Y983" s="0" t="s">
        <v>39</v>
      </c>
      <c r="Z983" s="0" t="s">
        <v>42</v>
      </c>
      <c r="AA983" s="0" t="s">
        <v>43</v>
      </c>
      <c r="AE983" s="1" t="s">
        <v>52</v>
      </c>
    </row>
    <row r="984" customFormat="false" ht="12.8" hidden="false" customHeight="false" outlineLevel="0" collapsed="false">
      <c r="A984" s="0" t="n">
        <v>184526</v>
      </c>
      <c r="B984" s="0" t="n">
        <v>201983</v>
      </c>
      <c r="C984" s="0" t="n">
        <v>226904</v>
      </c>
      <c r="D984" s="0" t="s">
        <v>35</v>
      </c>
      <c r="E984" s="0" t="s">
        <v>35</v>
      </c>
      <c r="F984" s="0" t="s">
        <v>36</v>
      </c>
      <c r="G984" s="0" t="s">
        <v>37</v>
      </c>
      <c r="H984" s="0" t="s">
        <v>3554</v>
      </c>
      <c r="I984" s="0" t="s">
        <v>3555</v>
      </c>
      <c r="J984" s="0" t="s">
        <v>3554</v>
      </c>
      <c r="M984" s="0" t="s">
        <v>3556</v>
      </c>
      <c r="N984" s="0" t="s">
        <v>1397</v>
      </c>
      <c r="O984" s="0" t="s">
        <v>3557</v>
      </c>
      <c r="P984" s="0" t="n">
        <v>1964</v>
      </c>
      <c r="Q984" s="0" t="s">
        <v>39</v>
      </c>
      <c r="R984" s="0" t="s">
        <v>3558</v>
      </c>
      <c r="S984" s="0" t="s">
        <v>3559</v>
      </c>
      <c r="V984" s="0" t="n">
        <v>1</v>
      </c>
      <c r="W984" s="0" t="n">
        <v>1</v>
      </c>
      <c r="X984" s="0" t="str">
        <f aca="false">"31811010748401"</f>
        <v>31811010748401</v>
      </c>
      <c r="Y984" s="0" t="s">
        <v>39</v>
      </c>
      <c r="Z984" s="0" t="s">
        <v>42</v>
      </c>
      <c r="AA984" s="0" t="s">
        <v>43</v>
      </c>
      <c r="AE984" s="1" t="s">
        <v>52</v>
      </c>
    </row>
    <row r="985" customFormat="false" ht="12.8" hidden="false" customHeight="false" outlineLevel="0" collapsed="false">
      <c r="A985" s="0" t="n">
        <v>311753</v>
      </c>
      <c r="B985" s="0" t="n">
        <v>339688</v>
      </c>
      <c r="C985" s="0" t="n">
        <v>379302</v>
      </c>
      <c r="D985" s="0" t="s">
        <v>35</v>
      </c>
      <c r="E985" s="0" t="s">
        <v>35</v>
      </c>
      <c r="F985" s="0" t="s">
        <v>36</v>
      </c>
      <c r="G985" s="0" t="s">
        <v>37</v>
      </c>
      <c r="H985" s="0" t="s">
        <v>3560</v>
      </c>
      <c r="I985" s="0" t="s">
        <v>3561</v>
      </c>
      <c r="J985" s="0" t="s">
        <v>3560</v>
      </c>
      <c r="M985" s="0" t="s">
        <v>3562</v>
      </c>
      <c r="N985" s="0" t="s">
        <v>3563</v>
      </c>
      <c r="O985" s="0" t="s">
        <v>3564</v>
      </c>
      <c r="P985" s="0" t="n">
        <v>1949</v>
      </c>
      <c r="Q985" s="0" t="s">
        <v>39</v>
      </c>
      <c r="R985" s="0" t="s">
        <v>3565</v>
      </c>
      <c r="S985" s="0" t="s">
        <v>3566</v>
      </c>
      <c r="V985" s="0" t="n">
        <v>1</v>
      </c>
      <c r="W985" s="0" t="n">
        <v>1</v>
      </c>
      <c r="X985" s="0" t="str">
        <f aca="false">"31811010748369"</f>
        <v>31811010748369</v>
      </c>
      <c r="Y985" s="0" t="s">
        <v>39</v>
      </c>
      <c r="Z985" s="0" t="s">
        <v>42</v>
      </c>
      <c r="AA985" s="0" t="s">
        <v>43</v>
      </c>
      <c r="AE985" s="1" t="s">
        <v>52</v>
      </c>
      <c r="AH985" s="1" t="s">
        <v>3567</v>
      </c>
    </row>
    <row r="986" customFormat="false" ht="12.8" hidden="false" customHeight="false" outlineLevel="0" collapsed="false">
      <c r="A986" s="0" t="n">
        <v>508324</v>
      </c>
      <c r="B986" s="0" t="n">
        <v>490049</v>
      </c>
      <c r="C986" s="0" t="n">
        <v>549916</v>
      </c>
      <c r="D986" s="0" t="s">
        <v>35</v>
      </c>
      <c r="E986" s="0" t="s">
        <v>35</v>
      </c>
      <c r="F986" s="0" t="s">
        <v>36</v>
      </c>
      <c r="G986" s="0" t="s">
        <v>37</v>
      </c>
      <c r="H986" s="0" t="s">
        <v>3568</v>
      </c>
      <c r="I986" s="0" t="s">
        <v>3569</v>
      </c>
      <c r="J986" s="0" t="s">
        <v>3570</v>
      </c>
      <c r="K986" s="0" t="s">
        <v>3571</v>
      </c>
      <c r="M986" s="0" t="s">
        <v>3572</v>
      </c>
      <c r="N986" s="0" t="n">
        <v>1909</v>
      </c>
      <c r="O986" s="0" t="s">
        <v>3573</v>
      </c>
      <c r="P986" s="0" t="n">
        <v>1909</v>
      </c>
      <c r="Q986" s="0" t="s">
        <v>39</v>
      </c>
      <c r="R986" s="0" t="s">
        <v>3574</v>
      </c>
      <c r="S986" s="0" t="s">
        <v>3575</v>
      </c>
      <c r="T986" s="0" t="s">
        <v>51</v>
      </c>
      <c r="V986" s="0" t="n">
        <v>1</v>
      </c>
      <c r="W986" s="0" t="n">
        <v>1</v>
      </c>
      <c r="X986" s="0" t="str">
        <f aca="false">"31811003180547"</f>
        <v>31811003180547</v>
      </c>
      <c r="Y986" s="0" t="s">
        <v>39</v>
      </c>
      <c r="Z986" s="0" t="s">
        <v>42</v>
      </c>
      <c r="AA986" s="0" t="s">
        <v>43</v>
      </c>
      <c r="AE986" s="1" t="s">
        <v>52</v>
      </c>
      <c r="AF986" s="1" t="s">
        <v>3576</v>
      </c>
    </row>
    <row r="987" customFormat="false" ht="12.8" hidden="false" customHeight="false" outlineLevel="0" collapsed="false">
      <c r="A987" s="0" t="n">
        <v>508324</v>
      </c>
      <c r="B987" s="0" t="n">
        <v>490049</v>
      </c>
      <c r="C987" s="0" t="n">
        <v>549917</v>
      </c>
      <c r="D987" s="0" t="s">
        <v>35</v>
      </c>
      <c r="E987" s="0" t="s">
        <v>35</v>
      </c>
      <c r="F987" s="0" t="s">
        <v>36</v>
      </c>
      <c r="G987" s="0" t="s">
        <v>37</v>
      </c>
      <c r="H987" s="0" t="s">
        <v>3568</v>
      </c>
      <c r="I987" s="0" t="s">
        <v>3569</v>
      </c>
      <c r="J987" s="0" t="s">
        <v>3570</v>
      </c>
      <c r="K987" s="0" t="s">
        <v>3571</v>
      </c>
      <c r="M987" s="0" t="s">
        <v>3572</v>
      </c>
      <c r="N987" s="0" t="n">
        <v>1909</v>
      </c>
      <c r="O987" s="0" t="s">
        <v>3573</v>
      </c>
      <c r="P987" s="0" t="n">
        <v>1909</v>
      </c>
      <c r="Q987" s="0" t="s">
        <v>39</v>
      </c>
      <c r="R987" s="0" t="s">
        <v>3574</v>
      </c>
      <c r="S987" s="0" t="s">
        <v>3575</v>
      </c>
      <c r="T987" s="0" t="s">
        <v>53</v>
      </c>
      <c r="V987" s="0" t="n">
        <v>1</v>
      </c>
      <c r="W987" s="0" t="n">
        <v>1</v>
      </c>
      <c r="X987" s="0" t="str">
        <f aca="false">"31811003180554"</f>
        <v>31811003180554</v>
      </c>
      <c r="Y987" s="0" t="s">
        <v>39</v>
      </c>
      <c r="Z987" s="0" t="s">
        <v>42</v>
      </c>
      <c r="AA987" s="0" t="s">
        <v>43</v>
      </c>
      <c r="AE987" s="1" t="s">
        <v>52</v>
      </c>
      <c r="AF987" s="1" t="s">
        <v>3576</v>
      </c>
    </row>
    <row r="988" customFormat="false" ht="12.8" hidden="false" customHeight="false" outlineLevel="0" collapsed="false">
      <c r="A988" s="0" t="n">
        <v>508324</v>
      </c>
      <c r="B988" s="0" t="n">
        <v>490049</v>
      </c>
      <c r="C988" s="0" t="n">
        <v>549918</v>
      </c>
      <c r="D988" s="0" t="s">
        <v>35</v>
      </c>
      <c r="E988" s="0" t="s">
        <v>35</v>
      </c>
      <c r="F988" s="0" t="s">
        <v>36</v>
      </c>
      <c r="G988" s="0" t="s">
        <v>37</v>
      </c>
      <c r="H988" s="0" t="s">
        <v>3568</v>
      </c>
      <c r="I988" s="0" t="s">
        <v>3569</v>
      </c>
      <c r="J988" s="0" t="s">
        <v>3570</v>
      </c>
      <c r="K988" s="0" t="s">
        <v>3571</v>
      </c>
      <c r="M988" s="0" t="s">
        <v>3572</v>
      </c>
      <c r="N988" s="0" t="n">
        <v>1909</v>
      </c>
      <c r="O988" s="0" t="s">
        <v>3573</v>
      </c>
      <c r="P988" s="0" t="n">
        <v>1909</v>
      </c>
      <c r="Q988" s="0" t="s">
        <v>39</v>
      </c>
      <c r="R988" s="0" t="s">
        <v>3574</v>
      </c>
      <c r="S988" s="0" t="s">
        <v>3575</v>
      </c>
      <c r="T988" s="0" t="s">
        <v>243</v>
      </c>
      <c r="V988" s="0" t="n">
        <v>1</v>
      </c>
      <c r="W988" s="0" t="n">
        <v>1</v>
      </c>
      <c r="X988" s="0" t="str">
        <f aca="false">"31811003180562"</f>
        <v>31811003180562</v>
      </c>
      <c r="Y988" s="0" t="s">
        <v>39</v>
      </c>
      <c r="Z988" s="0" t="s">
        <v>42</v>
      </c>
      <c r="AA988" s="0" t="s">
        <v>43</v>
      </c>
      <c r="AE988" s="1" t="s">
        <v>52</v>
      </c>
      <c r="AF988" s="1" t="s">
        <v>3576</v>
      </c>
    </row>
    <row r="989" customFormat="false" ht="12.8" hidden="false" customHeight="false" outlineLevel="0" collapsed="false">
      <c r="A989" s="0" t="n">
        <v>508324</v>
      </c>
      <c r="B989" s="0" t="n">
        <v>490049</v>
      </c>
      <c r="C989" s="0" t="n">
        <v>549919</v>
      </c>
      <c r="D989" s="0" t="s">
        <v>35</v>
      </c>
      <c r="E989" s="0" t="s">
        <v>35</v>
      </c>
      <c r="F989" s="0" t="s">
        <v>36</v>
      </c>
      <c r="G989" s="0" t="s">
        <v>37</v>
      </c>
      <c r="H989" s="0" t="s">
        <v>3568</v>
      </c>
      <c r="I989" s="0" t="s">
        <v>3569</v>
      </c>
      <c r="J989" s="0" t="s">
        <v>3570</v>
      </c>
      <c r="K989" s="0" t="s">
        <v>3571</v>
      </c>
      <c r="M989" s="0" t="s">
        <v>3572</v>
      </c>
      <c r="N989" s="0" t="n">
        <v>1909</v>
      </c>
      <c r="O989" s="0" t="s">
        <v>3573</v>
      </c>
      <c r="P989" s="0" t="n">
        <v>1909</v>
      </c>
      <c r="Q989" s="0" t="s">
        <v>39</v>
      </c>
      <c r="R989" s="0" t="s">
        <v>3574</v>
      </c>
      <c r="S989" s="0" t="s">
        <v>3575</v>
      </c>
      <c r="T989" s="0" t="s">
        <v>54</v>
      </c>
      <c r="V989" s="0" t="n">
        <v>1</v>
      </c>
      <c r="W989" s="0" t="n">
        <v>1</v>
      </c>
      <c r="X989" s="0" t="str">
        <f aca="false">"31811003180570"</f>
        <v>31811003180570</v>
      </c>
      <c r="Y989" s="0" t="s">
        <v>39</v>
      </c>
      <c r="Z989" s="0" t="s">
        <v>42</v>
      </c>
      <c r="AA989" s="0" t="s">
        <v>43</v>
      </c>
      <c r="AE989" s="1" t="s">
        <v>52</v>
      </c>
      <c r="AF989" s="1" t="s">
        <v>3576</v>
      </c>
    </row>
    <row r="990" customFormat="false" ht="12.8" hidden="false" customHeight="false" outlineLevel="0" collapsed="false">
      <c r="A990" s="0" t="n">
        <v>508324</v>
      </c>
      <c r="B990" s="0" t="n">
        <v>490049</v>
      </c>
      <c r="C990" s="0" t="n">
        <v>549920</v>
      </c>
      <c r="D990" s="0" t="s">
        <v>35</v>
      </c>
      <c r="E990" s="0" t="s">
        <v>35</v>
      </c>
      <c r="F990" s="0" t="s">
        <v>36</v>
      </c>
      <c r="G990" s="0" t="s">
        <v>37</v>
      </c>
      <c r="H990" s="0" t="s">
        <v>3568</v>
      </c>
      <c r="I990" s="0" t="s">
        <v>3569</v>
      </c>
      <c r="J990" s="0" t="s">
        <v>3570</v>
      </c>
      <c r="K990" s="0" t="s">
        <v>3571</v>
      </c>
      <c r="M990" s="0" t="s">
        <v>3572</v>
      </c>
      <c r="N990" s="0" t="n">
        <v>1909</v>
      </c>
      <c r="O990" s="0" t="s">
        <v>3573</v>
      </c>
      <c r="P990" s="0" t="n">
        <v>1909</v>
      </c>
      <c r="Q990" s="0" t="s">
        <v>39</v>
      </c>
      <c r="R990" s="0" t="s">
        <v>3574</v>
      </c>
      <c r="S990" s="0" t="s">
        <v>3575</v>
      </c>
      <c r="T990" s="0" t="s">
        <v>510</v>
      </c>
      <c r="V990" s="0" t="n">
        <v>1</v>
      </c>
      <c r="W990" s="0" t="n">
        <v>1</v>
      </c>
      <c r="X990" s="0" t="str">
        <f aca="false">"31811003180588"</f>
        <v>31811003180588</v>
      </c>
      <c r="Y990" s="0" t="s">
        <v>39</v>
      </c>
      <c r="Z990" s="0" t="s">
        <v>42</v>
      </c>
      <c r="AA990" s="0" t="s">
        <v>43</v>
      </c>
      <c r="AE990" s="1" t="s">
        <v>52</v>
      </c>
      <c r="AF990" s="1" t="s">
        <v>3576</v>
      </c>
    </row>
    <row r="991" customFormat="false" ht="12.8" hidden="false" customHeight="false" outlineLevel="0" collapsed="false">
      <c r="A991" s="0" t="n">
        <v>508324</v>
      </c>
      <c r="B991" s="0" t="n">
        <v>490049</v>
      </c>
      <c r="C991" s="0" t="n">
        <v>549921</v>
      </c>
      <c r="D991" s="0" t="s">
        <v>35</v>
      </c>
      <c r="E991" s="0" t="s">
        <v>35</v>
      </c>
      <c r="F991" s="0" t="s">
        <v>36</v>
      </c>
      <c r="G991" s="0" t="s">
        <v>37</v>
      </c>
      <c r="H991" s="0" t="s">
        <v>3568</v>
      </c>
      <c r="I991" s="0" t="s">
        <v>3569</v>
      </c>
      <c r="J991" s="0" t="s">
        <v>3570</v>
      </c>
      <c r="K991" s="0" t="s">
        <v>3571</v>
      </c>
      <c r="M991" s="0" t="s">
        <v>3572</v>
      </c>
      <c r="N991" s="0" t="n">
        <v>1909</v>
      </c>
      <c r="O991" s="0" t="s">
        <v>3573</v>
      </c>
      <c r="P991" s="0" t="n">
        <v>1909</v>
      </c>
      <c r="Q991" s="0" t="s">
        <v>39</v>
      </c>
      <c r="R991" s="0" t="s">
        <v>3574</v>
      </c>
      <c r="S991" s="0" t="s">
        <v>3575</v>
      </c>
      <c r="T991" s="0" t="s">
        <v>55</v>
      </c>
      <c r="V991" s="0" t="n">
        <v>1</v>
      </c>
      <c r="W991" s="0" t="n">
        <v>1</v>
      </c>
      <c r="X991" s="0" t="str">
        <f aca="false">"31811003180596"</f>
        <v>31811003180596</v>
      </c>
      <c r="Y991" s="0" t="s">
        <v>39</v>
      </c>
      <c r="Z991" s="0" t="s">
        <v>42</v>
      </c>
      <c r="AA991" s="0" t="s">
        <v>43</v>
      </c>
      <c r="AE991" s="1" t="s">
        <v>52</v>
      </c>
      <c r="AF991" s="1" t="s">
        <v>3576</v>
      </c>
    </row>
    <row r="992" customFormat="false" ht="12.8" hidden="false" customHeight="false" outlineLevel="0" collapsed="false">
      <c r="A992" s="0" t="n">
        <v>508324</v>
      </c>
      <c r="B992" s="0" t="n">
        <v>490049</v>
      </c>
      <c r="C992" s="0" t="n">
        <v>549922</v>
      </c>
      <c r="D992" s="0" t="s">
        <v>35</v>
      </c>
      <c r="E992" s="0" t="s">
        <v>35</v>
      </c>
      <c r="F992" s="0" t="s">
        <v>36</v>
      </c>
      <c r="G992" s="0" t="s">
        <v>37</v>
      </c>
      <c r="H992" s="0" t="s">
        <v>3568</v>
      </c>
      <c r="I992" s="0" t="s">
        <v>3569</v>
      </c>
      <c r="J992" s="0" t="s">
        <v>3570</v>
      </c>
      <c r="K992" s="0" t="s">
        <v>3571</v>
      </c>
      <c r="M992" s="0" t="s">
        <v>3572</v>
      </c>
      <c r="N992" s="0" t="n">
        <v>1909</v>
      </c>
      <c r="O992" s="0" t="s">
        <v>3573</v>
      </c>
      <c r="P992" s="0" t="n">
        <v>1909</v>
      </c>
      <c r="Q992" s="0" t="s">
        <v>39</v>
      </c>
      <c r="R992" s="0" t="s">
        <v>3574</v>
      </c>
      <c r="S992" s="0" t="s">
        <v>3575</v>
      </c>
      <c r="T992" s="0" t="s">
        <v>511</v>
      </c>
      <c r="V992" s="0" t="n">
        <v>1</v>
      </c>
      <c r="W992" s="0" t="n">
        <v>1</v>
      </c>
      <c r="X992" s="0" t="str">
        <f aca="false">"31811003180604"</f>
        <v>31811003180604</v>
      </c>
      <c r="Y992" s="0" t="s">
        <v>39</v>
      </c>
      <c r="Z992" s="0" t="s">
        <v>42</v>
      </c>
      <c r="AA992" s="0" t="s">
        <v>43</v>
      </c>
      <c r="AE992" s="1" t="s">
        <v>52</v>
      </c>
      <c r="AF992" s="1" t="s">
        <v>3576</v>
      </c>
    </row>
    <row r="993" customFormat="false" ht="12.8" hidden="false" customHeight="false" outlineLevel="0" collapsed="false">
      <c r="A993" s="0" t="n">
        <v>508324</v>
      </c>
      <c r="B993" s="0" t="n">
        <v>490049</v>
      </c>
      <c r="C993" s="0" t="n">
        <v>549923</v>
      </c>
      <c r="D993" s="0" t="s">
        <v>35</v>
      </c>
      <c r="E993" s="0" t="s">
        <v>35</v>
      </c>
      <c r="F993" s="0" t="s">
        <v>36</v>
      </c>
      <c r="G993" s="0" t="s">
        <v>37</v>
      </c>
      <c r="H993" s="0" t="s">
        <v>3568</v>
      </c>
      <c r="I993" s="0" t="s">
        <v>3569</v>
      </c>
      <c r="J993" s="0" t="s">
        <v>3570</v>
      </c>
      <c r="K993" s="0" t="s">
        <v>3571</v>
      </c>
      <c r="M993" s="0" t="s">
        <v>3572</v>
      </c>
      <c r="N993" s="0" t="n">
        <v>1909</v>
      </c>
      <c r="O993" s="0" t="s">
        <v>3573</v>
      </c>
      <c r="P993" s="0" t="n">
        <v>1909</v>
      </c>
      <c r="Q993" s="0" t="s">
        <v>39</v>
      </c>
      <c r="R993" s="0" t="s">
        <v>3574</v>
      </c>
      <c r="S993" s="0" t="s">
        <v>3575</v>
      </c>
      <c r="T993" s="0" t="s">
        <v>56</v>
      </c>
      <c r="V993" s="0" t="n">
        <v>1</v>
      </c>
      <c r="W993" s="0" t="n">
        <v>1</v>
      </c>
      <c r="X993" s="0" t="str">
        <f aca="false">"31811003180612"</f>
        <v>31811003180612</v>
      </c>
      <c r="Y993" s="0" t="s">
        <v>39</v>
      </c>
      <c r="Z993" s="0" t="s">
        <v>42</v>
      </c>
      <c r="AA993" s="0" t="s">
        <v>43</v>
      </c>
      <c r="AE993" s="1" t="s">
        <v>52</v>
      </c>
      <c r="AF993" s="1" t="s">
        <v>3576</v>
      </c>
    </row>
    <row r="994" customFormat="false" ht="12.8" hidden="false" customHeight="false" outlineLevel="0" collapsed="false">
      <c r="A994" s="0" t="n">
        <v>508324</v>
      </c>
      <c r="B994" s="0" t="n">
        <v>490049</v>
      </c>
      <c r="C994" s="0" t="n">
        <v>549924</v>
      </c>
      <c r="D994" s="0" t="s">
        <v>35</v>
      </c>
      <c r="E994" s="0" t="s">
        <v>35</v>
      </c>
      <c r="F994" s="0" t="s">
        <v>36</v>
      </c>
      <c r="G994" s="0" t="s">
        <v>37</v>
      </c>
      <c r="H994" s="0" t="s">
        <v>3568</v>
      </c>
      <c r="I994" s="0" t="s">
        <v>3569</v>
      </c>
      <c r="J994" s="0" t="s">
        <v>3570</v>
      </c>
      <c r="K994" s="0" t="s">
        <v>3571</v>
      </c>
      <c r="M994" s="0" t="s">
        <v>3572</v>
      </c>
      <c r="N994" s="0" t="n">
        <v>1909</v>
      </c>
      <c r="O994" s="0" t="s">
        <v>3573</v>
      </c>
      <c r="P994" s="0" t="n">
        <v>1909</v>
      </c>
      <c r="Q994" s="0" t="s">
        <v>39</v>
      </c>
      <c r="R994" s="0" t="s">
        <v>3574</v>
      </c>
      <c r="S994" s="0" t="s">
        <v>3575</v>
      </c>
      <c r="T994" s="0" t="s">
        <v>57</v>
      </c>
      <c r="V994" s="0" t="n">
        <v>1</v>
      </c>
      <c r="W994" s="0" t="n">
        <v>1</v>
      </c>
      <c r="X994" s="0" t="str">
        <f aca="false">"31811003180620"</f>
        <v>31811003180620</v>
      </c>
      <c r="Y994" s="0" t="s">
        <v>39</v>
      </c>
      <c r="Z994" s="0" t="s">
        <v>42</v>
      </c>
      <c r="AA994" s="0" t="s">
        <v>43</v>
      </c>
      <c r="AE994" s="1" t="s">
        <v>52</v>
      </c>
      <c r="AF994" s="1" t="s">
        <v>3576</v>
      </c>
    </row>
    <row r="995" customFormat="false" ht="12.8" hidden="false" customHeight="false" outlineLevel="0" collapsed="false">
      <c r="A995" s="0" t="n">
        <v>508324</v>
      </c>
      <c r="B995" s="0" t="n">
        <v>490049</v>
      </c>
      <c r="C995" s="0" t="n">
        <v>549925</v>
      </c>
      <c r="D995" s="0" t="s">
        <v>35</v>
      </c>
      <c r="E995" s="0" t="s">
        <v>35</v>
      </c>
      <c r="F995" s="0" t="s">
        <v>36</v>
      </c>
      <c r="G995" s="0" t="s">
        <v>37</v>
      </c>
      <c r="H995" s="0" t="s">
        <v>3568</v>
      </c>
      <c r="I995" s="0" t="s">
        <v>3569</v>
      </c>
      <c r="J995" s="0" t="s">
        <v>3570</v>
      </c>
      <c r="K995" s="0" t="s">
        <v>3571</v>
      </c>
      <c r="M995" s="0" t="s">
        <v>3572</v>
      </c>
      <c r="N995" s="0" t="n">
        <v>1909</v>
      </c>
      <c r="O995" s="0" t="s">
        <v>3573</v>
      </c>
      <c r="P995" s="0" t="n">
        <v>1909</v>
      </c>
      <c r="Q995" s="0" t="s">
        <v>39</v>
      </c>
      <c r="R995" s="0" t="s">
        <v>3574</v>
      </c>
      <c r="S995" s="0" t="s">
        <v>3575</v>
      </c>
      <c r="T995" s="0" t="s">
        <v>58</v>
      </c>
      <c r="V995" s="0" t="n">
        <v>1</v>
      </c>
      <c r="W995" s="0" t="n">
        <v>1</v>
      </c>
      <c r="X995" s="0" t="str">
        <f aca="false">"31811003180638"</f>
        <v>31811003180638</v>
      </c>
      <c r="Y995" s="0" t="s">
        <v>39</v>
      </c>
      <c r="Z995" s="0" t="s">
        <v>42</v>
      </c>
      <c r="AA995" s="0" t="s">
        <v>43</v>
      </c>
      <c r="AE995" s="1" t="s">
        <v>52</v>
      </c>
      <c r="AF995" s="1" t="s">
        <v>3576</v>
      </c>
    </row>
    <row r="996" customFormat="false" ht="12.8" hidden="false" customHeight="false" outlineLevel="0" collapsed="false">
      <c r="A996" s="0" t="n">
        <v>508324</v>
      </c>
      <c r="B996" s="0" t="n">
        <v>490049</v>
      </c>
      <c r="C996" s="0" t="n">
        <v>549926</v>
      </c>
      <c r="D996" s="0" t="s">
        <v>35</v>
      </c>
      <c r="E996" s="0" t="s">
        <v>35</v>
      </c>
      <c r="F996" s="0" t="s">
        <v>36</v>
      </c>
      <c r="G996" s="0" t="s">
        <v>37</v>
      </c>
      <c r="H996" s="0" t="s">
        <v>3568</v>
      </c>
      <c r="I996" s="0" t="s">
        <v>3569</v>
      </c>
      <c r="J996" s="0" t="s">
        <v>3570</v>
      </c>
      <c r="K996" s="0" t="s">
        <v>3571</v>
      </c>
      <c r="M996" s="0" t="s">
        <v>3572</v>
      </c>
      <c r="N996" s="0" t="n">
        <v>1909</v>
      </c>
      <c r="O996" s="0" t="s">
        <v>3573</v>
      </c>
      <c r="P996" s="0" t="n">
        <v>1909</v>
      </c>
      <c r="Q996" s="0" t="s">
        <v>39</v>
      </c>
      <c r="R996" s="0" t="s">
        <v>3574</v>
      </c>
      <c r="S996" s="0" t="s">
        <v>3575</v>
      </c>
      <c r="T996" s="0" t="s">
        <v>60</v>
      </c>
      <c r="V996" s="0" t="n">
        <v>1</v>
      </c>
      <c r="W996" s="0" t="n">
        <v>1</v>
      </c>
      <c r="X996" s="0" t="str">
        <f aca="false">"31811003180646"</f>
        <v>31811003180646</v>
      </c>
      <c r="Y996" s="0" t="s">
        <v>39</v>
      </c>
      <c r="Z996" s="0" t="s">
        <v>42</v>
      </c>
      <c r="AA996" s="0" t="s">
        <v>43</v>
      </c>
      <c r="AE996" s="1" t="s">
        <v>52</v>
      </c>
      <c r="AF996" s="1" t="s">
        <v>3576</v>
      </c>
    </row>
    <row r="997" customFormat="false" ht="12.8" hidden="false" customHeight="false" outlineLevel="0" collapsed="false">
      <c r="A997" s="0" t="n">
        <v>508324</v>
      </c>
      <c r="B997" s="0" t="n">
        <v>490049</v>
      </c>
      <c r="C997" s="0" t="n">
        <v>549927</v>
      </c>
      <c r="D997" s="0" t="s">
        <v>35</v>
      </c>
      <c r="E997" s="0" t="s">
        <v>35</v>
      </c>
      <c r="F997" s="0" t="s">
        <v>36</v>
      </c>
      <c r="G997" s="0" t="s">
        <v>37</v>
      </c>
      <c r="H997" s="0" t="s">
        <v>3568</v>
      </c>
      <c r="I997" s="0" t="s">
        <v>3569</v>
      </c>
      <c r="J997" s="0" t="s">
        <v>3570</v>
      </c>
      <c r="K997" s="0" t="s">
        <v>3571</v>
      </c>
      <c r="M997" s="0" t="s">
        <v>3572</v>
      </c>
      <c r="N997" s="0" t="n">
        <v>1909</v>
      </c>
      <c r="O997" s="0" t="s">
        <v>3573</v>
      </c>
      <c r="P997" s="0" t="n">
        <v>1909</v>
      </c>
      <c r="Q997" s="0" t="s">
        <v>39</v>
      </c>
      <c r="R997" s="0" t="s">
        <v>3574</v>
      </c>
      <c r="S997" s="0" t="s">
        <v>3575</v>
      </c>
      <c r="T997" s="0" t="s">
        <v>61</v>
      </c>
      <c r="V997" s="0" t="n">
        <v>1</v>
      </c>
      <c r="W997" s="0" t="n">
        <v>1</v>
      </c>
      <c r="X997" s="0" t="str">
        <f aca="false">"31811003180653"</f>
        <v>31811003180653</v>
      </c>
      <c r="Y997" s="0" t="s">
        <v>39</v>
      </c>
      <c r="Z997" s="0" t="s">
        <v>42</v>
      </c>
      <c r="AA997" s="0" t="s">
        <v>43</v>
      </c>
      <c r="AE997" s="1" t="s">
        <v>52</v>
      </c>
      <c r="AF997" s="1" t="s">
        <v>3576</v>
      </c>
    </row>
    <row r="998" customFormat="false" ht="12.8" hidden="false" customHeight="false" outlineLevel="0" collapsed="false">
      <c r="A998" s="0" t="n">
        <v>458143</v>
      </c>
      <c r="B998" s="0" t="n">
        <v>621193</v>
      </c>
      <c r="C998" s="0" t="n">
        <v>697384</v>
      </c>
      <c r="D998" s="0" t="s">
        <v>35</v>
      </c>
      <c r="E998" s="0" t="s">
        <v>35</v>
      </c>
      <c r="F998" s="0" t="s">
        <v>480</v>
      </c>
      <c r="G998" s="0" t="s">
        <v>37</v>
      </c>
      <c r="H998" s="0" t="s">
        <v>3577</v>
      </c>
      <c r="I998" s="0" t="s">
        <v>3578</v>
      </c>
      <c r="J998" s="0" t="s">
        <v>3577</v>
      </c>
      <c r="M998" s="0" t="s">
        <v>3579</v>
      </c>
      <c r="O998" s="0" t="s">
        <v>3580</v>
      </c>
      <c r="P998" s="0" t="n">
        <v>1959</v>
      </c>
      <c r="Q998" s="0" t="s">
        <v>39</v>
      </c>
      <c r="R998" s="0" t="s">
        <v>3581</v>
      </c>
      <c r="S998" s="0" t="s">
        <v>3582</v>
      </c>
      <c r="T998" s="0" t="s">
        <v>3583</v>
      </c>
      <c r="V998" s="0" t="n">
        <v>3</v>
      </c>
      <c r="W998" s="0" t="n">
        <v>1</v>
      </c>
      <c r="X998" s="0" t="str">
        <f aca="false">"31811012847177"</f>
        <v>31811012847177</v>
      </c>
      <c r="Y998" s="0" t="s">
        <v>39</v>
      </c>
      <c r="Z998" s="0" t="s">
        <v>42</v>
      </c>
      <c r="AA998" s="0" t="s">
        <v>2932</v>
      </c>
      <c r="AE998" s="1" t="s">
        <v>52</v>
      </c>
      <c r="AF998" s="1" t="s">
        <v>3584</v>
      </c>
    </row>
    <row r="999" customFormat="false" ht="12.8" hidden="false" customHeight="false" outlineLevel="0" collapsed="false">
      <c r="A999" s="0" t="n">
        <v>595020</v>
      </c>
      <c r="B999" s="0" t="n">
        <v>621193</v>
      </c>
      <c r="C999" s="0" t="n">
        <v>697384</v>
      </c>
      <c r="D999" s="0" t="s">
        <v>35</v>
      </c>
      <c r="E999" s="0" t="s">
        <v>35</v>
      </c>
      <c r="F999" s="0" t="s">
        <v>3585</v>
      </c>
      <c r="G999" s="0" t="s">
        <v>37</v>
      </c>
      <c r="H999" s="0" t="s">
        <v>3586</v>
      </c>
      <c r="I999" s="0" t="s">
        <v>3587</v>
      </c>
      <c r="J999" s="0" t="s">
        <v>3586</v>
      </c>
      <c r="M999" s="0" t="s">
        <v>3588</v>
      </c>
      <c r="N999" s="0" t="s">
        <v>3589</v>
      </c>
      <c r="O999" s="0" t="s">
        <v>3590</v>
      </c>
      <c r="P999" s="0" t="n">
        <v>1984</v>
      </c>
      <c r="Q999" s="0" t="s">
        <v>39</v>
      </c>
      <c r="R999" s="0" t="s">
        <v>3581</v>
      </c>
      <c r="S999" s="0" t="s">
        <v>3582</v>
      </c>
      <c r="T999" s="0" t="s">
        <v>3583</v>
      </c>
      <c r="V999" s="0" t="n">
        <v>3</v>
      </c>
      <c r="W999" s="0" t="n">
        <v>1</v>
      </c>
      <c r="X999" s="0" t="str">
        <f aca="false">"31811012847177"</f>
        <v>31811012847177</v>
      </c>
      <c r="Y999" s="0" t="s">
        <v>39</v>
      </c>
      <c r="Z999" s="0" t="s">
        <v>42</v>
      </c>
      <c r="AA999" s="0" t="s">
        <v>2932</v>
      </c>
      <c r="AE999" s="1" t="s">
        <v>3584</v>
      </c>
      <c r="AF999" s="1" t="s">
        <v>3584</v>
      </c>
    </row>
    <row r="1000" customFormat="false" ht="12.8" hidden="false" customHeight="false" outlineLevel="0" collapsed="false">
      <c r="A1000" s="0" t="n">
        <v>103539</v>
      </c>
      <c r="B1000" s="0" t="n">
        <v>111491</v>
      </c>
      <c r="C1000" s="0" t="n">
        <v>124613</v>
      </c>
      <c r="D1000" s="0" t="s">
        <v>35</v>
      </c>
      <c r="E1000" s="0" t="s">
        <v>35</v>
      </c>
      <c r="F1000" s="0" t="s">
        <v>480</v>
      </c>
      <c r="G1000" s="0" t="s">
        <v>37</v>
      </c>
      <c r="H1000" s="0" t="s">
        <v>3591</v>
      </c>
      <c r="J1000" s="0" t="s">
        <v>3591</v>
      </c>
      <c r="M1000" s="0" t="s">
        <v>3592</v>
      </c>
      <c r="N1000" s="0" t="s">
        <v>3593</v>
      </c>
      <c r="O1000" s="0" t="s">
        <v>3594</v>
      </c>
      <c r="P1000" s="0" t="n">
        <v>1966</v>
      </c>
      <c r="Q1000" s="0" t="s">
        <v>39</v>
      </c>
      <c r="R1000" s="0" t="s">
        <v>3595</v>
      </c>
      <c r="S1000" s="0" t="s">
        <v>3596</v>
      </c>
      <c r="T1000" s="0" t="s">
        <v>51</v>
      </c>
      <c r="V1000" s="0" t="n">
        <v>1</v>
      </c>
      <c r="W1000" s="0" t="n">
        <v>1</v>
      </c>
      <c r="X1000" s="0" t="str">
        <f aca="false">"31811012029289"</f>
        <v>31811012029289</v>
      </c>
      <c r="Y1000" s="0" t="s">
        <v>39</v>
      </c>
      <c r="Z1000" s="0" t="s">
        <v>42</v>
      </c>
      <c r="AA1000" s="0" t="s">
        <v>622</v>
      </c>
      <c r="AE1000" s="1" t="s">
        <v>52</v>
      </c>
    </row>
    <row r="1001" customFormat="false" ht="12.8" hidden="false" customHeight="false" outlineLevel="0" collapsed="false">
      <c r="A1001" s="0" t="n">
        <v>248077</v>
      </c>
      <c r="B1001" s="0" t="n">
        <v>271850</v>
      </c>
      <c r="C1001" s="0" t="n">
        <v>305698</v>
      </c>
      <c r="D1001" s="0" t="s">
        <v>35</v>
      </c>
      <c r="E1001" s="0" t="s">
        <v>35</v>
      </c>
      <c r="F1001" s="0" t="s">
        <v>480</v>
      </c>
      <c r="G1001" s="0" t="s">
        <v>37</v>
      </c>
      <c r="H1001" s="0" t="s">
        <v>3597</v>
      </c>
      <c r="J1001" s="0" t="s">
        <v>3597</v>
      </c>
      <c r="M1001" s="0" t="s">
        <v>3598</v>
      </c>
      <c r="O1001" s="0" t="s">
        <v>3599</v>
      </c>
      <c r="P1001" s="0" t="n">
        <v>1959</v>
      </c>
      <c r="Q1001" s="0" t="s">
        <v>39</v>
      </c>
      <c r="R1001" s="0" t="s">
        <v>3600</v>
      </c>
      <c r="S1001" s="0" t="s">
        <v>3601</v>
      </c>
      <c r="T1001" s="0" t="s">
        <v>3602</v>
      </c>
      <c r="V1001" s="0" t="n">
        <v>1</v>
      </c>
      <c r="W1001" s="0" t="n">
        <v>1</v>
      </c>
      <c r="X1001" s="0" t="str">
        <f aca="false">"31811012029214"</f>
        <v>31811012029214</v>
      </c>
      <c r="Y1001" s="0" t="s">
        <v>39</v>
      </c>
      <c r="Z1001" s="0" t="s">
        <v>42</v>
      </c>
      <c r="AA1001" s="0" t="s">
        <v>622</v>
      </c>
      <c r="AE1001" s="1" t="s">
        <v>52</v>
      </c>
    </row>
    <row r="1002" customFormat="false" ht="12.8" hidden="false" customHeight="false" outlineLevel="0" collapsed="false">
      <c r="A1002" s="0" t="n">
        <v>248077</v>
      </c>
      <c r="B1002" s="0" t="n">
        <v>271850</v>
      </c>
      <c r="C1002" s="0" t="n">
        <v>305699</v>
      </c>
      <c r="D1002" s="0" t="s">
        <v>35</v>
      </c>
      <c r="E1002" s="0" t="s">
        <v>35</v>
      </c>
      <c r="F1002" s="0" t="s">
        <v>480</v>
      </c>
      <c r="G1002" s="0" t="s">
        <v>37</v>
      </c>
      <c r="H1002" s="0" t="s">
        <v>3597</v>
      </c>
      <c r="J1002" s="0" t="s">
        <v>3597</v>
      </c>
      <c r="M1002" s="0" t="s">
        <v>3598</v>
      </c>
      <c r="O1002" s="0" t="s">
        <v>3599</v>
      </c>
      <c r="P1002" s="0" t="n">
        <v>1959</v>
      </c>
      <c r="Q1002" s="0" t="s">
        <v>39</v>
      </c>
      <c r="R1002" s="0" t="s">
        <v>3600</v>
      </c>
      <c r="S1002" s="0" t="s">
        <v>3601</v>
      </c>
      <c r="T1002" s="0" t="s">
        <v>3603</v>
      </c>
      <c r="V1002" s="0" t="n">
        <v>1</v>
      </c>
      <c r="W1002" s="0" t="n">
        <v>1</v>
      </c>
      <c r="X1002" s="0" t="str">
        <f aca="false">"31811012029222"</f>
        <v>31811012029222</v>
      </c>
      <c r="Y1002" s="0" t="s">
        <v>39</v>
      </c>
      <c r="Z1002" s="0" t="s">
        <v>42</v>
      </c>
      <c r="AA1002" s="0" t="s">
        <v>622</v>
      </c>
      <c r="AE1002" s="1" t="s">
        <v>52</v>
      </c>
    </row>
    <row r="1003" customFormat="false" ht="12.8" hidden="false" customHeight="false" outlineLevel="0" collapsed="false">
      <c r="A1003" s="0" t="n">
        <v>248077</v>
      </c>
      <c r="B1003" s="0" t="n">
        <v>271850</v>
      </c>
      <c r="C1003" s="0" t="n">
        <v>305700</v>
      </c>
      <c r="D1003" s="0" t="s">
        <v>35</v>
      </c>
      <c r="E1003" s="0" t="s">
        <v>35</v>
      </c>
      <c r="F1003" s="0" t="s">
        <v>480</v>
      </c>
      <c r="G1003" s="0" t="s">
        <v>37</v>
      </c>
      <c r="H1003" s="0" t="s">
        <v>3597</v>
      </c>
      <c r="J1003" s="0" t="s">
        <v>3597</v>
      </c>
      <c r="M1003" s="0" t="s">
        <v>3598</v>
      </c>
      <c r="O1003" s="0" t="s">
        <v>3599</v>
      </c>
      <c r="P1003" s="0" t="n">
        <v>1959</v>
      </c>
      <c r="Q1003" s="0" t="s">
        <v>39</v>
      </c>
      <c r="R1003" s="0" t="s">
        <v>3600</v>
      </c>
      <c r="S1003" s="0" t="s">
        <v>3601</v>
      </c>
      <c r="T1003" s="0" t="s">
        <v>3604</v>
      </c>
      <c r="V1003" s="0" t="n">
        <v>1</v>
      </c>
      <c r="W1003" s="0" t="n">
        <v>1</v>
      </c>
      <c r="X1003" s="0" t="str">
        <f aca="false">"31811012029230"</f>
        <v>31811012029230</v>
      </c>
      <c r="Y1003" s="0" t="s">
        <v>39</v>
      </c>
      <c r="Z1003" s="0" t="s">
        <v>42</v>
      </c>
      <c r="AA1003" s="0" t="s">
        <v>622</v>
      </c>
      <c r="AE1003" s="1" t="s">
        <v>52</v>
      </c>
    </row>
    <row r="1004" customFormat="false" ht="12.8" hidden="false" customHeight="false" outlineLevel="0" collapsed="false">
      <c r="A1004" s="0" t="n">
        <v>248077</v>
      </c>
      <c r="B1004" s="0" t="n">
        <v>271850</v>
      </c>
      <c r="C1004" s="0" t="n">
        <v>305701</v>
      </c>
      <c r="D1004" s="0" t="s">
        <v>35</v>
      </c>
      <c r="E1004" s="0" t="s">
        <v>35</v>
      </c>
      <c r="F1004" s="0" t="s">
        <v>480</v>
      </c>
      <c r="G1004" s="0" t="s">
        <v>37</v>
      </c>
      <c r="H1004" s="0" t="s">
        <v>3597</v>
      </c>
      <c r="J1004" s="0" t="s">
        <v>3597</v>
      </c>
      <c r="M1004" s="0" t="s">
        <v>3598</v>
      </c>
      <c r="O1004" s="0" t="s">
        <v>3599</v>
      </c>
      <c r="P1004" s="0" t="n">
        <v>1959</v>
      </c>
      <c r="Q1004" s="0" t="s">
        <v>39</v>
      </c>
      <c r="R1004" s="0" t="s">
        <v>3600</v>
      </c>
      <c r="S1004" s="0" t="s">
        <v>3601</v>
      </c>
      <c r="T1004" s="0" t="s">
        <v>3605</v>
      </c>
      <c r="V1004" s="0" t="n">
        <v>1</v>
      </c>
      <c r="W1004" s="0" t="n">
        <v>1</v>
      </c>
      <c r="X1004" s="0" t="str">
        <f aca="false">"31811012029248"</f>
        <v>31811012029248</v>
      </c>
      <c r="Y1004" s="0" t="s">
        <v>39</v>
      </c>
      <c r="Z1004" s="0" t="s">
        <v>42</v>
      </c>
      <c r="AA1004" s="0" t="s">
        <v>622</v>
      </c>
      <c r="AE1004" s="1" t="s">
        <v>52</v>
      </c>
    </row>
    <row r="1005" customFormat="false" ht="12.8" hidden="false" customHeight="false" outlineLevel="0" collapsed="false">
      <c r="A1005" s="0" t="n">
        <v>248077</v>
      </c>
      <c r="B1005" s="0" t="n">
        <v>271850</v>
      </c>
      <c r="C1005" s="0" t="n">
        <v>305702</v>
      </c>
      <c r="D1005" s="0" t="s">
        <v>35</v>
      </c>
      <c r="E1005" s="0" t="s">
        <v>35</v>
      </c>
      <c r="F1005" s="0" t="s">
        <v>480</v>
      </c>
      <c r="G1005" s="0" t="s">
        <v>37</v>
      </c>
      <c r="H1005" s="0" t="s">
        <v>3597</v>
      </c>
      <c r="J1005" s="0" t="s">
        <v>3597</v>
      </c>
      <c r="M1005" s="0" t="s">
        <v>3598</v>
      </c>
      <c r="O1005" s="0" t="s">
        <v>3599</v>
      </c>
      <c r="P1005" s="0" t="n">
        <v>1959</v>
      </c>
      <c r="Q1005" s="0" t="s">
        <v>39</v>
      </c>
      <c r="R1005" s="0" t="s">
        <v>3600</v>
      </c>
      <c r="S1005" s="0" t="s">
        <v>3601</v>
      </c>
      <c r="T1005" s="0" t="s">
        <v>3606</v>
      </c>
      <c r="V1005" s="0" t="n">
        <v>1</v>
      </c>
      <c r="W1005" s="0" t="n">
        <v>1</v>
      </c>
      <c r="X1005" s="0" t="str">
        <f aca="false">"31811012029172"</f>
        <v>31811012029172</v>
      </c>
      <c r="Y1005" s="0" t="s">
        <v>39</v>
      </c>
      <c r="Z1005" s="0" t="s">
        <v>42</v>
      </c>
      <c r="AA1005" s="0" t="s">
        <v>622</v>
      </c>
      <c r="AE1005" s="1" t="s">
        <v>52</v>
      </c>
    </row>
    <row r="1006" customFormat="false" ht="12.8" hidden="false" customHeight="false" outlineLevel="0" collapsed="false">
      <c r="A1006" s="0" t="n">
        <v>248077</v>
      </c>
      <c r="B1006" s="0" t="n">
        <v>271850</v>
      </c>
      <c r="C1006" s="0" t="n">
        <v>305703</v>
      </c>
      <c r="D1006" s="0" t="s">
        <v>35</v>
      </c>
      <c r="E1006" s="0" t="s">
        <v>35</v>
      </c>
      <c r="F1006" s="0" t="s">
        <v>480</v>
      </c>
      <c r="G1006" s="0" t="s">
        <v>37</v>
      </c>
      <c r="H1006" s="0" t="s">
        <v>3597</v>
      </c>
      <c r="J1006" s="0" t="s">
        <v>3597</v>
      </c>
      <c r="M1006" s="0" t="s">
        <v>3598</v>
      </c>
      <c r="O1006" s="0" t="s">
        <v>3599</v>
      </c>
      <c r="P1006" s="0" t="n">
        <v>1959</v>
      </c>
      <c r="Q1006" s="0" t="s">
        <v>39</v>
      </c>
      <c r="R1006" s="0" t="s">
        <v>3600</v>
      </c>
      <c r="S1006" s="0" t="s">
        <v>3601</v>
      </c>
      <c r="T1006" s="0" t="s">
        <v>3607</v>
      </c>
      <c r="V1006" s="0" t="n">
        <v>1</v>
      </c>
      <c r="W1006" s="0" t="n">
        <v>1</v>
      </c>
      <c r="X1006" s="0" t="str">
        <f aca="false">"31811012029180"</f>
        <v>31811012029180</v>
      </c>
      <c r="Y1006" s="0" t="s">
        <v>39</v>
      </c>
      <c r="Z1006" s="0" t="s">
        <v>42</v>
      </c>
      <c r="AA1006" s="0" t="s">
        <v>622</v>
      </c>
      <c r="AE1006" s="1" t="s">
        <v>52</v>
      </c>
    </row>
    <row r="1007" customFormat="false" ht="12.8" hidden="false" customHeight="false" outlineLevel="0" collapsed="false">
      <c r="A1007" s="0" t="n">
        <v>248077</v>
      </c>
      <c r="B1007" s="0" t="n">
        <v>271850</v>
      </c>
      <c r="C1007" s="0" t="n">
        <v>305704</v>
      </c>
      <c r="D1007" s="0" t="s">
        <v>35</v>
      </c>
      <c r="E1007" s="0" t="s">
        <v>35</v>
      </c>
      <c r="F1007" s="0" t="s">
        <v>480</v>
      </c>
      <c r="G1007" s="0" t="s">
        <v>37</v>
      </c>
      <c r="H1007" s="0" t="s">
        <v>3597</v>
      </c>
      <c r="J1007" s="0" t="s">
        <v>3597</v>
      </c>
      <c r="M1007" s="0" t="s">
        <v>3598</v>
      </c>
      <c r="O1007" s="0" t="s">
        <v>3599</v>
      </c>
      <c r="P1007" s="0" t="n">
        <v>1959</v>
      </c>
      <c r="Q1007" s="0" t="s">
        <v>39</v>
      </c>
      <c r="R1007" s="0" t="s">
        <v>3600</v>
      </c>
      <c r="S1007" s="0" t="s">
        <v>3601</v>
      </c>
      <c r="T1007" s="0" t="s">
        <v>3608</v>
      </c>
      <c r="V1007" s="0" t="n">
        <v>1</v>
      </c>
      <c r="W1007" s="0" t="n">
        <v>1</v>
      </c>
      <c r="X1007" s="0" t="str">
        <f aca="false">"31811012029198"</f>
        <v>31811012029198</v>
      </c>
      <c r="Y1007" s="0" t="s">
        <v>39</v>
      </c>
      <c r="Z1007" s="0" t="s">
        <v>42</v>
      </c>
      <c r="AA1007" s="0" t="s">
        <v>622</v>
      </c>
      <c r="AE1007" s="1" t="s">
        <v>52</v>
      </c>
    </row>
    <row r="1008" customFormat="false" ht="12.8" hidden="false" customHeight="false" outlineLevel="0" collapsed="false">
      <c r="A1008" s="0" t="n">
        <v>248077</v>
      </c>
      <c r="B1008" s="0" t="n">
        <v>271850</v>
      </c>
      <c r="C1008" s="0" t="n">
        <v>305705</v>
      </c>
      <c r="D1008" s="0" t="s">
        <v>35</v>
      </c>
      <c r="E1008" s="0" t="s">
        <v>35</v>
      </c>
      <c r="F1008" s="0" t="s">
        <v>480</v>
      </c>
      <c r="G1008" s="0" t="s">
        <v>37</v>
      </c>
      <c r="H1008" s="0" t="s">
        <v>3597</v>
      </c>
      <c r="J1008" s="0" t="s">
        <v>3597</v>
      </c>
      <c r="M1008" s="0" t="s">
        <v>3598</v>
      </c>
      <c r="O1008" s="0" t="s">
        <v>3599</v>
      </c>
      <c r="P1008" s="0" t="n">
        <v>1959</v>
      </c>
      <c r="Q1008" s="0" t="s">
        <v>39</v>
      </c>
      <c r="R1008" s="0" t="s">
        <v>3600</v>
      </c>
      <c r="S1008" s="0" t="s">
        <v>3601</v>
      </c>
      <c r="T1008" s="0" t="s">
        <v>3609</v>
      </c>
      <c r="V1008" s="0" t="n">
        <v>1</v>
      </c>
      <c r="W1008" s="0" t="n">
        <v>1</v>
      </c>
      <c r="X1008" s="0" t="str">
        <f aca="false">"31811012018746"</f>
        <v>31811012018746</v>
      </c>
      <c r="Y1008" s="0" t="s">
        <v>39</v>
      </c>
      <c r="Z1008" s="0" t="s">
        <v>42</v>
      </c>
      <c r="AA1008" s="0" t="s">
        <v>622</v>
      </c>
      <c r="AE1008" s="1" t="s">
        <v>52</v>
      </c>
    </row>
    <row r="1009" customFormat="false" ht="12.8" hidden="false" customHeight="false" outlineLevel="0" collapsed="false">
      <c r="A1009" s="0" t="n">
        <v>121243</v>
      </c>
      <c r="B1009" s="0" t="n">
        <v>130448</v>
      </c>
      <c r="C1009" s="0" t="n">
        <v>145230</v>
      </c>
      <c r="D1009" s="0" t="s">
        <v>35</v>
      </c>
      <c r="E1009" s="0" t="s">
        <v>35</v>
      </c>
      <c r="F1009" s="0" t="s">
        <v>36</v>
      </c>
      <c r="G1009" s="0" t="s">
        <v>37</v>
      </c>
      <c r="H1009" s="0" t="s">
        <v>3610</v>
      </c>
      <c r="I1009" s="0" t="s">
        <v>3611</v>
      </c>
      <c r="J1009" s="0" t="s">
        <v>3612</v>
      </c>
      <c r="M1009" s="0" t="s">
        <v>3613</v>
      </c>
      <c r="N1009" s="0" t="n">
        <v>1935</v>
      </c>
      <c r="O1009" s="0" t="s">
        <v>3614</v>
      </c>
      <c r="P1009" s="0" t="n">
        <v>1935</v>
      </c>
      <c r="Q1009" s="0" t="s">
        <v>39</v>
      </c>
      <c r="R1009" s="0" t="s">
        <v>3615</v>
      </c>
      <c r="S1009" s="0" t="s">
        <v>3616</v>
      </c>
      <c r="V1009" s="0" t="n">
        <v>1</v>
      </c>
      <c r="W1009" s="0" t="n">
        <v>1</v>
      </c>
      <c r="X1009" s="0" t="str">
        <f aca="false">"31811010370404"</f>
        <v>31811010370404</v>
      </c>
      <c r="Y1009" s="0" t="s">
        <v>39</v>
      </c>
      <c r="Z1009" s="0" t="s">
        <v>42</v>
      </c>
      <c r="AA1009" s="0" t="s">
        <v>43</v>
      </c>
      <c r="AE1009" s="1" t="s">
        <v>52</v>
      </c>
      <c r="AH1009" s="1" t="s">
        <v>3617</v>
      </c>
    </row>
    <row r="1010" customFormat="false" ht="12.8" hidden="false" customHeight="false" outlineLevel="0" collapsed="false">
      <c r="A1010" s="0" t="n">
        <v>61687</v>
      </c>
      <c r="B1010" s="0" t="n">
        <v>67034</v>
      </c>
      <c r="C1010" s="0" t="n">
        <v>74012</v>
      </c>
      <c r="D1010" s="0" t="s">
        <v>35</v>
      </c>
      <c r="E1010" s="0" t="s">
        <v>35</v>
      </c>
      <c r="F1010" s="0" t="s">
        <v>36</v>
      </c>
      <c r="G1010" s="0" t="s">
        <v>500</v>
      </c>
      <c r="H1010" s="0" t="s">
        <v>3618</v>
      </c>
      <c r="J1010" s="0" t="s">
        <v>3619</v>
      </c>
      <c r="M1010" s="0" t="s">
        <v>3620</v>
      </c>
      <c r="N1010" s="0" t="n">
        <v>1973</v>
      </c>
      <c r="O1010" s="0" t="s">
        <v>3621</v>
      </c>
      <c r="P1010" s="0" t="n">
        <v>1973</v>
      </c>
      <c r="Q1010" s="0" t="s">
        <v>39</v>
      </c>
      <c r="R1010" s="0" t="s">
        <v>3622</v>
      </c>
      <c r="S1010" s="0" t="s">
        <v>3623</v>
      </c>
      <c r="V1010" s="0" t="n">
        <v>1</v>
      </c>
      <c r="W1010" s="0" t="n">
        <v>1</v>
      </c>
      <c r="X1010" s="0" t="str">
        <f aca="false">"31811010748294"</f>
        <v>31811010748294</v>
      </c>
      <c r="Y1010" s="0" t="s">
        <v>39</v>
      </c>
      <c r="Z1010" s="0" t="s">
        <v>42</v>
      </c>
      <c r="AA1010" s="0" t="s">
        <v>43</v>
      </c>
      <c r="AE1010" s="1" t="s">
        <v>52</v>
      </c>
    </row>
    <row r="1011" customFormat="false" ht="12.8" hidden="false" customHeight="false" outlineLevel="0" collapsed="false">
      <c r="A1011" s="0" t="n">
        <v>549603</v>
      </c>
      <c r="B1011" s="0" t="n">
        <v>588072</v>
      </c>
      <c r="C1011" s="0" t="n">
        <v>664415</v>
      </c>
      <c r="D1011" s="0" t="s">
        <v>35</v>
      </c>
      <c r="E1011" s="0" t="s">
        <v>35</v>
      </c>
      <c r="F1011" s="0" t="s">
        <v>480</v>
      </c>
      <c r="G1011" s="0" t="s">
        <v>481</v>
      </c>
      <c r="H1011" s="0" t="s">
        <v>3624</v>
      </c>
      <c r="J1011" s="0" t="s">
        <v>3624</v>
      </c>
      <c r="M1011" s="0" t="s">
        <v>3625</v>
      </c>
      <c r="P1011" s="0" t="s">
        <v>1298</v>
      </c>
      <c r="Q1011" s="0" t="s">
        <v>39</v>
      </c>
      <c r="R1011" s="0" t="s">
        <v>3626</v>
      </c>
      <c r="S1011" s="0" t="s">
        <v>3627</v>
      </c>
      <c r="T1011" s="0" t="s">
        <v>3628</v>
      </c>
      <c r="V1011" s="0" t="n">
        <v>1</v>
      </c>
      <c r="W1011" s="0" t="n">
        <v>1</v>
      </c>
      <c r="X1011" s="0" t="str">
        <f aca="false">"31811012021617"</f>
        <v>31811012021617</v>
      </c>
      <c r="Y1011" s="0" t="s">
        <v>39</v>
      </c>
      <c r="Z1011" s="0" t="s">
        <v>42</v>
      </c>
      <c r="AA1011" s="0" t="s">
        <v>622</v>
      </c>
      <c r="AE1011" s="1" t="s">
        <v>52</v>
      </c>
    </row>
    <row r="1012" customFormat="false" ht="12.8" hidden="false" customHeight="false" outlineLevel="0" collapsed="false">
      <c r="A1012" s="0" t="n">
        <v>549603</v>
      </c>
      <c r="B1012" s="0" t="n">
        <v>588072</v>
      </c>
      <c r="C1012" s="0" t="n">
        <v>664416</v>
      </c>
      <c r="D1012" s="0" t="s">
        <v>35</v>
      </c>
      <c r="E1012" s="0" t="s">
        <v>35</v>
      </c>
      <c r="F1012" s="0" t="s">
        <v>480</v>
      </c>
      <c r="G1012" s="0" t="s">
        <v>481</v>
      </c>
      <c r="H1012" s="0" t="s">
        <v>3624</v>
      </c>
      <c r="J1012" s="0" t="s">
        <v>3624</v>
      </c>
      <c r="M1012" s="0" t="s">
        <v>3625</v>
      </c>
      <c r="P1012" s="0" t="s">
        <v>1298</v>
      </c>
      <c r="Q1012" s="0" t="s">
        <v>39</v>
      </c>
      <c r="R1012" s="0" t="s">
        <v>3626</v>
      </c>
      <c r="S1012" s="0" t="s">
        <v>3627</v>
      </c>
      <c r="T1012" s="0" t="s">
        <v>3629</v>
      </c>
      <c r="V1012" s="0" t="n">
        <v>1</v>
      </c>
      <c r="W1012" s="0" t="n">
        <v>1</v>
      </c>
      <c r="X1012" s="0" t="str">
        <f aca="false">"31811012052141"</f>
        <v>31811012052141</v>
      </c>
      <c r="Y1012" s="0" t="s">
        <v>39</v>
      </c>
      <c r="Z1012" s="0" t="s">
        <v>42</v>
      </c>
      <c r="AA1012" s="0" t="s">
        <v>622</v>
      </c>
      <c r="AE1012" s="1" t="s">
        <v>52</v>
      </c>
    </row>
    <row r="1013" customFormat="false" ht="12.8" hidden="false" customHeight="false" outlineLevel="0" collapsed="false">
      <c r="A1013" s="0" t="n">
        <v>549603</v>
      </c>
      <c r="B1013" s="0" t="n">
        <v>588072</v>
      </c>
      <c r="C1013" s="0" t="n">
        <v>664417</v>
      </c>
      <c r="D1013" s="0" t="s">
        <v>35</v>
      </c>
      <c r="E1013" s="0" t="s">
        <v>35</v>
      </c>
      <c r="F1013" s="0" t="s">
        <v>480</v>
      </c>
      <c r="G1013" s="0" t="s">
        <v>481</v>
      </c>
      <c r="H1013" s="0" t="s">
        <v>3624</v>
      </c>
      <c r="J1013" s="0" t="s">
        <v>3624</v>
      </c>
      <c r="M1013" s="0" t="s">
        <v>3625</v>
      </c>
      <c r="P1013" s="0" t="s">
        <v>1298</v>
      </c>
      <c r="Q1013" s="0" t="s">
        <v>39</v>
      </c>
      <c r="R1013" s="0" t="s">
        <v>3626</v>
      </c>
      <c r="S1013" s="0" t="s">
        <v>3627</v>
      </c>
      <c r="T1013" s="0" t="s">
        <v>3630</v>
      </c>
      <c r="V1013" s="0" t="n">
        <v>1</v>
      </c>
      <c r="W1013" s="0" t="n">
        <v>1</v>
      </c>
      <c r="X1013" s="0" t="str">
        <f aca="false">"31811012052158"</f>
        <v>31811012052158</v>
      </c>
      <c r="Y1013" s="0" t="s">
        <v>39</v>
      </c>
      <c r="Z1013" s="0" t="s">
        <v>42</v>
      </c>
      <c r="AA1013" s="0" t="s">
        <v>622</v>
      </c>
      <c r="AE1013" s="1" t="s">
        <v>52</v>
      </c>
    </row>
    <row r="1014" customFormat="false" ht="12.8" hidden="false" customHeight="false" outlineLevel="0" collapsed="false">
      <c r="A1014" s="0" t="n">
        <v>549603</v>
      </c>
      <c r="B1014" s="0" t="n">
        <v>588072</v>
      </c>
      <c r="C1014" s="0" t="n">
        <v>664418</v>
      </c>
      <c r="D1014" s="0" t="s">
        <v>35</v>
      </c>
      <c r="E1014" s="0" t="s">
        <v>35</v>
      </c>
      <c r="F1014" s="0" t="s">
        <v>480</v>
      </c>
      <c r="G1014" s="0" t="s">
        <v>481</v>
      </c>
      <c r="H1014" s="0" t="s">
        <v>3624</v>
      </c>
      <c r="J1014" s="0" t="s">
        <v>3624</v>
      </c>
      <c r="M1014" s="0" t="s">
        <v>3625</v>
      </c>
      <c r="P1014" s="0" t="s">
        <v>1298</v>
      </c>
      <c r="Q1014" s="0" t="s">
        <v>39</v>
      </c>
      <c r="R1014" s="0" t="s">
        <v>3626</v>
      </c>
      <c r="S1014" s="0" t="s">
        <v>3627</v>
      </c>
      <c r="T1014" s="0" t="s">
        <v>3631</v>
      </c>
      <c r="V1014" s="0" t="n">
        <v>1</v>
      </c>
      <c r="W1014" s="0" t="n">
        <v>1</v>
      </c>
      <c r="X1014" s="0" t="str">
        <f aca="false">"31811012052166"</f>
        <v>31811012052166</v>
      </c>
      <c r="Y1014" s="0" t="s">
        <v>39</v>
      </c>
      <c r="Z1014" s="0" t="s">
        <v>42</v>
      </c>
      <c r="AA1014" s="0" t="s">
        <v>622</v>
      </c>
      <c r="AE1014" s="1" t="s">
        <v>52</v>
      </c>
    </row>
    <row r="1015" customFormat="false" ht="12.8" hidden="false" customHeight="false" outlineLevel="0" collapsed="false">
      <c r="A1015" s="0" t="n">
        <v>405260</v>
      </c>
      <c r="B1015" s="0" t="n">
        <v>437365</v>
      </c>
      <c r="C1015" s="0" t="n">
        <v>487682</v>
      </c>
      <c r="D1015" s="0" t="s">
        <v>35</v>
      </c>
      <c r="E1015" s="0" t="s">
        <v>35</v>
      </c>
      <c r="F1015" s="0" t="s">
        <v>36</v>
      </c>
      <c r="G1015" s="0" t="s">
        <v>37</v>
      </c>
      <c r="H1015" s="0" t="s">
        <v>3632</v>
      </c>
      <c r="I1015" s="0" t="s">
        <v>3633</v>
      </c>
      <c r="J1015" s="0" t="s">
        <v>3632</v>
      </c>
      <c r="M1015" s="0" t="s">
        <v>3634</v>
      </c>
      <c r="Q1015" s="0" t="s">
        <v>39</v>
      </c>
      <c r="R1015" s="0" t="s">
        <v>3635</v>
      </c>
      <c r="S1015" s="0" t="s">
        <v>3636</v>
      </c>
      <c r="T1015" s="0" t="s">
        <v>51</v>
      </c>
      <c r="V1015" s="0" t="n">
        <v>1</v>
      </c>
      <c r="W1015" s="0" t="n">
        <v>1</v>
      </c>
      <c r="X1015" s="0" t="str">
        <f aca="false">"31811003180521"</f>
        <v>31811003180521</v>
      </c>
      <c r="Y1015" s="0" t="s">
        <v>39</v>
      </c>
      <c r="Z1015" s="0" t="s">
        <v>42</v>
      </c>
      <c r="AA1015" s="0" t="s">
        <v>43</v>
      </c>
      <c r="AE1015" s="1" t="s">
        <v>52</v>
      </c>
    </row>
    <row r="1016" customFormat="false" ht="12.8" hidden="false" customHeight="false" outlineLevel="0" collapsed="false">
      <c r="A1016" s="0" t="n">
        <v>427273</v>
      </c>
      <c r="B1016" s="0" t="n">
        <v>460519</v>
      </c>
      <c r="C1016" s="0" t="n">
        <v>514180</v>
      </c>
      <c r="D1016" s="0" t="s">
        <v>35</v>
      </c>
      <c r="E1016" s="0" t="s">
        <v>35</v>
      </c>
      <c r="F1016" s="0" t="s">
        <v>36</v>
      </c>
      <c r="G1016" s="0" t="s">
        <v>37</v>
      </c>
      <c r="H1016" s="0" t="s">
        <v>3637</v>
      </c>
      <c r="I1016" s="0" t="s">
        <v>3638</v>
      </c>
      <c r="J1016" s="0" t="s">
        <v>3637</v>
      </c>
      <c r="M1016" s="0" t="s">
        <v>3639</v>
      </c>
      <c r="N1016" s="0" t="n">
        <v>1969</v>
      </c>
      <c r="P1016" s="0" t="n">
        <v>1969</v>
      </c>
      <c r="Q1016" s="0" t="s">
        <v>39</v>
      </c>
      <c r="R1016" s="0" t="s">
        <v>3640</v>
      </c>
      <c r="S1016" s="0" t="s">
        <v>3641</v>
      </c>
      <c r="V1016" s="0" t="n">
        <v>1</v>
      </c>
      <c r="W1016" s="0" t="n">
        <v>1</v>
      </c>
      <c r="X1016" s="0" t="str">
        <f aca="false">"31811010748302"</f>
        <v>31811010748302</v>
      </c>
      <c r="Y1016" s="0" t="s">
        <v>39</v>
      </c>
      <c r="Z1016" s="0" t="s">
        <v>42</v>
      </c>
      <c r="AA1016" s="0" t="s">
        <v>43</v>
      </c>
      <c r="AE1016" s="1" t="s">
        <v>52</v>
      </c>
    </row>
    <row r="1017" customFormat="false" ht="12.8" hidden="false" customHeight="false" outlineLevel="0" collapsed="false">
      <c r="A1017" s="0" t="n">
        <v>91008</v>
      </c>
      <c r="B1017" s="0" t="n">
        <v>98390</v>
      </c>
      <c r="C1017" s="0" t="n">
        <v>110469</v>
      </c>
      <c r="D1017" s="0" t="s">
        <v>35</v>
      </c>
      <c r="E1017" s="0" t="s">
        <v>35</v>
      </c>
      <c r="F1017" s="0" t="s">
        <v>36</v>
      </c>
      <c r="G1017" s="0" t="s">
        <v>37</v>
      </c>
      <c r="H1017" s="0" t="s">
        <v>3642</v>
      </c>
      <c r="I1017" s="0" t="s">
        <v>3643</v>
      </c>
      <c r="J1017" s="0" t="s">
        <v>3644</v>
      </c>
      <c r="L1017" s="1" t="s">
        <v>3645</v>
      </c>
      <c r="M1017" s="0" t="s">
        <v>3646</v>
      </c>
      <c r="N1017" s="0" t="n">
        <v>1984</v>
      </c>
      <c r="O1017" s="0" t="s">
        <v>3647</v>
      </c>
      <c r="P1017" s="0" t="n">
        <v>1984</v>
      </c>
      <c r="Q1017" s="0" t="s">
        <v>39</v>
      </c>
      <c r="R1017" s="0" t="s">
        <v>3648</v>
      </c>
      <c r="S1017" s="0" t="s">
        <v>3649</v>
      </c>
      <c r="V1017" s="0" t="n">
        <v>1</v>
      </c>
      <c r="W1017" s="0" t="n">
        <v>1</v>
      </c>
      <c r="X1017" s="0" t="str">
        <f aca="false">"31811010370370"</f>
        <v>31811010370370</v>
      </c>
      <c r="Y1017" s="0" t="s">
        <v>39</v>
      </c>
      <c r="Z1017" s="0" t="s">
        <v>42</v>
      </c>
      <c r="AA1017" s="0" t="s">
        <v>43</v>
      </c>
      <c r="AE1017" s="1" t="s">
        <v>52</v>
      </c>
    </row>
    <row r="1018" customFormat="false" ht="12.8" hidden="false" customHeight="false" outlineLevel="0" collapsed="false">
      <c r="A1018" s="0" t="n">
        <v>202394</v>
      </c>
      <c r="B1018" s="0" t="n">
        <v>222038</v>
      </c>
      <c r="C1018" s="0" t="n">
        <v>249898</v>
      </c>
      <c r="D1018" s="0" t="s">
        <v>35</v>
      </c>
      <c r="E1018" s="0" t="s">
        <v>35</v>
      </c>
      <c r="F1018" s="0" t="s">
        <v>480</v>
      </c>
      <c r="G1018" s="0" t="s">
        <v>37</v>
      </c>
      <c r="H1018" s="0" t="s">
        <v>3650</v>
      </c>
      <c r="I1018" s="0" t="s">
        <v>3651</v>
      </c>
      <c r="J1018" s="0" t="s">
        <v>3652</v>
      </c>
      <c r="M1018" s="0" t="s">
        <v>3653</v>
      </c>
      <c r="N1018" s="0" t="s">
        <v>3654</v>
      </c>
      <c r="O1018" s="0" t="s">
        <v>3655</v>
      </c>
      <c r="P1018" s="0" t="n">
        <v>1920</v>
      </c>
      <c r="Q1018" s="0" t="s">
        <v>39</v>
      </c>
      <c r="R1018" s="0" t="s">
        <v>3656</v>
      </c>
      <c r="S1018" s="0" t="s">
        <v>3657</v>
      </c>
      <c r="T1018" s="0" t="s">
        <v>94</v>
      </c>
      <c r="V1018" s="0" t="n">
        <v>1</v>
      </c>
      <c r="W1018" s="0" t="n">
        <v>1</v>
      </c>
      <c r="X1018" s="0" t="str">
        <f aca="false">"31811010370255"</f>
        <v>31811010370255</v>
      </c>
      <c r="Y1018" s="0" t="s">
        <v>39</v>
      </c>
      <c r="Z1018" s="0" t="s">
        <v>42</v>
      </c>
      <c r="AA1018" s="0" t="s">
        <v>43</v>
      </c>
      <c r="AE1018" s="1" t="s">
        <v>52</v>
      </c>
    </row>
    <row r="1019" customFormat="false" ht="12.8" hidden="false" customHeight="false" outlineLevel="0" collapsed="false">
      <c r="A1019" s="0" t="n">
        <v>202394</v>
      </c>
      <c r="B1019" s="0" t="n">
        <v>222038</v>
      </c>
      <c r="C1019" s="0" t="n">
        <v>249899</v>
      </c>
      <c r="D1019" s="0" t="s">
        <v>35</v>
      </c>
      <c r="E1019" s="0" t="s">
        <v>35</v>
      </c>
      <c r="F1019" s="0" t="s">
        <v>480</v>
      </c>
      <c r="G1019" s="0" t="s">
        <v>37</v>
      </c>
      <c r="H1019" s="0" t="s">
        <v>3650</v>
      </c>
      <c r="I1019" s="0" t="s">
        <v>3651</v>
      </c>
      <c r="J1019" s="0" t="s">
        <v>3652</v>
      </c>
      <c r="M1019" s="0" t="s">
        <v>3653</v>
      </c>
      <c r="N1019" s="0" t="s">
        <v>3654</v>
      </c>
      <c r="O1019" s="0" t="s">
        <v>3655</v>
      </c>
      <c r="P1019" s="0" t="n">
        <v>1920</v>
      </c>
      <c r="Q1019" s="0" t="s">
        <v>39</v>
      </c>
      <c r="R1019" s="0" t="s">
        <v>3656</v>
      </c>
      <c r="S1019" s="0" t="s">
        <v>3657</v>
      </c>
      <c r="T1019" s="0" t="s">
        <v>3658</v>
      </c>
      <c r="V1019" s="0" t="n">
        <v>1</v>
      </c>
      <c r="W1019" s="0" t="n">
        <v>1</v>
      </c>
      <c r="X1019" s="0" t="str">
        <f aca="false">"31811010370297"</f>
        <v>31811010370297</v>
      </c>
      <c r="Y1019" s="0" t="s">
        <v>39</v>
      </c>
      <c r="Z1019" s="0" t="s">
        <v>42</v>
      </c>
      <c r="AA1019" s="0" t="s">
        <v>43</v>
      </c>
      <c r="AE1019" s="1" t="s">
        <v>52</v>
      </c>
    </row>
    <row r="1020" customFormat="false" ht="12.8" hidden="false" customHeight="false" outlineLevel="0" collapsed="false">
      <c r="A1020" s="0" t="n">
        <v>202394</v>
      </c>
      <c r="B1020" s="0" t="n">
        <v>222038</v>
      </c>
      <c r="C1020" s="0" t="n">
        <v>249900</v>
      </c>
      <c r="D1020" s="0" t="s">
        <v>35</v>
      </c>
      <c r="E1020" s="0" t="s">
        <v>35</v>
      </c>
      <c r="F1020" s="0" t="s">
        <v>480</v>
      </c>
      <c r="G1020" s="0" t="s">
        <v>37</v>
      </c>
      <c r="H1020" s="0" t="s">
        <v>3650</v>
      </c>
      <c r="I1020" s="0" t="s">
        <v>3651</v>
      </c>
      <c r="J1020" s="0" t="s">
        <v>3652</v>
      </c>
      <c r="M1020" s="0" t="s">
        <v>3653</v>
      </c>
      <c r="N1020" s="0" t="s">
        <v>3654</v>
      </c>
      <c r="O1020" s="0" t="s">
        <v>3655</v>
      </c>
      <c r="P1020" s="0" t="n">
        <v>1920</v>
      </c>
      <c r="Q1020" s="0" t="s">
        <v>39</v>
      </c>
      <c r="R1020" s="0" t="s">
        <v>3656</v>
      </c>
      <c r="S1020" s="0" t="s">
        <v>3657</v>
      </c>
      <c r="T1020" s="0" t="s">
        <v>92</v>
      </c>
      <c r="V1020" s="0" t="n">
        <v>1</v>
      </c>
      <c r="W1020" s="0" t="n">
        <v>1</v>
      </c>
      <c r="X1020" s="0" t="str">
        <f aca="false">"31811010370339"</f>
        <v>31811010370339</v>
      </c>
      <c r="Y1020" s="0" t="s">
        <v>39</v>
      </c>
      <c r="Z1020" s="0" t="s">
        <v>42</v>
      </c>
      <c r="AA1020" s="0" t="s">
        <v>43</v>
      </c>
      <c r="AE1020" s="1" t="s">
        <v>52</v>
      </c>
    </row>
    <row r="1021" customFormat="false" ht="12.8" hidden="false" customHeight="false" outlineLevel="0" collapsed="false">
      <c r="A1021" s="0" t="n">
        <v>202394</v>
      </c>
      <c r="B1021" s="0" t="n">
        <v>222038</v>
      </c>
      <c r="C1021" s="0" t="n">
        <v>249901</v>
      </c>
      <c r="D1021" s="0" t="s">
        <v>35</v>
      </c>
      <c r="E1021" s="0" t="s">
        <v>35</v>
      </c>
      <c r="F1021" s="0" t="s">
        <v>480</v>
      </c>
      <c r="G1021" s="0" t="s">
        <v>37</v>
      </c>
      <c r="H1021" s="0" t="s">
        <v>3650</v>
      </c>
      <c r="I1021" s="0" t="s">
        <v>3651</v>
      </c>
      <c r="J1021" s="0" t="s">
        <v>3652</v>
      </c>
      <c r="M1021" s="0" t="s">
        <v>3653</v>
      </c>
      <c r="N1021" s="0" t="s">
        <v>3654</v>
      </c>
      <c r="O1021" s="0" t="s">
        <v>3655</v>
      </c>
      <c r="P1021" s="0" t="n">
        <v>1920</v>
      </c>
      <c r="Q1021" s="0" t="s">
        <v>39</v>
      </c>
      <c r="R1021" s="0" t="s">
        <v>3656</v>
      </c>
      <c r="S1021" s="0" t="s">
        <v>3657</v>
      </c>
      <c r="T1021" s="0" t="s">
        <v>88</v>
      </c>
      <c r="V1021" s="0" t="n">
        <v>1</v>
      </c>
      <c r="W1021" s="0" t="n">
        <v>1</v>
      </c>
      <c r="X1021" s="0" t="str">
        <f aca="false">"31811010370263"</f>
        <v>31811010370263</v>
      </c>
      <c r="Y1021" s="0" t="s">
        <v>39</v>
      </c>
      <c r="Z1021" s="0" t="s">
        <v>42</v>
      </c>
      <c r="AA1021" s="0" t="s">
        <v>43</v>
      </c>
      <c r="AE1021" s="1" t="s">
        <v>52</v>
      </c>
    </row>
    <row r="1022" customFormat="false" ht="12.8" hidden="false" customHeight="false" outlineLevel="0" collapsed="false">
      <c r="A1022" s="0" t="n">
        <v>202394</v>
      </c>
      <c r="B1022" s="0" t="n">
        <v>222038</v>
      </c>
      <c r="C1022" s="0" t="n">
        <v>249902</v>
      </c>
      <c r="D1022" s="0" t="s">
        <v>35</v>
      </c>
      <c r="E1022" s="0" t="s">
        <v>35</v>
      </c>
      <c r="F1022" s="0" t="s">
        <v>480</v>
      </c>
      <c r="G1022" s="0" t="s">
        <v>37</v>
      </c>
      <c r="H1022" s="0" t="s">
        <v>3650</v>
      </c>
      <c r="I1022" s="0" t="s">
        <v>3651</v>
      </c>
      <c r="J1022" s="0" t="s">
        <v>3652</v>
      </c>
      <c r="M1022" s="0" t="s">
        <v>3653</v>
      </c>
      <c r="N1022" s="0" t="s">
        <v>3654</v>
      </c>
      <c r="O1022" s="0" t="s">
        <v>3655</v>
      </c>
      <c r="P1022" s="0" t="n">
        <v>1920</v>
      </c>
      <c r="Q1022" s="0" t="s">
        <v>39</v>
      </c>
      <c r="R1022" s="0" t="s">
        <v>3656</v>
      </c>
      <c r="S1022" s="0" t="s">
        <v>3657</v>
      </c>
      <c r="T1022" s="0" t="s">
        <v>87</v>
      </c>
      <c r="V1022" s="0" t="n">
        <v>1</v>
      </c>
      <c r="W1022" s="0" t="n">
        <v>1</v>
      </c>
      <c r="X1022" s="0" t="str">
        <f aca="false">"31811010370305"</f>
        <v>31811010370305</v>
      </c>
      <c r="Y1022" s="0" t="s">
        <v>39</v>
      </c>
      <c r="Z1022" s="0" t="s">
        <v>42</v>
      </c>
      <c r="AA1022" s="0" t="s">
        <v>43</v>
      </c>
      <c r="AE1022" s="1" t="s">
        <v>52</v>
      </c>
    </row>
    <row r="1023" customFormat="false" ht="12.8" hidden="false" customHeight="false" outlineLevel="0" collapsed="false">
      <c r="A1023" s="0" t="n">
        <v>202394</v>
      </c>
      <c r="B1023" s="0" t="n">
        <v>222038</v>
      </c>
      <c r="C1023" s="0" t="n">
        <v>249903</v>
      </c>
      <c r="D1023" s="0" t="s">
        <v>35</v>
      </c>
      <c r="E1023" s="0" t="s">
        <v>35</v>
      </c>
      <c r="F1023" s="0" t="s">
        <v>480</v>
      </c>
      <c r="G1023" s="0" t="s">
        <v>37</v>
      </c>
      <c r="H1023" s="0" t="s">
        <v>3650</v>
      </c>
      <c r="I1023" s="0" t="s">
        <v>3651</v>
      </c>
      <c r="J1023" s="0" t="s">
        <v>3652</v>
      </c>
      <c r="M1023" s="0" t="s">
        <v>3653</v>
      </c>
      <c r="N1023" s="0" t="s">
        <v>3654</v>
      </c>
      <c r="O1023" s="0" t="s">
        <v>3655</v>
      </c>
      <c r="P1023" s="0" t="n">
        <v>1920</v>
      </c>
      <c r="Q1023" s="0" t="s">
        <v>39</v>
      </c>
      <c r="R1023" s="0" t="s">
        <v>3656</v>
      </c>
      <c r="S1023" s="0" t="s">
        <v>3657</v>
      </c>
      <c r="T1023" s="0" t="s">
        <v>3659</v>
      </c>
      <c r="V1023" s="0" t="n">
        <v>1</v>
      </c>
      <c r="W1023" s="0" t="n">
        <v>1</v>
      </c>
      <c r="X1023" s="0" t="str">
        <f aca="false">"31811010370347"</f>
        <v>31811010370347</v>
      </c>
      <c r="Y1023" s="0" t="s">
        <v>39</v>
      </c>
      <c r="Z1023" s="0" t="s">
        <v>42</v>
      </c>
      <c r="AA1023" s="0" t="s">
        <v>43</v>
      </c>
      <c r="AE1023" s="1" t="s">
        <v>52</v>
      </c>
    </row>
    <row r="1024" customFormat="false" ht="12.8" hidden="false" customHeight="false" outlineLevel="0" collapsed="false">
      <c r="A1024" s="0" t="n">
        <v>202394</v>
      </c>
      <c r="B1024" s="0" t="n">
        <v>222038</v>
      </c>
      <c r="C1024" s="0" t="n">
        <v>249904</v>
      </c>
      <c r="D1024" s="0" t="s">
        <v>35</v>
      </c>
      <c r="E1024" s="0" t="s">
        <v>35</v>
      </c>
      <c r="F1024" s="0" t="s">
        <v>480</v>
      </c>
      <c r="G1024" s="0" t="s">
        <v>37</v>
      </c>
      <c r="H1024" s="0" t="s">
        <v>3650</v>
      </c>
      <c r="I1024" s="0" t="s">
        <v>3651</v>
      </c>
      <c r="J1024" s="0" t="s">
        <v>3652</v>
      </c>
      <c r="M1024" s="0" t="s">
        <v>3653</v>
      </c>
      <c r="N1024" s="0" t="s">
        <v>3654</v>
      </c>
      <c r="O1024" s="0" t="s">
        <v>3655</v>
      </c>
      <c r="P1024" s="0" t="n">
        <v>1920</v>
      </c>
      <c r="Q1024" s="0" t="s">
        <v>39</v>
      </c>
      <c r="R1024" s="0" t="s">
        <v>3656</v>
      </c>
      <c r="S1024" s="0" t="s">
        <v>3657</v>
      </c>
      <c r="T1024" s="0" t="s">
        <v>3660</v>
      </c>
      <c r="V1024" s="0" t="n">
        <v>1</v>
      </c>
      <c r="W1024" s="0" t="n">
        <v>1</v>
      </c>
      <c r="X1024" s="0" t="str">
        <f aca="false">"31811010370271"</f>
        <v>31811010370271</v>
      </c>
      <c r="Y1024" s="0" t="s">
        <v>39</v>
      </c>
      <c r="Z1024" s="0" t="s">
        <v>42</v>
      </c>
      <c r="AA1024" s="0" t="s">
        <v>43</v>
      </c>
      <c r="AE1024" s="1" t="s">
        <v>52</v>
      </c>
    </row>
    <row r="1025" customFormat="false" ht="12.8" hidden="false" customHeight="false" outlineLevel="0" collapsed="false">
      <c r="A1025" s="0" t="n">
        <v>202394</v>
      </c>
      <c r="B1025" s="0" t="n">
        <v>222038</v>
      </c>
      <c r="C1025" s="0" t="n">
        <v>249905</v>
      </c>
      <c r="D1025" s="0" t="s">
        <v>35</v>
      </c>
      <c r="E1025" s="0" t="s">
        <v>35</v>
      </c>
      <c r="F1025" s="0" t="s">
        <v>480</v>
      </c>
      <c r="G1025" s="0" t="s">
        <v>37</v>
      </c>
      <c r="H1025" s="0" t="s">
        <v>3650</v>
      </c>
      <c r="I1025" s="0" t="s">
        <v>3651</v>
      </c>
      <c r="J1025" s="0" t="s">
        <v>3652</v>
      </c>
      <c r="M1025" s="0" t="s">
        <v>3653</v>
      </c>
      <c r="N1025" s="0" t="s">
        <v>3654</v>
      </c>
      <c r="O1025" s="0" t="s">
        <v>3655</v>
      </c>
      <c r="P1025" s="0" t="n">
        <v>1920</v>
      </c>
      <c r="Q1025" s="0" t="s">
        <v>39</v>
      </c>
      <c r="R1025" s="0" t="s">
        <v>3656</v>
      </c>
      <c r="S1025" s="0" t="s">
        <v>3657</v>
      </c>
      <c r="T1025" s="0" t="s">
        <v>3661</v>
      </c>
      <c r="V1025" s="0" t="n">
        <v>1</v>
      </c>
      <c r="W1025" s="0" t="n">
        <v>1</v>
      </c>
      <c r="X1025" s="0" t="str">
        <f aca="false">"31811010370313"</f>
        <v>31811010370313</v>
      </c>
      <c r="Y1025" s="0" t="s">
        <v>39</v>
      </c>
      <c r="Z1025" s="0" t="s">
        <v>42</v>
      </c>
      <c r="AA1025" s="0" t="s">
        <v>43</v>
      </c>
      <c r="AE1025" s="1" t="s">
        <v>52</v>
      </c>
    </row>
    <row r="1026" customFormat="false" ht="12.8" hidden="false" customHeight="false" outlineLevel="0" collapsed="false">
      <c r="A1026" s="0" t="n">
        <v>202394</v>
      </c>
      <c r="B1026" s="0" t="n">
        <v>222038</v>
      </c>
      <c r="C1026" s="0" t="n">
        <v>249906</v>
      </c>
      <c r="D1026" s="0" t="s">
        <v>35</v>
      </c>
      <c r="E1026" s="0" t="s">
        <v>35</v>
      </c>
      <c r="F1026" s="0" t="s">
        <v>480</v>
      </c>
      <c r="G1026" s="0" t="s">
        <v>37</v>
      </c>
      <c r="H1026" s="0" t="s">
        <v>3650</v>
      </c>
      <c r="I1026" s="0" t="s">
        <v>3651</v>
      </c>
      <c r="J1026" s="0" t="s">
        <v>3652</v>
      </c>
      <c r="M1026" s="0" t="s">
        <v>3653</v>
      </c>
      <c r="N1026" s="0" t="s">
        <v>3654</v>
      </c>
      <c r="O1026" s="0" t="s">
        <v>3655</v>
      </c>
      <c r="P1026" s="0" t="n">
        <v>1920</v>
      </c>
      <c r="Q1026" s="0" t="s">
        <v>39</v>
      </c>
      <c r="R1026" s="0" t="s">
        <v>3656</v>
      </c>
      <c r="S1026" s="0" t="s">
        <v>3657</v>
      </c>
      <c r="T1026" s="0" t="s">
        <v>3662</v>
      </c>
      <c r="V1026" s="0" t="n">
        <v>1</v>
      </c>
      <c r="W1026" s="0" t="n">
        <v>1</v>
      </c>
      <c r="X1026" s="0" t="str">
        <f aca="false">"31811010370354"</f>
        <v>31811010370354</v>
      </c>
      <c r="Y1026" s="0" t="s">
        <v>39</v>
      </c>
      <c r="Z1026" s="0" t="s">
        <v>42</v>
      </c>
      <c r="AA1026" s="0" t="s">
        <v>43</v>
      </c>
      <c r="AE1026" s="1" t="s">
        <v>52</v>
      </c>
    </row>
    <row r="1027" customFormat="false" ht="12.8" hidden="false" customHeight="false" outlineLevel="0" collapsed="false">
      <c r="A1027" s="0" t="n">
        <v>202394</v>
      </c>
      <c r="B1027" s="0" t="n">
        <v>222038</v>
      </c>
      <c r="C1027" s="0" t="n">
        <v>249907</v>
      </c>
      <c r="D1027" s="0" t="s">
        <v>35</v>
      </c>
      <c r="E1027" s="0" t="s">
        <v>35</v>
      </c>
      <c r="F1027" s="0" t="s">
        <v>480</v>
      </c>
      <c r="G1027" s="0" t="s">
        <v>37</v>
      </c>
      <c r="H1027" s="0" t="s">
        <v>3650</v>
      </c>
      <c r="I1027" s="0" t="s">
        <v>3651</v>
      </c>
      <c r="J1027" s="0" t="s">
        <v>3652</v>
      </c>
      <c r="M1027" s="0" t="s">
        <v>3653</v>
      </c>
      <c r="N1027" s="0" t="s">
        <v>3654</v>
      </c>
      <c r="O1027" s="0" t="s">
        <v>3655</v>
      </c>
      <c r="P1027" s="0" t="n">
        <v>1920</v>
      </c>
      <c r="Q1027" s="0" t="s">
        <v>39</v>
      </c>
      <c r="R1027" s="0" t="s">
        <v>3656</v>
      </c>
      <c r="S1027" s="0" t="s">
        <v>3657</v>
      </c>
      <c r="T1027" s="0" t="s">
        <v>3663</v>
      </c>
      <c r="V1027" s="0" t="n">
        <v>1</v>
      </c>
      <c r="W1027" s="0" t="n">
        <v>1</v>
      </c>
      <c r="X1027" s="0" t="str">
        <f aca="false">"31811010370289"</f>
        <v>31811010370289</v>
      </c>
      <c r="Y1027" s="0" t="s">
        <v>39</v>
      </c>
      <c r="Z1027" s="0" t="s">
        <v>42</v>
      </c>
      <c r="AA1027" s="0" t="s">
        <v>43</v>
      </c>
      <c r="AE1027" s="1" t="s">
        <v>52</v>
      </c>
    </row>
    <row r="1028" customFormat="false" ht="12.8" hidden="false" customHeight="false" outlineLevel="0" collapsed="false">
      <c r="A1028" s="0" t="n">
        <v>202394</v>
      </c>
      <c r="B1028" s="0" t="n">
        <v>222038</v>
      </c>
      <c r="C1028" s="0" t="n">
        <v>249908</v>
      </c>
      <c r="D1028" s="0" t="s">
        <v>35</v>
      </c>
      <c r="E1028" s="0" t="s">
        <v>35</v>
      </c>
      <c r="F1028" s="0" t="s">
        <v>480</v>
      </c>
      <c r="G1028" s="0" t="s">
        <v>37</v>
      </c>
      <c r="H1028" s="0" t="s">
        <v>3650</v>
      </c>
      <c r="I1028" s="0" t="s">
        <v>3651</v>
      </c>
      <c r="J1028" s="0" t="s">
        <v>3652</v>
      </c>
      <c r="M1028" s="0" t="s">
        <v>3653</v>
      </c>
      <c r="N1028" s="0" t="s">
        <v>3654</v>
      </c>
      <c r="O1028" s="0" t="s">
        <v>3655</v>
      </c>
      <c r="P1028" s="0" t="n">
        <v>1920</v>
      </c>
      <c r="Q1028" s="0" t="s">
        <v>39</v>
      </c>
      <c r="R1028" s="0" t="s">
        <v>3656</v>
      </c>
      <c r="S1028" s="0" t="s">
        <v>3657</v>
      </c>
      <c r="T1028" s="0" t="s">
        <v>3664</v>
      </c>
      <c r="V1028" s="0" t="n">
        <v>1</v>
      </c>
      <c r="W1028" s="0" t="n">
        <v>1</v>
      </c>
      <c r="X1028" s="0" t="str">
        <f aca="false">"31811010370321"</f>
        <v>31811010370321</v>
      </c>
      <c r="Y1028" s="0" t="s">
        <v>39</v>
      </c>
      <c r="Z1028" s="0" t="s">
        <v>42</v>
      </c>
      <c r="AA1028" s="0" t="s">
        <v>43</v>
      </c>
      <c r="AE1028" s="1" t="s">
        <v>52</v>
      </c>
    </row>
    <row r="1029" customFormat="false" ht="12.8" hidden="false" customHeight="false" outlineLevel="0" collapsed="false">
      <c r="A1029" s="0" t="n">
        <v>520467</v>
      </c>
      <c r="B1029" s="0" t="n">
        <v>557882</v>
      </c>
      <c r="C1029" s="0" t="n">
        <v>630106</v>
      </c>
      <c r="D1029" s="0" t="s">
        <v>35</v>
      </c>
      <c r="E1029" s="0" t="s">
        <v>35</v>
      </c>
      <c r="F1029" s="0" t="s">
        <v>480</v>
      </c>
      <c r="G1029" s="0" t="s">
        <v>412</v>
      </c>
      <c r="H1029" s="0" t="s">
        <v>3665</v>
      </c>
      <c r="I1029" s="0" t="s">
        <v>3666</v>
      </c>
      <c r="J1029" s="0" t="s">
        <v>3665</v>
      </c>
      <c r="M1029" s="0" t="s">
        <v>3667</v>
      </c>
      <c r="Q1029" s="0" t="s">
        <v>39</v>
      </c>
      <c r="R1029" s="0" t="s">
        <v>3668</v>
      </c>
      <c r="S1029" s="0" t="s">
        <v>3669</v>
      </c>
      <c r="T1029" s="0" t="s">
        <v>616</v>
      </c>
      <c r="V1029" s="0" t="n">
        <v>1</v>
      </c>
      <c r="W1029" s="0" t="n">
        <v>1</v>
      </c>
      <c r="X1029" s="0" t="str">
        <f aca="false">"31811010369638"</f>
        <v>31811010369638</v>
      </c>
      <c r="Y1029" s="0" t="s">
        <v>39</v>
      </c>
      <c r="Z1029" s="0" t="s">
        <v>42</v>
      </c>
      <c r="AA1029" s="0" t="s">
        <v>43</v>
      </c>
      <c r="AE1029" s="1" t="s">
        <v>52</v>
      </c>
    </row>
    <row r="1030" customFormat="false" ht="12.8" hidden="false" customHeight="false" outlineLevel="0" collapsed="false">
      <c r="A1030" s="0" t="n">
        <v>520467</v>
      </c>
      <c r="B1030" s="0" t="n">
        <v>557882</v>
      </c>
      <c r="C1030" s="0" t="n">
        <v>630107</v>
      </c>
      <c r="D1030" s="0" t="s">
        <v>35</v>
      </c>
      <c r="E1030" s="0" t="s">
        <v>35</v>
      </c>
      <c r="F1030" s="0" t="s">
        <v>480</v>
      </c>
      <c r="G1030" s="0" t="s">
        <v>412</v>
      </c>
      <c r="H1030" s="0" t="s">
        <v>3665</v>
      </c>
      <c r="I1030" s="0" t="s">
        <v>3666</v>
      </c>
      <c r="J1030" s="0" t="s">
        <v>3665</v>
      </c>
      <c r="M1030" s="0" t="s">
        <v>3667</v>
      </c>
      <c r="Q1030" s="0" t="s">
        <v>39</v>
      </c>
      <c r="R1030" s="0" t="s">
        <v>3668</v>
      </c>
      <c r="S1030" s="0" t="s">
        <v>3669</v>
      </c>
      <c r="T1030" s="0" t="s">
        <v>69</v>
      </c>
      <c r="V1030" s="0" t="n">
        <v>1</v>
      </c>
      <c r="W1030" s="0" t="n">
        <v>1</v>
      </c>
      <c r="X1030" s="0" t="str">
        <f aca="false">"31811010369646"</f>
        <v>31811010369646</v>
      </c>
      <c r="Y1030" s="0" t="s">
        <v>39</v>
      </c>
      <c r="Z1030" s="0" t="s">
        <v>42</v>
      </c>
      <c r="AA1030" s="0" t="s">
        <v>43</v>
      </c>
      <c r="AE1030" s="1" t="s">
        <v>52</v>
      </c>
    </row>
    <row r="1031" customFormat="false" ht="12.8" hidden="false" customHeight="false" outlineLevel="0" collapsed="false">
      <c r="A1031" s="0" t="n">
        <v>520467</v>
      </c>
      <c r="B1031" s="0" t="n">
        <v>557882</v>
      </c>
      <c r="C1031" s="0" t="n">
        <v>630108</v>
      </c>
      <c r="D1031" s="0" t="s">
        <v>35</v>
      </c>
      <c r="E1031" s="0" t="s">
        <v>35</v>
      </c>
      <c r="F1031" s="0" t="s">
        <v>480</v>
      </c>
      <c r="G1031" s="0" t="s">
        <v>412</v>
      </c>
      <c r="H1031" s="0" t="s">
        <v>3665</v>
      </c>
      <c r="I1031" s="0" t="s">
        <v>3666</v>
      </c>
      <c r="J1031" s="0" t="s">
        <v>3665</v>
      </c>
      <c r="M1031" s="0" t="s">
        <v>3667</v>
      </c>
      <c r="Q1031" s="0" t="s">
        <v>39</v>
      </c>
      <c r="R1031" s="0" t="s">
        <v>3668</v>
      </c>
      <c r="S1031" s="0" t="s">
        <v>3669</v>
      </c>
      <c r="T1031" s="0" t="s">
        <v>68</v>
      </c>
      <c r="V1031" s="0" t="n">
        <v>1</v>
      </c>
      <c r="W1031" s="0" t="n">
        <v>1</v>
      </c>
      <c r="X1031" s="0" t="str">
        <f aca="false">"31811010369687"</f>
        <v>31811010369687</v>
      </c>
      <c r="Y1031" s="0" t="s">
        <v>39</v>
      </c>
      <c r="Z1031" s="0" t="s">
        <v>42</v>
      </c>
      <c r="AA1031" s="0" t="s">
        <v>43</v>
      </c>
      <c r="AE1031" s="1" t="s">
        <v>52</v>
      </c>
    </row>
    <row r="1032" customFormat="false" ht="12.8" hidden="false" customHeight="false" outlineLevel="0" collapsed="false">
      <c r="A1032" s="0" t="n">
        <v>520467</v>
      </c>
      <c r="B1032" s="0" t="n">
        <v>557882</v>
      </c>
      <c r="C1032" s="0" t="n">
        <v>630109</v>
      </c>
      <c r="D1032" s="0" t="s">
        <v>35</v>
      </c>
      <c r="E1032" s="0" t="s">
        <v>35</v>
      </c>
      <c r="F1032" s="0" t="s">
        <v>480</v>
      </c>
      <c r="G1032" s="0" t="s">
        <v>412</v>
      </c>
      <c r="H1032" s="0" t="s">
        <v>3665</v>
      </c>
      <c r="I1032" s="0" t="s">
        <v>3666</v>
      </c>
      <c r="J1032" s="0" t="s">
        <v>3665</v>
      </c>
      <c r="M1032" s="0" t="s">
        <v>3667</v>
      </c>
      <c r="Q1032" s="0" t="s">
        <v>39</v>
      </c>
      <c r="R1032" s="0" t="s">
        <v>3668</v>
      </c>
      <c r="S1032" s="0" t="s">
        <v>3669</v>
      </c>
      <c r="T1032" s="0" t="s">
        <v>67</v>
      </c>
      <c r="V1032" s="0" t="n">
        <v>1</v>
      </c>
      <c r="W1032" s="0" t="n">
        <v>1</v>
      </c>
      <c r="X1032" s="0" t="str">
        <f aca="false">"31811010369729"</f>
        <v>31811010369729</v>
      </c>
      <c r="Y1032" s="0" t="s">
        <v>39</v>
      </c>
      <c r="Z1032" s="0" t="s">
        <v>42</v>
      </c>
      <c r="AA1032" s="0" t="s">
        <v>43</v>
      </c>
      <c r="AE1032" s="1" t="s">
        <v>52</v>
      </c>
    </row>
    <row r="1033" customFormat="false" ht="12.8" hidden="false" customHeight="false" outlineLevel="0" collapsed="false">
      <c r="A1033" s="0" t="n">
        <v>520467</v>
      </c>
      <c r="B1033" s="0" t="n">
        <v>557882</v>
      </c>
      <c r="C1033" s="0" t="n">
        <v>630110</v>
      </c>
      <c r="D1033" s="0" t="s">
        <v>35</v>
      </c>
      <c r="E1033" s="0" t="s">
        <v>35</v>
      </c>
      <c r="F1033" s="0" t="s">
        <v>480</v>
      </c>
      <c r="G1033" s="0" t="s">
        <v>412</v>
      </c>
      <c r="H1033" s="0" t="s">
        <v>3665</v>
      </c>
      <c r="I1033" s="0" t="s">
        <v>3666</v>
      </c>
      <c r="J1033" s="0" t="s">
        <v>3665</v>
      </c>
      <c r="M1033" s="0" t="s">
        <v>3667</v>
      </c>
      <c r="Q1033" s="0" t="s">
        <v>39</v>
      </c>
      <c r="R1033" s="0" t="s">
        <v>3668</v>
      </c>
      <c r="S1033" s="0" t="s">
        <v>3669</v>
      </c>
      <c r="T1033" s="0" t="s">
        <v>66</v>
      </c>
      <c r="V1033" s="0" t="n">
        <v>1</v>
      </c>
      <c r="W1033" s="0" t="n">
        <v>1</v>
      </c>
      <c r="X1033" s="0" t="str">
        <f aca="false">"31811010369760"</f>
        <v>31811010369760</v>
      </c>
      <c r="Y1033" s="0" t="s">
        <v>39</v>
      </c>
      <c r="Z1033" s="0" t="s">
        <v>42</v>
      </c>
      <c r="AA1033" s="0" t="s">
        <v>43</v>
      </c>
      <c r="AE1033" s="1" t="s">
        <v>52</v>
      </c>
    </row>
    <row r="1034" customFormat="false" ht="12.8" hidden="false" customHeight="false" outlineLevel="0" collapsed="false">
      <c r="A1034" s="0" t="n">
        <v>520467</v>
      </c>
      <c r="B1034" s="0" t="n">
        <v>557882</v>
      </c>
      <c r="C1034" s="0" t="n">
        <v>630111</v>
      </c>
      <c r="D1034" s="0" t="s">
        <v>35</v>
      </c>
      <c r="E1034" s="0" t="s">
        <v>35</v>
      </c>
      <c r="F1034" s="0" t="s">
        <v>480</v>
      </c>
      <c r="G1034" s="0" t="s">
        <v>412</v>
      </c>
      <c r="H1034" s="0" t="s">
        <v>3665</v>
      </c>
      <c r="I1034" s="0" t="s">
        <v>3666</v>
      </c>
      <c r="J1034" s="0" t="s">
        <v>3665</v>
      </c>
      <c r="M1034" s="0" t="s">
        <v>3667</v>
      </c>
      <c r="Q1034" s="0" t="s">
        <v>39</v>
      </c>
      <c r="R1034" s="0" t="s">
        <v>3668</v>
      </c>
      <c r="S1034" s="0" t="s">
        <v>3669</v>
      </c>
      <c r="T1034" s="0" t="s">
        <v>65</v>
      </c>
      <c r="V1034" s="0" t="n">
        <v>1</v>
      </c>
      <c r="W1034" s="0" t="n">
        <v>1</v>
      </c>
      <c r="X1034" s="0" t="str">
        <f aca="false">"31811010378852"</f>
        <v>31811010378852</v>
      </c>
      <c r="Y1034" s="0" t="s">
        <v>39</v>
      </c>
      <c r="Z1034" s="0" t="s">
        <v>42</v>
      </c>
      <c r="AA1034" s="0" t="s">
        <v>43</v>
      </c>
      <c r="AE1034" s="1" t="s">
        <v>52</v>
      </c>
    </row>
    <row r="1035" customFormat="false" ht="12.8" hidden="false" customHeight="false" outlineLevel="0" collapsed="false">
      <c r="A1035" s="0" t="n">
        <v>520467</v>
      </c>
      <c r="B1035" s="0" t="n">
        <v>557882</v>
      </c>
      <c r="C1035" s="0" t="n">
        <v>630112</v>
      </c>
      <c r="D1035" s="0" t="s">
        <v>35</v>
      </c>
      <c r="E1035" s="0" t="s">
        <v>35</v>
      </c>
      <c r="F1035" s="0" t="s">
        <v>480</v>
      </c>
      <c r="G1035" s="0" t="s">
        <v>412</v>
      </c>
      <c r="H1035" s="0" t="s">
        <v>3665</v>
      </c>
      <c r="I1035" s="0" t="s">
        <v>3666</v>
      </c>
      <c r="J1035" s="0" t="s">
        <v>3665</v>
      </c>
      <c r="M1035" s="0" t="s">
        <v>3667</v>
      </c>
      <c r="Q1035" s="0" t="s">
        <v>39</v>
      </c>
      <c r="R1035" s="0" t="s">
        <v>3668</v>
      </c>
      <c r="S1035" s="0" t="s">
        <v>3669</v>
      </c>
      <c r="T1035" s="0" t="s">
        <v>64</v>
      </c>
      <c r="V1035" s="0" t="n">
        <v>1</v>
      </c>
      <c r="W1035" s="0" t="n">
        <v>1</v>
      </c>
      <c r="X1035" s="0" t="str">
        <f aca="false">"31811010378860"</f>
        <v>31811010378860</v>
      </c>
      <c r="Y1035" s="0" t="s">
        <v>39</v>
      </c>
      <c r="Z1035" s="0" t="s">
        <v>42</v>
      </c>
      <c r="AA1035" s="0" t="s">
        <v>43</v>
      </c>
      <c r="AE1035" s="1" t="s">
        <v>52</v>
      </c>
    </row>
    <row r="1036" customFormat="false" ht="12.8" hidden="false" customHeight="false" outlineLevel="0" collapsed="false">
      <c r="A1036" s="0" t="n">
        <v>520467</v>
      </c>
      <c r="B1036" s="0" t="n">
        <v>557882</v>
      </c>
      <c r="C1036" s="0" t="n">
        <v>630113</v>
      </c>
      <c r="D1036" s="0" t="s">
        <v>35</v>
      </c>
      <c r="E1036" s="0" t="s">
        <v>35</v>
      </c>
      <c r="F1036" s="0" t="s">
        <v>480</v>
      </c>
      <c r="G1036" s="0" t="s">
        <v>412</v>
      </c>
      <c r="H1036" s="0" t="s">
        <v>3665</v>
      </c>
      <c r="I1036" s="0" t="s">
        <v>3666</v>
      </c>
      <c r="J1036" s="0" t="s">
        <v>3665</v>
      </c>
      <c r="M1036" s="0" t="s">
        <v>3667</v>
      </c>
      <c r="Q1036" s="0" t="s">
        <v>39</v>
      </c>
      <c r="R1036" s="0" t="s">
        <v>3668</v>
      </c>
      <c r="S1036" s="0" t="s">
        <v>3669</v>
      </c>
      <c r="T1036" s="0" t="s">
        <v>63</v>
      </c>
      <c r="V1036" s="0" t="n">
        <v>1</v>
      </c>
      <c r="W1036" s="0" t="n">
        <v>1</v>
      </c>
      <c r="X1036" s="0" t="str">
        <f aca="false">"31811010378878"</f>
        <v>31811010378878</v>
      </c>
      <c r="Y1036" s="0" t="s">
        <v>39</v>
      </c>
      <c r="Z1036" s="0" t="s">
        <v>42</v>
      </c>
      <c r="AA1036" s="0" t="s">
        <v>43</v>
      </c>
      <c r="AE1036" s="1" t="s">
        <v>52</v>
      </c>
    </row>
    <row r="1037" customFormat="false" ht="12.8" hidden="false" customHeight="false" outlineLevel="0" collapsed="false">
      <c r="A1037" s="0" t="n">
        <v>520467</v>
      </c>
      <c r="B1037" s="0" t="n">
        <v>557882</v>
      </c>
      <c r="C1037" s="0" t="n">
        <v>630114</v>
      </c>
      <c r="D1037" s="0" t="s">
        <v>35</v>
      </c>
      <c r="E1037" s="0" t="s">
        <v>35</v>
      </c>
      <c r="F1037" s="0" t="s">
        <v>480</v>
      </c>
      <c r="G1037" s="0" t="s">
        <v>412</v>
      </c>
      <c r="H1037" s="0" t="s">
        <v>3665</v>
      </c>
      <c r="I1037" s="0" t="s">
        <v>3666</v>
      </c>
      <c r="J1037" s="0" t="s">
        <v>3665</v>
      </c>
      <c r="M1037" s="0" t="s">
        <v>3667</v>
      </c>
      <c r="Q1037" s="0" t="s">
        <v>39</v>
      </c>
      <c r="R1037" s="0" t="s">
        <v>3668</v>
      </c>
      <c r="S1037" s="0" t="s">
        <v>3669</v>
      </c>
      <c r="T1037" s="0" t="s">
        <v>539</v>
      </c>
      <c r="V1037" s="0" t="n">
        <v>1</v>
      </c>
      <c r="W1037" s="0" t="n">
        <v>1</v>
      </c>
      <c r="X1037" s="0" t="str">
        <f aca="false">"31811010378886"</f>
        <v>31811010378886</v>
      </c>
      <c r="Y1037" s="0" t="s">
        <v>39</v>
      </c>
      <c r="Z1037" s="0" t="s">
        <v>42</v>
      </c>
      <c r="AA1037" s="0" t="s">
        <v>43</v>
      </c>
      <c r="AE1037" s="1" t="s">
        <v>52</v>
      </c>
    </row>
    <row r="1038" customFormat="false" ht="12.8" hidden="false" customHeight="false" outlineLevel="0" collapsed="false">
      <c r="A1038" s="0" t="n">
        <v>520467</v>
      </c>
      <c r="B1038" s="0" t="n">
        <v>557882</v>
      </c>
      <c r="C1038" s="0" t="n">
        <v>630115</v>
      </c>
      <c r="D1038" s="0" t="s">
        <v>35</v>
      </c>
      <c r="E1038" s="0" t="s">
        <v>35</v>
      </c>
      <c r="F1038" s="0" t="s">
        <v>480</v>
      </c>
      <c r="G1038" s="0" t="s">
        <v>412</v>
      </c>
      <c r="H1038" s="0" t="s">
        <v>3665</v>
      </c>
      <c r="I1038" s="0" t="s">
        <v>3666</v>
      </c>
      <c r="J1038" s="0" t="s">
        <v>3665</v>
      </c>
      <c r="M1038" s="0" t="s">
        <v>3667</v>
      </c>
      <c r="Q1038" s="0" t="s">
        <v>39</v>
      </c>
      <c r="R1038" s="0" t="s">
        <v>3668</v>
      </c>
      <c r="S1038" s="0" t="s">
        <v>3669</v>
      </c>
      <c r="T1038" s="0" t="s">
        <v>62</v>
      </c>
      <c r="V1038" s="0" t="n">
        <v>1</v>
      </c>
      <c r="W1038" s="0" t="n">
        <v>1</v>
      </c>
      <c r="X1038" s="0" t="str">
        <f aca="false">"31811010378811"</f>
        <v>31811010378811</v>
      </c>
      <c r="Y1038" s="0" t="s">
        <v>39</v>
      </c>
      <c r="Z1038" s="0" t="s">
        <v>42</v>
      </c>
      <c r="AA1038" s="0" t="s">
        <v>43</v>
      </c>
      <c r="AE1038" s="1" t="s">
        <v>52</v>
      </c>
    </row>
    <row r="1039" customFormat="false" ht="12.8" hidden="false" customHeight="false" outlineLevel="0" collapsed="false">
      <c r="A1039" s="0" t="n">
        <v>520467</v>
      </c>
      <c r="B1039" s="0" t="n">
        <v>557882</v>
      </c>
      <c r="C1039" s="0" t="n">
        <v>630116</v>
      </c>
      <c r="D1039" s="0" t="s">
        <v>35</v>
      </c>
      <c r="E1039" s="0" t="s">
        <v>35</v>
      </c>
      <c r="F1039" s="0" t="s">
        <v>480</v>
      </c>
      <c r="G1039" s="0" t="s">
        <v>412</v>
      </c>
      <c r="H1039" s="0" t="s">
        <v>3665</v>
      </c>
      <c r="I1039" s="0" t="s">
        <v>3666</v>
      </c>
      <c r="J1039" s="0" t="s">
        <v>3665</v>
      </c>
      <c r="M1039" s="0" t="s">
        <v>3667</v>
      </c>
      <c r="Q1039" s="0" t="s">
        <v>39</v>
      </c>
      <c r="R1039" s="0" t="s">
        <v>3668</v>
      </c>
      <c r="S1039" s="0" t="s">
        <v>3669</v>
      </c>
      <c r="T1039" s="0" t="s">
        <v>61</v>
      </c>
      <c r="V1039" s="0" t="n">
        <v>1</v>
      </c>
      <c r="W1039" s="0" t="n">
        <v>1</v>
      </c>
      <c r="X1039" s="0" t="str">
        <f aca="false">"31811010378829"</f>
        <v>31811010378829</v>
      </c>
      <c r="Y1039" s="0" t="s">
        <v>39</v>
      </c>
      <c r="Z1039" s="0" t="s">
        <v>42</v>
      </c>
      <c r="AA1039" s="0" t="s">
        <v>43</v>
      </c>
      <c r="AE1039" s="1" t="s">
        <v>52</v>
      </c>
    </row>
    <row r="1040" customFormat="false" ht="12.8" hidden="false" customHeight="false" outlineLevel="0" collapsed="false">
      <c r="A1040" s="0" t="n">
        <v>520467</v>
      </c>
      <c r="B1040" s="0" t="n">
        <v>557882</v>
      </c>
      <c r="C1040" s="0" t="n">
        <v>630117</v>
      </c>
      <c r="D1040" s="0" t="s">
        <v>35</v>
      </c>
      <c r="E1040" s="0" t="s">
        <v>35</v>
      </c>
      <c r="F1040" s="0" t="s">
        <v>480</v>
      </c>
      <c r="G1040" s="0" t="s">
        <v>412</v>
      </c>
      <c r="H1040" s="0" t="s">
        <v>3665</v>
      </c>
      <c r="I1040" s="0" t="s">
        <v>3666</v>
      </c>
      <c r="J1040" s="0" t="s">
        <v>3665</v>
      </c>
      <c r="M1040" s="0" t="s">
        <v>3667</v>
      </c>
      <c r="Q1040" s="0" t="s">
        <v>39</v>
      </c>
      <c r="R1040" s="0" t="s">
        <v>3668</v>
      </c>
      <c r="S1040" s="0" t="s">
        <v>3669</v>
      </c>
      <c r="T1040" s="0" t="s">
        <v>60</v>
      </c>
      <c r="V1040" s="0" t="n">
        <v>1</v>
      </c>
      <c r="W1040" s="0" t="n">
        <v>1</v>
      </c>
      <c r="X1040" s="0" t="str">
        <f aca="false">"31811010378837"</f>
        <v>31811010378837</v>
      </c>
      <c r="Y1040" s="0" t="s">
        <v>39</v>
      </c>
      <c r="Z1040" s="0" t="s">
        <v>42</v>
      </c>
      <c r="AA1040" s="0" t="s">
        <v>43</v>
      </c>
      <c r="AE1040" s="1" t="s">
        <v>52</v>
      </c>
    </row>
    <row r="1041" customFormat="false" ht="12.8" hidden="false" customHeight="false" outlineLevel="0" collapsed="false">
      <c r="A1041" s="0" t="n">
        <v>520467</v>
      </c>
      <c r="B1041" s="0" t="n">
        <v>557882</v>
      </c>
      <c r="C1041" s="0" t="n">
        <v>630118</v>
      </c>
      <c r="D1041" s="0" t="s">
        <v>35</v>
      </c>
      <c r="E1041" s="0" t="s">
        <v>35</v>
      </c>
      <c r="F1041" s="0" t="s">
        <v>480</v>
      </c>
      <c r="G1041" s="0" t="s">
        <v>412</v>
      </c>
      <c r="H1041" s="0" t="s">
        <v>3665</v>
      </c>
      <c r="I1041" s="0" t="s">
        <v>3666</v>
      </c>
      <c r="J1041" s="0" t="s">
        <v>3665</v>
      </c>
      <c r="M1041" s="0" t="s">
        <v>3667</v>
      </c>
      <c r="Q1041" s="0" t="s">
        <v>39</v>
      </c>
      <c r="R1041" s="0" t="s">
        <v>3668</v>
      </c>
      <c r="S1041" s="0" t="s">
        <v>3669</v>
      </c>
      <c r="T1041" s="0" t="s">
        <v>58</v>
      </c>
      <c r="V1041" s="0" t="n">
        <v>1</v>
      </c>
      <c r="W1041" s="0" t="n">
        <v>1</v>
      </c>
      <c r="X1041" s="0" t="str">
        <f aca="false">"31811010378845"</f>
        <v>31811010378845</v>
      </c>
      <c r="Y1041" s="0" t="s">
        <v>39</v>
      </c>
      <c r="Z1041" s="0" t="s">
        <v>42</v>
      </c>
      <c r="AA1041" s="0" t="s">
        <v>43</v>
      </c>
      <c r="AE1041" s="1" t="s">
        <v>52</v>
      </c>
    </row>
    <row r="1042" customFormat="false" ht="12.8" hidden="false" customHeight="false" outlineLevel="0" collapsed="false">
      <c r="A1042" s="0" t="n">
        <v>520467</v>
      </c>
      <c r="B1042" s="0" t="n">
        <v>557882</v>
      </c>
      <c r="C1042" s="0" t="n">
        <v>630119</v>
      </c>
      <c r="D1042" s="0" t="s">
        <v>35</v>
      </c>
      <c r="E1042" s="0" t="s">
        <v>35</v>
      </c>
      <c r="F1042" s="0" t="s">
        <v>480</v>
      </c>
      <c r="G1042" s="0" t="s">
        <v>412</v>
      </c>
      <c r="H1042" s="0" t="s">
        <v>3665</v>
      </c>
      <c r="I1042" s="0" t="s">
        <v>3666</v>
      </c>
      <c r="J1042" s="0" t="s">
        <v>3665</v>
      </c>
      <c r="M1042" s="0" t="s">
        <v>3667</v>
      </c>
      <c r="Q1042" s="0" t="s">
        <v>39</v>
      </c>
      <c r="R1042" s="0" t="s">
        <v>3668</v>
      </c>
      <c r="S1042" s="0" t="s">
        <v>3669</v>
      </c>
      <c r="T1042" s="0" t="s">
        <v>57</v>
      </c>
      <c r="V1042" s="0" t="n">
        <v>1</v>
      </c>
      <c r="W1042" s="0" t="n">
        <v>1</v>
      </c>
      <c r="X1042" s="0" t="str">
        <f aca="false">"31811010378803"</f>
        <v>31811010378803</v>
      </c>
      <c r="Y1042" s="0" t="s">
        <v>39</v>
      </c>
      <c r="Z1042" s="0" t="s">
        <v>42</v>
      </c>
      <c r="AA1042" s="0" t="s">
        <v>43</v>
      </c>
      <c r="AE1042" s="1" t="s">
        <v>52</v>
      </c>
    </row>
    <row r="1043" customFormat="false" ht="12.8" hidden="false" customHeight="false" outlineLevel="0" collapsed="false">
      <c r="A1043" s="0" t="n">
        <v>520467</v>
      </c>
      <c r="B1043" s="0" t="n">
        <v>557882</v>
      </c>
      <c r="C1043" s="0" t="n">
        <v>630120</v>
      </c>
      <c r="D1043" s="0" t="s">
        <v>35</v>
      </c>
      <c r="E1043" s="0" t="s">
        <v>35</v>
      </c>
      <c r="F1043" s="0" t="s">
        <v>480</v>
      </c>
      <c r="G1043" s="0" t="s">
        <v>412</v>
      </c>
      <c r="H1043" s="0" t="s">
        <v>3665</v>
      </c>
      <c r="I1043" s="0" t="s">
        <v>3666</v>
      </c>
      <c r="J1043" s="0" t="s">
        <v>3665</v>
      </c>
      <c r="M1043" s="0" t="s">
        <v>3667</v>
      </c>
      <c r="Q1043" s="0" t="s">
        <v>39</v>
      </c>
      <c r="R1043" s="0" t="s">
        <v>3668</v>
      </c>
      <c r="S1043" s="0" t="s">
        <v>3669</v>
      </c>
      <c r="T1043" s="0" t="s">
        <v>3670</v>
      </c>
      <c r="V1043" s="0" t="n">
        <v>1</v>
      </c>
      <c r="W1043" s="0" t="n">
        <v>1</v>
      </c>
      <c r="X1043" s="0" t="str">
        <f aca="false">"31811010378795"</f>
        <v>31811010378795</v>
      </c>
      <c r="Y1043" s="0" t="s">
        <v>39</v>
      </c>
      <c r="Z1043" s="0" t="s">
        <v>42</v>
      </c>
      <c r="AA1043" s="0" t="s">
        <v>43</v>
      </c>
      <c r="AE1043" s="1" t="s">
        <v>52</v>
      </c>
    </row>
    <row r="1044" customFormat="false" ht="12.8" hidden="false" customHeight="false" outlineLevel="0" collapsed="false">
      <c r="A1044" s="0" t="n">
        <v>520467</v>
      </c>
      <c r="B1044" s="0" t="n">
        <v>557882</v>
      </c>
      <c r="C1044" s="0" t="n">
        <v>630121</v>
      </c>
      <c r="D1044" s="0" t="s">
        <v>35</v>
      </c>
      <c r="E1044" s="0" t="s">
        <v>35</v>
      </c>
      <c r="F1044" s="0" t="s">
        <v>480</v>
      </c>
      <c r="G1044" s="0" t="s">
        <v>412</v>
      </c>
      <c r="H1044" s="0" t="s">
        <v>3665</v>
      </c>
      <c r="I1044" s="0" t="s">
        <v>3666</v>
      </c>
      <c r="J1044" s="0" t="s">
        <v>3665</v>
      </c>
      <c r="M1044" s="0" t="s">
        <v>3667</v>
      </c>
      <c r="Q1044" s="0" t="s">
        <v>39</v>
      </c>
      <c r="R1044" s="0" t="s">
        <v>3668</v>
      </c>
      <c r="S1044" s="0" t="s">
        <v>3669</v>
      </c>
      <c r="T1044" s="0" t="s">
        <v>55</v>
      </c>
      <c r="V1044" s="0" t="n">
        <v>1</v>
      </c>
      <c r="W1044" s="0" t="n">
        <v>1</v>
      </c>
      <c r="X1044" s="0" t="str">
        <f aca="false">"31811003178780"</f>
        <v>31811003178780</v>
      </c>
      <c r="Y1044" s="0" t="s">
        <v>39</v>
      </c>
      <c r="Z1044" s="0" t="s">
        <v>42</v>
      </c>
      <c r="AA1044" s="0" t="s">
        <v>43</v>
      </c>
      <c r="AE1044" s="1" t="s">
        <v>52</v>
      </c>
    </row>
    <row r="1045" customFormat="false" ht="12.8" hidden="false" customHeight="false" outlineLevel="0" collapsed="false">
      <c r="A1045" s="0" t="n">
        <v>520467</v>
      </c>
      <c r="B1045" s="0" t="n">
        <v>557882</v>
      </c>
      <c r="C1045" s="0" t="n">
        <v>630122</v>
      </c>
      <c r="D1045" s="0" t="s">
        <v>35</v>
      </c>
      <c r="E1045" s="0" t="s">
        <v>35</v>
      </c>
      <c r="F1045" s="0" t="s">
        <v>480</v>
      </c>
      <c r="G1045" s="0" t="s">
        <v>412</v>
      </c>
      <c r="H1045" s="0" t="s">
        <v>3665</v>
      </c>
      <c r="I1045" s="0" t="s">
        <v>3666</v>
      </c>
      <c r="J1045" s="0" t="s">
        <v>3665</v>
      </c>
      <c r="M1045" s="0" t="s">
        <v>3667</v>
      </c>
      <c r="Q1045" s="0" t="s">
        <v>39</v>
      </c>
      <c r="R1045" s="0" t="s">
        <v>3668</v>
      </c>
      <c r="S1045" s="0" t="s">
        <v>3669</v>
      </c>
      <c r="T1045" s="0" t="s">
        <v>510</v>
      </c>
      <c r="V1045" s="0" t="n">
        <v>1</v>
      </c>
      <c r="W1045" s="0" t="n">
        <v>1</v>
      </c>
      <c r="X1045" s="0" t="str">
        <f aca="false">"31811010378787"</f>
        <v>31811010378787</v>
      </c>
      <c r="Y1045" s="0" t="s">
        <v>39</v>
      </c>
      <c r="Z1045" s="0" t="s">
        <v>42</v>
      </c>
      <c r="AA1045" s="0" t="s">
        <v>43</v>
      </c>
      <c r="AE1045" s="1" t="s">
        <v>52</v>
      </c>
    </row>
    <row r="1046" customFormat="false" ht="12.8" hidden="false" customHeight="false" outlineLevel="0" collapsed="false">
      <c r="A1046" s="0" t="n">
        <v>520467</v>
      </c>
      <c r="B1046" s="0" t="n">
        <v>557882</v>
      </c>
      <c r="C1046" s="0" t="n">
        <v>630123</v>
      </c>
      <c r="D1046" s="0" t="s">
        <v>35</v>
      </c>
      <c r="E1046" s="0" t="s">
        <v>35</v>
      </c>
      <c r="F1046" s="0" t="s">
        <v>480</v>
      </c>
      <c r="G1046" s="0" t="s">
        <v>412</v>
      </c>
      <c r="H1046" s="0" t="s">
        <v>3665</v>
      </c>
      <c r="I1046" s="0" t="s">
        <v>3666</v>
      </c>
      <c r="J1046" s="0" t="s">
        <v>3665</v>
      </c>
      <c r="M1046" s="0" t="s">
        <v>3667</v>
      </c>
      <c r="Q1046" s="0" t="s">
        <v>39</v>
      </c>
      <c r="R1046" s="0" t="s">
        <v>3668</v>
      </c>
      <c r="S1046" s="0" t="s">
        <v>3669</v>
      </c>
      <c r="T1046" s="0" t="s">
        <v>54</v>
      </c>
      <c r="V1046" s="0" t="n">
        <v>1</v>
      </c>
      <c r="W1046" s="0" t="n">
        <v>1</v>
      </c>
      <c r="X1046" s="0" t="str">
        <f aca="false">"31811010378779"</f>
        <v>31811010378779</v>
      </c>
      <c r="Y1046" s="0" t="s">
        <v>39</v>
      </c>
      <c r="Z1046" s="0" t="s">
        <v>42</v>
      </c>
      <c r="AA1046" s="0" t="s">
        <v>43</v>
      </c>
      <c r="AE1046" s="1" t="s">
        <v>52</v>
      </c>
    </row>
    <row r="1047" customFormat="false" ht="12.8" hidden="false" customHeight="false" outlineLevel="0" collapsed="false">
      <c r="A1047" s="0" t="n">
        <v>520467</v>
      </c>
      <c r="B1047" s="0" t="n">
        <v>557882</v>
      </c>
      <c r="C1047" s="0" t="n">
        <v>630124</v>
      </c>
      <c r="D1047" s="0" t="s">
        <v>35</v>
      </c>
      <c r="E1047" s="0" t="s">
        <v>35</v>
      </c>
      <c r="F1047" s="0" t="s">
        <v>480</v>
      </c>
      <c r="G1047" s="0" t="s">
        <v>412</v>
      </c>
      <c r="H1047" s="0" t="s">
        <v>3665</v>
      </c>
      <c r="I1047" s="0" t="s">
        <v>3666</v>
      </c>
      <c r="J1047" s="0" t="s">
        <v>3665</v>
      </c>
      <c r="M1047" s="0" t="s">
        <v>3667</v>
      </c>
      <c r="Q1047" s="0" t="s">
        <v>39</v>
      </c>
      <c r="R1047" s="0" t="s">
        <v>3668</v>
      </c>
      <c r="S1047" s="0" t="s">
        <v>3669</v>
      </c>
      <c r="T1047" s="0" t="s">
        <v>243</v>
      </c>
      <c r="V1047" s="0" t="n">
        <v>1</v>
      </c>
      <c r="W1047" s="0" t="n">
        <v>1</v>
      </c>
      <c r="X1047" s="0" t="str">
        <f aca="false">"31811010378738"</f>
        <v>31811010378738</v>
      </c>
      <c r="Y1047" s="0" t="s">
        <v>39</v>
      </c>
      <c r="Z1047" s="0" t="s">
        <v>42</v>
      </c>
      <c r="AA1047" s="0" t="s">
        <v>43</v>
      </c>
      <c r="AE1047" s="1" t="s">
        <v>52</v>
      </c>
    </row>
    <row r="1048" customFormat="false" ht="12.8" hidden="false" customHeight="false" outlineLevel="0" collapsed="false">
      <c r="A1048" s="0" t="n">
        <v>520467</v>
      </c>
      <c r="B1048" s="0" t="n">
        <v>557882</v>
      </c>
      <c r="C1048" s="0" t="n">
        <v>630125</v>
      </c>
      <c r="D1048" s="0" t="s">
        <v>35</v>
      </c>
      <c r="E1048" s="0" t="s">
        <v>35</v>
      </c>
      <c r="F1048" s="0" t="s">
        <v>480</v>
      </c>
      <c r="G1048" s="0" t="s">
        <v>412</v>
      </c>
      <c r="H1048" s="0" t="s">
        <v>3665</v>
      </c>
      <c r="I1048" s="0" t="s">
        <v>3666</v>
      </c>
      <c r="J1048" s="0" t="s">
        <v>3665</v>
      </c>
      <c r="M1048" s="0" t="s">
        <v>3667</v>
      </c>
      <c r="Q1048" s="0" t="s">
        <v>39</v>
      </c>
      <c r="R1048" s="0" t="s">
        <v>3668</v>
      </c>
      <c r="S1048" s="0" t="s">
        <v>3669</v>
      </c>
      <c r="T1048" s="0" t="s">
        <v>53</v>
      </c>
      <c r="V1048" s="0" t="n">
        <v>1</v>
      </c>
      <c r="W1048" s="0" t="n">
        <v>1</v>
      </c>
      <c r="X1048" s="0" t="str">
        <f aca="false">"31811010378746"</f>
        <v>31811010378746</v>
      </c>
      <c r="Y1048" s="0" t="s">
        <v>39</v>
      </c>
      <c r="Z1048" s="0" t="s">
        <v>42</v>
      </c>
      <c r="AA1048" s="0" t="s">
        <v>43</v>
      </c>
      <c r="AE1048" s="1" t="s">
        <v>52</v>
      </c>
    </row>
    <row r="1049" customFormat="false" ht="12.8" hidden="false" customHeight="false" outlineLevel="0" collapsed="false">
      <c r="A1049" s="0" t="n">
        <v>520467</v>
      </c>
      <c r="B1049" s="0" t="n">
        <v>557882</v>
      </c>
      <c r="C1049" s="0" t="n">
        <v>630126</v>
      </c>
      <c r="D1049" s="0" t="s">
        <v>35</v>
      </c>
      <c r="E1049" s="0" t="s">
        <v>35</v>
      </c>
      <c r="F1049" s="0" t="s">
        <v>480</v>
      </c>
      <c r="G1049" s="0" t="s">
        <v>412</v>
      </c>
      <c r="H1049" s="0" t="s">
        <v>3665</v>
      </c>
      <c r="I1049" s="0" t="s">
        <v>3666</v>
      </c>
      <c r="J1049" s="0" t="s">
        <v>3665</v>
      </c>
      <c r="M1049" s="0" t="s">
        <v>3667</v>
      </c>
      <c r="Q1049" s="0" t="s">
        <v>39</v>
      </c>
      <c r="R1049" s="0" t="s">
        <v>3668</v>
      </c>
      <c r="S1049" s="0" t="s">
        <v>3669</v>
      </c>
      <c r="T1049" s="0" t="s">
        <v>51</v>
      </c>
      <c r="V1049" s="0" t="n">
        <v>1</v>
      </c>
      <c r="W1049" s="0" t="n">
        <v>1</v>
      </c>
      <c r="X1049" s="0" t="str">
        <f aca="false">"31811003178772"</f>
        <v>31811003178772</v>
      </c>
      <c r="Y1049" s="0" t="s">
        <v>39</v>
      </c>
      <c r="Z1049" s="0" t="s">
        <v>42</v>
      </c>
      <c r="AA1049" s="0" t="s">
        <v>43</v>
      </c>
      <c r="AE1049" s="1" t="s">
        <v>52</v>
      </c>
    </row>
    <row r="1050" customFormat="false" ht="12.8" hidden="false" customHeight="false" outlineLevel="0" collapsed="false">
      <c r="A1050" s="0" t="n">
        <v>395595</v>
      </c>
      <c r="B1050" s="0" t="n">
        <v>427320</v>
      </c>
      <c r="C1050" s="0" t="n">
        <v>476451</v>
      </c>
      <c r="D1050" s="0" t="s">
        <v>35</v>
      </c>
      <c r="E1050" s="0" t="s">
        <v>35</v>
      </c>
      <c r="F1050" s="0" t="s">
        <v>36</v>
      </c>
      <c r="G1050" s="0" t="s">
        <v>412</v>
      </c>
      <c r="H1050" s="0" t="s">
        <v>3671</v>
      </c>
      <c r="I1050" s="0" t="s">
        <v>3672</v>
      </c>
      <c r="J1050" s="0" t="s">
        <v>3671</v>
      </c>
      <c r="M1050" s="0" t="s">
        <v>3673</v>
      </c>
      <c r="N1050" s="0" t="n">
        <v>1934</v>
      </c>
      <c r="P1050" s="0" t="n">
        <v>1934</v>
      </c>
      <c r="Q1050" s="0" t="s">
        <v>39</v>
      </c>
      <c r="R1050" s="0" t="s">
        <v>3674</v>
      </c>
      <c r="S1050" s="0" t="s">
        <v>3675</v>
      </c>
      <c r="V1050" s="0" t="n">
        <v>1</v>
      </c>
      <c r="W1050" s="0" t="n">
        <v>1</v>
      </c>
      <c r="X1050" s="0" t="str">
        <f aca="false">"31811010369711"</f>
        <v>31811010369711</v>
      </c>
      <c r="Y1050" s="0" t="s">
        <v>39</v>
      </c>
      <c r="Z1050" s="0" t="s">
        <v>42</v>
      </c>
      <c r="AA1050" s="0" t="s">
        <v>43</v>
      </c>
      <c r="AE1050" s="1" t="s">
        <v>52</v>
      </c>
    </row>
    <row r="1051" customFormat="false" ht="12.8" hidden="false" customHeight="false" outlineLevel="0" collapsed="false">
      <c r="A1051" s="0" t="n">
        <v>211773</v>
      </c>
      <c r="B1051" s="0" t="n">
        <v>232342</v>
      </c>
      <c r="C1051" s="0" t="n">
        <v>261558</v>
      </c>
      <c r="D1051" s="0" t="s">
        <v>35</v>
      </c>
      <c r="E1051" s="0" t="s">
        <v>35</v>
      </c>
      <c r="F1051" s="0" t="s">
        <v>36</v>
      </c>
      <c r="G1051" s="0" t="s">
        <v>37</v>
      </c>
      <c r="H1051" s="0" t="s">
        <v>3676</v>
      </c>
      <c r="I1051" s="0" t="s">
        <v>3677</v>
      </c>
      <c r="J1051" s="0" t="s">
        <v>3678</v>
      </c>
      <c r="M1051" s="0" t="s">
        <v>3679</v>
      </c>
      <c r="N1051" s="0" t="n">
        <v>1905</v>
      </c>
      <c r="P1051" s="0" t="n">
        <v>1905</v>
      </c>
      <c r="Q1051" s="0" t="s">
        <v>39</v>
      </c>
      <c r="R1051" s="0" t="s">
        <v>3680</v>
      </c>
      <c r="S1051" s="0" t="s">
        <v>3681</v>
      </c>
      <c r="V1051" s="0" t="n">
        <v>1</v>
      </c>
      <c r="W1051" s="0" t="n">
        <v>1</v>
      </c>
      <c r="X1051" s="0" t="str">
        <f aca="false">"31811010369679"</f>
        <v>31811010369679</v>
      </c>
      <c r="Y1051" s="0" t="s">
        <v>39</v>
      </c>
      <c r="Z1051" s="0" t="s">
        <v>42</v>
      </c>
      <c r="AA1051" s="0" t="s">
        <v>43</v>
      </c>
      <c r="AE1051" s="1" t="s">
        <v>52</v>
      </c>
      <c r="AH1051" s="1" t="s">
        <v>3682</v>
      </c>
    </row>
    <row r="1052" customFormat="false" ht="12.8" hidden="false" customHeight="false" outlineLevel="0" collapsed="false">
      <c r="A1052" s="0" t="n">
        <v>72851</v>
      </c>
      <c r="B1052" s="0" t="n">
        <v>78964</v>
      </c>
      <c r="C1052" s="0" t="n">
        <v>87836</v>
      </c>
      <c r="D1052" s="0" t="s">
        <v>35</v>
      </c>
      <c r="E1052" s="0" t="s">
        <v>35</v>
      </c>
      <c r="F1052" s="0" t="s">
        <v>36</v>
      </c>
      <c r="G1052" s="0" t="s">
        <v>37</v>
      </c>
      <c r="H1052" s="0" t="s">
        <v>3683</v>
      </c>
      <c r="I1052" s="0" t="s">
        <v>3684</v>
      </c>
      <c r="J1052" s="0" t="s">
        <v>3685</v>
      </c>
      <c r="M1052" s="0" t="s">
        <v>3686</v>
      </c>
      <c r="N1052" s="0" t="n">
        <v>1945</v>
      </c>
      <c r="P1052" s="0" t="n">
        <v>1945</v>
      </c>
      <c r="Q1052" s="0" t="s">
        <v>39</v>
      </c>
      <c r="R1052" s="0" t="s">
        <v>3687</v>
      </c>
      <c r="S1052" s="0" t="s">
        <v>3688</v>
      </c>
      <c r="V1052" s="0" t="n">
        <v>1</v>
      </c>
      <c r="W1052" s="0" t="n">
        <v>1</v>
      </c>
      <c r="X1052" s="0" t="str">
        <f aca="false">"31811010369752"</f>
        <v>31811010369752</v>
      </c>
      <c r="Y1052" s="0" t="s">
        <v>39</v>
      </c>
      <c r="Z1052" s="0" t="s">
        <v>42</v>
      </c>
      <c r="AA1052" s="0" t="s">
        <v>43</v>
      </c>
      <c r="AE1052" s="1" t="s">
        <v>52</v>
      </c>
    </row>
    <row r="1053" customFormat="false" ht="12.8" hidden="false" customHeight="false" outlineLevel="0" collapsed="false">
      <c r="A1053" s="0" t="n">
        <v>243045</v>
      </c>
      <c r="B1053" s="0" t="n">
        <v>266438</v>
      </c>
      <c r="C1053" s="0" t="n">
        <v>299423</v>
      </c>
      <c r="D1053" s="0" t="s">
        <v>35</v>
      </c>
      <c r="E1053" s="0" t="s">
        <v>35</v>
      </c>
      <c r="F1053" s="0" t="s">
        <v>36</v>
      </c>
      <c r="G1053" s="0" t="s">
        <v>37</v>
      </c>
      <c r="H1053" s="0" t="s">
        <v>3689</v>
      </c>
      <c r="J1053" s="0" t="s">
        <v>3689</v>
      </c>
      <c r="M1053" s="0" t="s">
        <v>3690</v>
      </c>
      <c r="N1053" s="0" t="n">
        <v>1945</v>
      </c>
      <c r="P1053" s="0" t="n">
        <v>1945</v>
      </c>
      <c r="Q1053" s="0" t="s">
        <v>39</v>
      </c>
      <c r="R1053" s="0" t="s">
        <v>3691</v>
      </c>
      <c r="S1053" s="0" t="s">
        <v>3692</v>
      </c>
      <c r="V1053" s="0" t="n">
        <v>1</v>
      </c>
      <c r="W1053" s="0" t="n">
        <v>1</v>
      </c>
      <c r="X1053" s="0" t="str">
        <f aca="false">"31811010369745"</f>
        <v>31811010369745</v>
      </c>
      <c r="Y1053" s="0" t="s">
        <v>39</v>
      </c>
      <c r="Z1053" s="0" t="s">
        <v>42</v>
      </c>
      <c r="AA1053" s="0" t="s">
        <v>43</v>
      </c>
      <c r="AE1053" s="1" t="s">
        <v>52</v>
      </c>
    </row>
    <row r="1054" customFormat="false" ht="12.8" hidden="false" customHeight="false" outlineLevel="0" collapsed="false">
      <c r="A1054" s="0" t="n">
        <v>271357</v>
      </c>
      <c r="B1054" s="0" t="n">
        <v>297018</v>
      </c>
      <c r="C1054" s="0" t="n">
        <v>333098</v>
      </c>
      <c r="D1054" s="0" t="s">
        <v>35</v>
      </c>
      <c r="E1054" s="0" t="s">
        <v>35</v>
      </c>
      <c r="F1054" s="0" t="s">
        <v>480</v>
      </c>
      <c r="G1054" s="0" t="s">
        <v>37</v>
      </c>
      <c r="H1054" s="0" t="s">
        <v>3693</v>
      </c>
      <c r="J1054" s="0" t="s">
        <v>3694</v>
      </c>
      <c r="M1054" s="0" t="s">
        <v>3695</v>
      </c>
      <c r="N1054" s="1" t="s">
        <v>3696</v>
      </c>
      <c r="O1054" s="0" t="s">
        <v>3697</v>
      </c>
      <c r="P1054" s="0" t="n">
        <v>1952</v>
      </c>
      <c r="Q1054" s="0" t="s">
        <v>39</v>
      </c>
      <c r="R1054" s="0" t="s">
        <v>3698</v>
      </c>
      <c r="S1054" s="0" t="s">
        <v>3699</v>
      </c>
      <c r="T1054" s="0" t="s">
        <v>3700</v>
      </c>
      <c r="V1054" s="0" t="n">
        <v>1</v>
      </c>
      <c r="W1054" s="0" t="n">
        <v>1</v>
      </c>
      <c r="X1054" s="0" t="str">
        <f aca="false">"31811012076033"</f>
        <v>31811012076033</v>
      </c>
      <c r="Y1054" s="0" t="s">
        <v>39</v>
      </c>
      <c r="Z1054" s="0" t="s">
        <v>42</v>
      </c>
      <c r="AA1054" s="0" t="s">
        <v>622</v>
      </c>
      <c r="AE1054" s="1" t="s">
        <v>52</v>
      </c>
    </row>
    <row r="1055" customFormat="false" ht="12.8" hidden="false" customHeight="false" outlineLevel="0" collapsed="false">
      <c r="A1055" s="0" t="n">
        <v>271357</v>
      </c>
      <c r="B1055" s="0" t="n">
        <v>297018</v>
      </c>
      <c r="C1055" s="0" t="n">
        <v>333099</v>
      </c>
      <c r="D1055" s="0" t="s">
        <v>35</v>
      </c>
      <c r="E1055" s="0" t="s">
        <v>35</v>
      </c>
      <c r="F1055" s="0" t="s">
        <v>480</v>
      </c>
      <c r="G1055" s="0" t="s">
        <v>37</v>
      </c>
      <c r="H1055" s="0" t="s">
        <v>3693</v>
      </c>
      <c r="J1055" s="0" t="s">
        <v>3694</v>
      </c>
      <c r="M1055" s="0" t="s">
        <v>3695</v>
      </c>
      <c r="N1055" s="1" t="s">
        <v>3696</v>
      </c>
      <c r="O1055" s="0" t="s">
        <v>3697</v>
      </c>
      <c r="P1055" s="0" t="n">
        <v>1952</v>
      </c>
      <c r="Q1055" s="0" t="s">
        <v>39</v>
      </c>
      <c r="R1055" s="0" t="s">
        <v>3698</v>
      </c>
      <c r="S1055" s="0" t="s">
        <v>3699</v>
      </c>
      <c r="T1055" s="0" t="s">
        <v>3701</v>
      </c>
      <c r="V1055" s="0" t="n">
        <v>1</v>
      </c>
      <c r="W1055" s="0" t="n">
        <v>1</v>
      </c>
      <c r="X1055" s="0" t="str">
        <f aca="false">"31811012076074"</f>
        <v>31811012076074</v>
      </c>
      <c r="Y1055" s="0" t="s">
        <v>39</v>
      </c>
      <c r="Z1055" s="0" t="s">
        <v>42</v>
      </c>
      <c r="AA1055" s="0" t="s">
        <v>622</v>
      </c>
      <c r="AE1055" s="1" t="s">
        <v>52</v>
      </c>
    </row>
    <row r="1056" customFormat="false" ht="12.8" hidden="false" customHeight="false" outlineLevel="0" collapsed="false">
      <c r="A1056" s="0" t="n">
        <v>271357</v>
      </c>
      <c r="B1056" s="0" t="n">
        <v>297018</v>
      </c>
      <c r="C1056" s="0" t="n">
        <v>333100</v>
      </c>
      <c r="D1056" s="0" t="s">
        <v>35</v>
      </c>
      <c r="E1056" s="0" t="s">
        <v>35</v>
      </c>
      <c r="F1056" s="0" t="s">
        <v>480</v>
      </c>
      <c r="G1056" s="0" t="s">
        <v>37</v>
      </c>
      <c r="H1056" s="0" t="s">
        <v>3693</v>
      </c>
      <c r="J1056" s="0" t="s">
        <v>3694</v>
      </c>
      <c r="M1056" s="0" t="s">
        <v>3695</v>
      </c>
      <c r="N1056" s="1" t="s">
        <v>3696</v>
      </c>
      <c r="O1056" s="0" t="s">
        <v>3697</v>
      </c>
      <c r="P1056" s="0" t="n">
        <v>1952</v>
      </c>
      <c r="Q1056" s="0" t="s">
        <v>39</v>
      </c>
      <c r="R1056" s="0" t="s">
        <v>3698</v>
      </c>
      <c r="S1056" s="0" t="s">
        <v>3699</v>
      </c>
      <c r="T1056" s="0" t="s">
        <v>3702</v>
      </c>
      <c r="V1056" s="0" t="n">
        <v>1</v>
      </c>
      <c r="W1056" s="0" t="n">
        <v>1</v>
      </c>
      <c r="X1056" s="0" t="str">
        <f aca="false">"31811012076116"</f>
        <v>31811012076116</v>
      </c>
      <c r="Y1056" s="0" t="s">
        <v>39</v>
      </c>
      <c r="Z1056" s="0" t="s">
        <v>42</v>
      </c>
      <c r="AA1056" s="0" t="s">
        <v>622</v>
      </c>
      <c r="AE1056" s="1" t="s">
        <v>52</v>
      </c>
    </row>
    <row r="1057" customFormat="false" ht="12.8" hidden="false" customHeight="false" outlineLevel="0" collapsed="false">
      <c r="A1057" s="0" t="n">
        <v>271357</v>
      </c>
      <c r="B1057" s="0" t="n">
        <v>297018</v>
      </c>
      <c r="C1057" s="0" t="n">
        <v>333101</v>
      </c>
      <c r="D1057" s="0" t="s">
        <v>35</v>
      </c>
      <c r="E1057" s="0" t="s">
        <v>35</v>
      </c>
      <c r="F1057" s="0" t="s">
        <v>480</v>
      </c>
      <c r="G1057" s="0" t="s">
        <v>37</v>
      </c>
      <c r="H1057" s="0" t="s">
        <v>3693</v>
      </c>
      <c r="J1057" s="0" t="s">
        <v>3694</v>
      </c>
      <c r="M1057" s="0" t="s">
        <v>3695</v>
      </c>
      <c r="N1057" s="1" t="s">
        <v>3696</v>
      </c>
      <c r="O1057" s="0" t="s">
        <v>3697</v>
      </c>
      <c r="P1057" s="0" t="n">
        <v>1952</v>
      </c>
      <c r="Q1057" s="0" t="s">
        <v>39</v>
      </c>
      <c r="R1057" s="0" t="s">
        <v>3698</v>
      </c>
      <c r="S1057" s="0" t="s">
        <v>3699</v>
      </c>
      <c r="T1057" s="0" t="s">
        <v>3703</v>
      </c>
      <c r="V1057" s="0" t="n">
        <v>1</v>
      </c>
      <c r="W1057" s="0" t="n">
        <v>1</v>
      </c>
      <c r="X1057" s="0" t="str">
        <f aca="false">"31811012076157"</f>
        <v>31811012076157</v>
      </c>
      <c r="Y1057" s="0" t="s">
        <v>39</v>
      </c>
      <c r="Z1057" s="0" t="s">
        <v>42</v>
      </c>
      <c r="AA1057" s="0" t="s">
        <v>622</v>
      </c>
      <c r="AE1057" s="1" t="s">
        <v>52</v>
      </c>
    </row>
    <row r="1058" customFormat="false" ht="12.8" hidden="false" customHeight="false" outlineLevel="0" collapsed="false">
      <c r="A1058" s="0" t="n">
        <v>271357</v>
      </c>
      <c r="B1058" s="0" t="n">
        <v>297018</v>
      </c>
      <c r="C1058" s="0" t="n">
        <v>333102</v>
      </c>
      <c r="D1058" s="0" t="s">
        <v>35</v>
      </c>
      <c r="E1058" s="0" t="s">
        <v>35</v>
      </c>
      <c r="F1058" s="0" t="s">
        <v>480</v>
      </c>
      <c r="G1058" s="0" t="s">
        <v>37</v>
      </c>
      <c r="H1058" s="0" t="s">
        <v>3693</v>
      </c>
      <c r="J1058" s="0" t="s">
        <v>3694</v>
      </c>
      <c r="M1058" s="0" t="s">
        <v>3695</v>
      </c>
      <c r="N1058" s="1" t="s">
        <v>3696</v>
      </c>
      <c r="O1058" s="0" t="s">
        <v>3697</v>
      </c>
      <c r="P1058" s="0" t="n">
        <v>1952</v>
      </c>
      <c r="Q1058" s="0" t="s">
        <v>39</v>
      </c>
      <c r="R1058" s="0" t="s">
        <v>3698</v>
      </c>
      <c r="S1058" s="0" t="s">
        <v>3699</v>
      </c>
      <c r="T1058" s="0" t="s">
        <v>3704</v>
      </c>
      <c r="V1058" s="0" t="n">
        <v>1</v>
      </c>
      <c r="W1058" s="0" t="n">
        <v>1</v>
      </c>
      <c r="X1058" s="0" t="str">
        <f aca="false">"31811012076199"</f>
        <v>31811012076199</v>
      </c>
      <c r="Y1058" s="0" t="s">
        <v>39</v>
      </c>
      <c r="Z1058" s="0" t="s">
        <v>42</v>
      </c>
      <c r="AA1058" s="0" t="s">
        <v>622</v>
      </c>
      <c r="AE1058" s="1" t="s">
        <v>52</v>
      </c>
    </row>
    <row r="1059" customFormat="false" ht="12.8" hidden="false" customHeight="false" outlineLevel="0" collapsed="false">
      <c r="A1059" s="0" t="n">
        <v>271357</v>
      </c>
      <c r="B1059" s="0" t="n">
        <v>297018</v>
      </c>
      <c r="C1059" s="0" t="n">
        <v>333103</v>
      </c>
      <c r="D1059" s="0" t="s">
        <v>35</v>
      </c>
      <c r="E1059" s="0" t="s">
        <v>35</v>
      </c>
      <c r="F1059" s="0" t="s">
        <v>480</v>
      </c>
      <c r="G1059" s="0" t="s">
        <v>37</v>
      </c>
      <c r="H1059" s="0" t="s">
        <v>3693</v>
      </c>
      <c r="J1059" s="0" t="s">
        <v>3694</v>
      </c>
      <c r="M1059" s="0" t="s">
        <v>3695</v>
      </c>
      <c r="N1059" s="1" t="s">
        <v>3696</v>
      </c>
      <c r="O1059" s="0" t="s">
        <v>3697</v>
      </c>
      <c r="P1059" s="0" t="n">
        <v>1952</v>
      </c>
      <c r="Q1059" s="0" t="s">
        <v>39</v>
      </c>
      <c r="R1059" s="0" t="s">
        <v>3698</v>
      </c>
      <c r="S1059" s="0" t="s">
        <v>3699</v>
      </c>
      <c r="T1059" s="0" t="s">
        <v>3705</v>
      </c>
      <c r="V1059" s="0" t="n">
        <v>1</v>
      </c>
      <c r="W1059" s="0" t="n">
        <v>1</v>
      </c>
      <c r="X1059" s="0" t="str">
        <f aca="false">"31811012075902"</f>
        <v>31811012075902</v>
      </c>
      <c r="Y1059" s="0" t="s">
        <v>39</v>
      </c>
      <c r="Z1059" s="0" t="s">
        <v>42</v>
      </c>
      <c r="AA1059" s="0" t="s">
        <v>622</v>
      </c>
      <c r="AE1059" s="1" t="s">
        <v>52</v>
      </c>
    </row>
    <row r="1060" customFormat="false" ht="12.8" hidden="false" customHeight="false" outlineLevel="0" collapsed="false">
      <c r="A1060" s="0" t="n">
        <v>271357</v>
      </c>
      <c r="B1060" s="0" t="n">
        <v>297018</v>
      </c>
      <c r="C1060" s="0" t="n">
        <v>333104</v>
      </c>
      <c r="D1060" s="0" t="s">
        <v>35</v>
      </c>
      <c r="E1060" s="0" t="s">
        <v>35</v>
      </c>
      <c r="F1060" s="0" t="s">
        <v>480</v>
      </c>
      <c r="G1060" s="0" t="s">
        <v>37</v>
      </c>
      <c r="H1060" s="0" t="s">
        <v>3693</v>
      </c>
      <c r="J1060" s="0" t="s">
        <v>3694</v>
      </c>
      <c r="M1060" s="0" t="s">
        <v>3695</v>
      </c>
      <c r="N1060" s="1" t="s">
        <v>3696</v>
      </c>
      <c r="O1060" s="0" t="s">
        <v>3697</v>
      </c>
      <c r="P1060" s="0" t="n">
        <v>1952</v>
      </c>
      <c r="Q1060" s="0" t="s">
        <v>39</v>
      </c>
      <c r="R1060" s="0" t="s">
        <v>3698</v>
      </c>
      <c r="S1060" s="0" t="s">
        <v>3699</v>
      </c>
      <c r="T1060" s="0" t="s">
        <v>3706</v>
      </c>
      <c r="V1060" s="0" t="n">
        <v>1</v>
      </c>
      <c r="W1060" s="0" t="n">
        <v>1</v>
      </c>
      <c r="X1060" s="0" t="str">
        <f aca="false">"31811012075944"</f>
        <v>31811012075944</v>
      </c>
      <c r="Y1060" s="0" t="s">
        <v>39</v>
      </c>
      <c r="Z1060" s="0" t="s">
        <v>42</v>
      </c>
      <c r="AA1060" s="0" t="s">
        <v>622</v>
      </c>
      <c r="AE1060" s="1" t="s">
        <v>52</v>
      </c>
    </row>
    <row r="1061" customFormat="false" ht="12.8" hidden="false" customHeight="false" outlineLevel="0" collapsed="false">
      <c r="A1061" s="0" t="n">
        <v>271357</v>
      </c>
      <c r="B1061" s="0" t="n">
        <v>297018</v>
      </c>
      <c r="C1061" s="0" t="n">
        <v>333105</v>
      </c>
      <c r="D1061" s="0" t="s">
        <v>35</v>
      </c>
      <c r="E1061" s="0" t="s">
        <v>35</v>
      </c>
      <c r="F1061" s="0" t="s">
        <v>480</v>
      </c>
      <c r="G1061" s="0" t="s">
        <v>37</v>
      </c>
      <c r="H1061" s="0" t="s">
        <v>3693</v>
      </c>
      <c r="J1061" s="0" t="s">
        <v>3694</v>
      </c>
      <c r="M1061" s="0" t="s">
        <v>3695</v>
      </c>
      <c r="N1061" s="1" t="s">
        <v>3696</v>
      </c>
      <c r="O1061" s="0" t="s">
        <v>3697</v>
      </c>
      <c r="P1061" s="0" t="n">
        <v>1952</v>
      </c>
      <c r="Q1061" s="0" t="s">
        <v>39</v>
      </c>
      <c r="R1061" s="0" t="s">
        <v>3698</v>
      </c>
      <c r="S1061" s="0" t="s">
        <v>3699</v>
      </c>
      <c r="T1061" s="0" t="s">
        <v>3707</v>
      </c>
      <c r="V1061" s="0" t="n">
        <v>1</v>
      </c>
      <c r="W1061" s="0" t="n">
        <v>1</v>
      </c>
      <c r="X1061" s="0" t="str">
        <f aca="false">"31811012075985"</f>
        <v>31811012075985</v>
      </c>
      <c r="Y1061" s="0" t="s">
        <v>39</v>
      </c>
      <c r="Z1061" s="0" t="s">
        <v>42</v>
      </c>
      <c r="AA1061" s="0" t="s">
        <v>622</v>
      </c>
      <c r="AE1061" s="1" t="s">
        <v>52</v>
      </c>
    </row>
    <row r="1062" customFormat="false" ht="12.8" hidden="false" customHeight="false" outlineLevel="0" collapsed="false">
      <c r="A1062" s="0" t="n">
        <v>271357</v>
      </c>
      <c r="B1062" s="0" t="n">
        <v>297018</v>
      </c>
      <c r="C1062" s="0" t="n">
        <v>333106</v>
      </c>
      <c r="D1062" s="0" t="s">
        <v>35</v>
      </c>
      <c r="E1062" s="0" t="s">
        <v>35</v>
      </c>
      <c r="F1062" s="0" t="s">
        <v>480</v>
      </c>
      <c r="G1062" s="0" t="s">
        <v>37</v>
      </c>
      <c r="H1062" s="0" t="s">
        <v>3693</v>
      </c>
      <c r="J1062" s="0" t="s">
        <v>3694</v>
      </c>
      <c r="M1062" s="0" t="s">
        <v>3695</v>
      </c>
      <c r="N1062" s="1" t="s">
        <v>3696</v>
      </c>
      <c r="O1062" s="0" t="s">
        <v>3697</v>
      </c>
      <c r="P1062" s="0" t="n">
        <v>1952</v>
      </c>
      <c r="Q1062" s="0" t="s">
        <v>39</v>
      </c>
      <c r="R1062" s="0" t="s">
        <v>3698</v>
      </c>
      <c r="S1062" s="0" t="s">
        <v>3699</v>
      </c>
      <c r="T1062" s="0" t="s">
        <v>3708</v>
      </c>
      <c r="V1062" s="0" t="n">
        <v>1</v>
      </c>
      <c r="W1062" s="0" t="n">
        <v>1</v>
      </c>
      <c r="X1062" s="0" t="str">
        <f aca="false">"31811012076025"</f>
        <v>31811012076025</v>
      </c>
      <c r="Y1062" s="0" t="s">
        <v>39</v>
      </c>
      <c r="Z1062" s="0" t="s">
        <v>42</v>
      </c>
      <c r="AA1062" s="0" t="s">
        <v>622</v>
      </c>
      <c r="AE1062" s="1" t="s">
        <v>52</v>
      </c>
    </row>
    <row r="1063" customFormat="false" ht="12.8" hidden="false" customHeight="false" outlineLevel="0" collapsed="false">
      <c r="A1063" s="0" t="n">
        <v>271357</v>
      </c>
      <c r="B1063" s="0" t="n">
        <v>297018</v>
      </c>
      <c r="C1063" s="0" t="n">
        <v>333107</v>
      </c>
      <c r="D1063" s="0" t="s">
        <v>35</v>
      </c>
      <c r="E1063" s="0" t="s">
        <v>35</v>
      </c>
      <c r="F1063" s="0" t="s">
        <v>480</v>
      </c>
      <c r="G1063" s="0" t="s">
        <v>37</v>
      </c>
      <c r="H1063" s="0" t="s">
        <v>3693</v>
      </c>
      <c r="J1063" s="0" t="s">
        <v>3694</v>
      </c>
      <c r="M1063" s="0" t="s">
        <v>3695</v>
      </c>
      <c r="N1063" s="1" t="s">
        <v>3696</v>
      </c>
      <c r="O1063" s="0" t="s">
        <v>3697</v>
      </c>
      <c r="P1063" s="0" t="n">
        <v>1952</v>
      </c>
      <c r="Q1063" s="0" t="s">
        <v>39</v>
      </c>
      <c r="R1063" s="0" t="s">
        <v>3698</v>
      </c>
      <c r="S1063" s="0" t="s">
        <v>3699</v>
      </c>
      <c r="T1063" s="0" t="s">
        <v>3709</v>
      </c>
      <c r="V1063" s="0" t="n">
        <v>1</v>
      </c>
      <c r="W1063" s="0" t="n">
        <v>1</v>
      </c>
      <c r="X1063" s="0" t="str">
        <f aca="false">"31811012076066"</f>
        <v>31811012076066</v>
      </c>
      <c r="Y1063" s="0" t="s">
        <v>39</v>
      </c>
      <c r="Z1063" s="0" t="s">
        <v>42</v>
      </c>
      <c r="AA1063" s="0" t="s">
        <v>622</v>
      </c>
      <c r="AE1063" s="1" t="s">
        <v>52</v>
      </c>
    </row>
    <row r="1064" customFormat="false" ht="12.8" hidden="false" customHeight="false" outlineLevel="0" collapsed="false">
      <c r="A1064" s="0" t="n">
        <v>271357</v>
      </c>
      <c r="B1064" s="0" t="n">
        <v>297018</v>
      </c>
      <c r="C1064" s="0" t="n">
        <v>333108</v>
      </c>
      <c r="D1064" s="0" t="s">
        <v>35</v>
      </c>
      <c r="E1064" s="0" t="s">
        <v>35</v>
      </c>
      <c r="F1064" s="0" t="s">
        <v>480</v>
      </c>
      <c r="G1064" s="0" t="s">
        <v>37</v>
      </c>
      <c r="H1064" s="0" t="s">
        <v>3693</v>
      </c>
      <c r="J1064" s="0" t="s">
        <v>3694</v>
      </c>
      <c r="M1064" s="0" t="s">
        <v>3695</v>
      </c>
      <c r="N1064" s="1" t="s">
        <v>3696</v>
      </c>
      <c r="O1064" s="0" t="s">
        <v>3697</v>
      </c>
      <c r="P1064" s="0" t="n">
        <v>1952</v>
      </c>
      <c r="Q1064" s="0" t="s">
        <v>39</v>
      </c>
      <c r="R1064" s="0" t="s">
        <v>3698</v>
      </c>
      <c r="S1064" s="0" t="s">
        <v>3699</v>
      </c>
      <c r="T1064" s="0" t="s">
        <v>3710</v>
      </c>
      <c r="V1064" s="0" t="n">
        <v>1</v>
      </c>
      <c r="W1064" s="0" t="n">
        <v>1</v>
      </c>
      <c r="X1064" s="0" t="str">
        <f aca="false">"31811012076108"</f>
        <v>31811012076108</v>
      </c>
      <c r="Y1064" s="0" t="s">
        <v>39</v>
      </c>
      <c r="Z1064" s="0" t="s">
        <v>42</v>
      </c>
      <c r="AA1064" s="0" t="s">
        <v>622</v>
      </c>
      <c r="AE1064" s="1" t="s">
        <v>52</v>
      </c>
    </row>
    <row r="1065" customFormat="false" ht="12.8" hidden="false" customHeight="false" outlineLevel="0" collapsed="false">
      <c r="A1065" s="0" t="n">
        <v>271357</v>
      </c>
      <c r="B1065" s="0" t="n">
        <v>297018</v>
      </c>
      <c r="C1065" s="0" t="n">
        <v>333109</v>
      </c>
      <c r="D1065" s="0" t="s">
        <v>35</v>
      </c>
      <c r="E1065" s="0" t="s">
        <v>35</v>
      </c>
      <c r="F1065" s="0" t="s">
        <v>480</v>
      </c>
      <c r="G1065" s="0" t="s">
        <v>37</v>
      </c>
      <c r="H1065" s="0" t="s">
        <v>3693</v>
      </c>
      <c r="J1065" s="0" t="s">
        <v>3694</v>
      </c>
      <c r="M1065" s="0" t="s">
        <v>3695</v>
      </c>
      <c r="N1065" s="1" t="s">
        <v>3696</v>
      </c>
      <c r="O1065" s="0" t="s">
        <v>3697</v>
      </c>
      <c r="P1065" s="0" t="n">
        <v>1952</v>
      </c>
      <c r="Q1065" s="0" t="s">
        <v>39</v>
      </c>
      <c r="R1065" s="0" t="s">
        <v>3698</v>
      </c>
      <c r="S1065" s="0" t="s">
        <v>3699</v>
      </c>
      <c r="T1065" s="0" t="s">
        <v>3711</v>
      </c>
      <c r="V1065" s="0" t="n">
        <v>1</v>
      </c>
      <c r="W1065" s="0" t="n">
        <v>1</v>
      </c>
      <c r="X1065" s="0" t="str">
        <f aca="false">"31811012076140"</f>
        <v>31811012076140</v>
      </c>
      <c r="Y1065" s="0" t="s">
        <v>39</v>
      </c>
      <c r="Z1065" s="0" t="s">
        <v>42</v>
      </c>
      <c r="AA1065" s="0" t="s">
        <v>622</v>
      </c>
      <c r="AE1065" s="1" t="s">
        <v>52</v>
      </c>
    </row>
    <row r="1066" customFormat="false" ht="12.8" hidden="false" customHeight="false" outlineLevel="0" collapsed="false">
      <c r="A1066" s="0" t="n">
        <v>271357</v>
      </c>
      <c r="B1066" s="0" t="n">
        <v>297018</v>
      </c>
      <c r="C1066" s="0" t="n">
        <v>333110</v>
      </c>
      <c r="D1066" s="0" t="s">
        <v>35</v>
      </c>
      <c r="E1066" s="0" t="s">
        <v>35</v>
      </c>
      <c r="F1066" s="0" t="s">
        <v>480</v>
      </c>
      <c r="G1066" s="0" t="s">
        <v>37</v>
      </c>
      <c r="H1066" s="0" t="s">
        <v>3693</v>
      </c>
      <c r="J1066" s="0" t="s">
        <v>3694</v>
      </c>
      <c r="M1066" s="0" t="s">
        <v>3695</v>
      </c>
      <c r="N1066" s="1" t="s">
        <v>3696</v>
      </c>
      <c r="O1066" s="0" t="s">
        <v>3697</v>
      </c>
      <c r="P1066" s="0" t="n">
        <v>1952</v>
      </c>
      <c r="Q1066" s="0" t="s">
        <v>39</v>
      </c>
      <c r="R1066" s="0" t="s">
        <v>3698</v>
      </c>
      <c r="S1066" s="0" t="s">
        <v>3699</v>
      </c>
      <c r="T1066" s="0" t="s">
        <v>3712</v>
      </c>
      <c r="V1066" s="0" t="n">
        <v>1</v>
      </c>
      <c r="W1066" s="0" t="n">
        <v>1</v>
      </c>
      <c r="X1066" s="0" t="str">
        <f aca="false">"31811012076181"</f>
        <v>31811012076181</v>
      </c>
      <c r="Y1066" s="0" t="s">
        <v>39</v>
      </c>
      <c r="Z1066" s="0" t="s">
        <v>42</v>
      </c>
      <c r="AA1066" s="0" t="s">
        <v>622</v>
      </c>
      <c r="AE1066" s="1" t="s">
        <v>52</v>
      </c>
    </row>
    <row r="1067" customFormat="false" ht="12.8" hidden="false" customHeight="false" outlineLevel="0" collapsed="false">
      <c r="A1067" s="0" t="n">
        <v>271357</v>
      </c>
      <c r="B1067" s="0" t="n">
        <v>297018</v>
      </c>
      <c r="C1067" s="0" t="n">
        <v>333111</v>
      </c>
      <c r="D1067" s="0" t="s">
        <v>35</v>
      </c>
      <c r="E1067" s="0" t="s">
        <v>35</v>
      </c>
      <c r="F1067" s="0" t="s">
        <v>480</v>
      </c>
      <c r="G1067" s="0" t="s">
        <v>37</v>
      </c>
      <c r="H1067" s="0" t="s">
        <v>3693</v>
      </c>
      <c r="J1067" s="0" t="s">
        <v>3694</v>
      </c>
      <c r="M1067" s="0" t="s">
        <v>3695</v>
      </c>
      <c r="N1067" s="1" t="s">
        <v>3696</v>
      </c>
      <c r="O1067" s="0" t="s">
        <v>3697</v>
      </c>
      <c r="P1067" s="0" t="n">
        <v>1952</v>
      </c>
      <c r="Q1067" s="0" t="s">
        <v>39</v>
      </c>
      <c r="R1067" s="0" t="s">
        <v>3698</v>
      </c>
      <c r="S1067" s="0" t="s">
        <v>3699</v>
      </c>
      <c r="T1067" s="0" t="s">
        <v>3713</v>
      </c>
      <c r="V1067" s="0" t="n">
        <v>1</v>
      </c>
      <c r="W1067" s="0" t="n">
        <v>1</v>
      </c>
      <c r="X1067" s="0" t="str">
        <f aca="false">"31811012075894"</f>
        <v>31811012075894</v>
      </c>
      <c r="Y1067" s="0" t="s">
        <v>39</v>
      </c>
      <c r="Z1067" s="0" t="s">
        <v>42</v>
      </c>
      <c r="AA1067" s="0" t="s">
        <v>622</v>
      </c>
      <c r="AE1067" s="1" t="s">
        <v>52</v>
      </c>
    </row>
    <row r="1068" customFormat="false" ht="12.8" hidden="false" customHeight="false" outlineLevel="0" collapsed="false">
      <c r="A1068" s="0" t="n">
        <v>271357</v>
      </c>
      <c r="B1068" s="0" t="n">
        <v>297018</v>
      </c>
      <c r="C1068" s="0" t="n">
        <v>333112</v>
      </c>
      <c r="D1068" s="0" t="s">
        <v>35</v>
      </c>
      <c r="E1068" s="0" t="s">
        <v>35</v>
      </c>
      <c r="F1068" s="0" t="s">
        <v>480</v>
      </c>
      <c r="G1068" s="0" t="s">
        <v>37</v>
      </c>
      <c r="H1068" s="0" t="s">
        <v>3693</v>
      </c>
      <c r="J1068" s="0" t="s">
        <v>3694</v>
      </c>
      <c r="M1068" s="0" t="s">
        <v>3695</v>
      </c>
      <c r="N1068" s="1" t="s">
        <v>3696</v>
      </c>
      <c r="O1068" s="0" t="s">
        <v>3697</v>
      </c>
      <c r="P1068" s="0" t="n">
        <v>1952</v>
      </c>
      <c r="Q1068" s="0" t="s">
        <v>39</v>
      </c>
      <c r="R1068" s="0" t="s">
        <v>3698</v>
      </c>
      <c r="S1068" s="0" t="s">
        <v>3699</v>
      </c>
      <c r="T1068" s="0" t="s">
        <v>3714</v>
      </c>
      <c r="V1068" s="0" t="n">
        <v>1</v>
      </c>
      <c r="W1068" s="0" t="n">
        <v>1</v>
      </c>
      <c r="X1068" s="0" t="str">
        <f aca="false">"31811012075936"</f>
        <v>31811012075936</v>
      </c>
      <c r="Y1068" s="0" t="s">
        <v>39</v>
      </c>
      <c r="Z1068" s="0" t="s">
        <v>42</v>
      </c>
      <c r="AA1068" s="0" t="s">
        <v>622</v>
      </c>
      <c r="AE1068" s="1" t="s">
        <v>52</v>
      </c>
    </row>
    <row r="1069" customFormat="false" ht="12.8" hidden="false" customHeight="false" outlineLevel="0" collapsed="false">
      <c r="A1069" s="0" t="n">
        <v>271357</v>
      </c>
      <c r="B1069" s="0" t="n">
        <v>297018</v>
      </c>
      <c r="C1069" s="0" t="n">
        <v>333113</v>
      </c>
      <c r="D1069" s="0" t="s">
        <v>35</v>
      </c>
      <c r="E1069" s="0" t="s">
        <v>35</v>
      </c>
      <c r="F1069" s="0" t="s">
        <v>480</v>
      </c>
      <c r="G1069" s="0" t="s">
        <v>37</v>
      </c>
      <c r="H1069" s="0" t="s">
        <v>3693</v>
      </c>
      <c r="J1069" s="0" t="s">
        <v>3694</v>
      </c>
      <c r="M1069" s="0" t="s">
        <v>3695</v>
      </c>
      <c r="N1069" s="1" t="s">
        <v>3696</v>
      </c>
      <c r="O1069" s="0" t="s">
        <v>3697</v>
      </c>
      <c r="P1069" s="0" t="n">
        <v>1952</v>
      </c>
      <c r="Q1069" s="0" t="s">
        <v>39</v>
      </c>
      <c r="R1069" s="0" t="s">
        <v>3698</v>
      </c>
      <c r="S1069" s="0" t="s">
        <v>3699</v>
      </c>
      <c r="T1069" s="0" t="s">
        <v>3715</v>
      </c>
      <c r="V1069" s="0" t="n">
        <v>1</v>
      </c>
      <c r="W1069" s="0" t="n">
        <v>1</v>
      </c>
      <c r="X1069" s="0" t="str">
        <f aca="false">"31811012066430"</f>
        <v>31811012066430</v>
      </c>
      <c r="Y1069" s="0" t="s">
        <v>39</v>
      </c>
      <c r="Z1069" s="0" t="s">
        <v>42</v>
      </c>
      <c r="AA1069" s="0" t="s">
        <v>622</v>
      </c>
      <c r="AE1069" s="1" t="s">
        <v>52</v>
      </c>
    </row>
    <row r="1070" customFormat="false" ht="12.8" hidden="false" customHeight="false" outlineLevel="0" collapsed="false">
      <c r="A1070" s="0" t="n">
        <v>271357</v>
      </c>
      <c r="B1070" s="0" t="n">
        <v>297018</v>
      </c>
      <c r="C1070" s="0" t="n">
        <v>333114</v>
      </c>
      <c r="D1070" s="0" t="s">
        <v>35</v>
      </c>
      <c r="E1070" s="0" t="s">
        <v>35</v>
      </c>
      <c r="F1070" s="0" t="s">
        <v>480</v>
      </c>
      <c r="G1070" s="0" t="s">
        <v>37</v>
      </c>
      <c r="H1070" s="0" t="s">
        <v>3693</v>
      </c>
      <c r="J1070" s="0" t="s">
        <v>3694</v>
      </c>
      <c r="M1070" s="0" t="s">
        <v>3695</v>
      </c>
      <c r="N1070" s="1" t="s">
        <v>3696</v>
      </c>
      <c r="O1070" s="0" t="s">
        <v>3697</v>
      </c>
      <c r="P1070" s="0" t="n">
        <v>1952</v>
      </c>
      <c r="Q1070" s="0" t="s">
        <v>39</v>
      </c>
      <c r="R1070" s="0" t="s">
        <v>3698</v>
      </c>
      <c r="S1070" s="0" t="s">
        <v>3699</v>
      </c>
      <c r="T1070" s="0" t="s">
        <v>3716</v>
      </c>
      <c r="V1070" s="0" t="n">
        <v>1</v>
      </c>
      <c r="W1070" s="0" t="n">
        <v>1</v>
      </c>
      <c r="X1070" s="0" t="str">
        <f aca="false">"31811012066422"</f>
        <v>31811012066422</v>
      </c>
      <c r="Y1070" s="0" t="s">
        <v>39</v>
      </c>
      <c r="Z1070" s="0" t="s">
        <v>42</v>
      </c>
      <c r="AA1070" s="0" t="s">
        <v>622</v>
      </c>
      <c r="AE1070" s="1" t="s">
        <v>52</v>
      </c>
    </row>
    <row r="1071" customFormat="false" ht="12.8" hidden="false" customHeight="false" outlineLevel="0" collapsed="false">
      <c r="A1071" s="0" t="n">
        <v>271357</v>
      </c>
      <c r="B1071" s="0" t="n">
        <v>297018</v>
      </c>
      <c r="C1071" s="0" t="n">
        <v>333115</v>
      </c>
      <c r="D1071" s="0" t="s">
        <v>35</v>
      </c>
      <c r="E1071" s="0" t="s">
        <v>35</v>
      </c>
      <c r="F1071" s="0" t="s">
        <v>480</v>
      </c>
      <c r="G1071" s="0" t="s">
        <v>37</v>
      </c>
      <c r="H1071" s="0" t="s">
        <v>3693</v>
      </c>
      <c r="J1071" s="0" t="s">
        <v>3694</v>
      </c>
      <c r="M1071" s="0" t="s">
        <v>3695</v>
      </c>
      <c r="N1071" s="1" t="s">
        <v>3696</v>
      </c>
      <c r="O1071" s="0" t="s">
        <v>3697</v>
      </c>
      <c r="P1071" s="0" t="n">
        <v>1952</v>
      </c>
      <c r="Q1071" s="0" t="s">
        <v>39</v>
      </c>
      <c r="R1071" s="0" t="s">
        <v>3698</v>
      </c>
      <c r="S1071" s="0" t="s">
        <v>3699</v>
      </c>
      <c r="T1071" s="0" t="s">
        <v>3717</v>
      </c>
      <c r="V1071" s="0" t="n">
        <v>1</v>
      </c>
      <c r="W1071" s="0" t="n">
        <v>1</v>
      </c>
      <c r="X1071" s="0" t="str">
        <f aca="false">"31811012066414"</f>
        <v>31811012066414</v>
      </c>
      <c r="Y1071" s="0" t="s">
        <v>39</v>
      </c>
      <c r="Z1071" s="0" t="s">
        <v>42</v>
      </c>
      <c r="AA1071" s="0" t="s">
        <v>622</v>
      </c>
      <c r="AE1071" s="1" t="s">
        <v>52</v>
      </c>
    </row>
    <row r="1072" customFormat="false" ht="12.8" hidden="false" customHeight="false" outlineLevel="0" collapsed="false">
      <c r="A1072" s="0" t="n">
        <v>271357</v>
      </c>
      <c r="B1072" s="0" t="n">
        <v>297018</v>
      </c>
      <c r="C1072" s="0" t="n">
        <v>333116</v>
      </c>
      <c r="D1072" s="0" t="s">
        <v>35</v>
      </c>
      <c r="E1072" s="0" t="s">
        <v>35</v>
      </c>
      <c r="F1072" s="0" t="s">
        <v>480</v>
      </c>
      <c r="G1072" s="0" t="s">
        <v>37</v>
      </c>
      <c r="H1072" s="0" t="s">
        <v>3693</v>
      </c>
      <c r="J1072" s="0" t="s">
        <v>3694</v>
      </c>
      <c r="M1072" s="0" t="s">
        <v>3695</v>
      </c>
      <c r="N1072" s="1" t="s">
        <v>3696</v>
      </c>
      <c r="O1072" s="0" t="s">
        <v>3697</v>
      </c>
      <c r="P1072" s="0" t="n">
        <v>1952</v>
      </c>
      <c r="Q1072" s="0" t="s">
        <v>39</v>
      </c>
      <c r="R1072" s="0" t="s">
        <v>3698</v>
      </c>
      <c r="S1072" s="0" t="s">
        <v>3699</v>
      </c>
      <c r="T1072" s="0" t="s">
        <v>3718</v>
      </c>
      <c r="V1072" s="0" t="n">
        <v>1</v>
      </c>
      <c r="W1072" s="0" t="n">
        <v>1</v>
      </c>
      <c r="X1072" s="0" t="str">
        <f aca="false">"31811012067685"</f>
        <v>31811012067685</v>
      </c>
      <c r="Y1072" s="0" t="s">
        <v>39</v>
      </c>
      <c r="Z1072" s="0" t="s">
        <v>42</v>
      </c>
      <c r="AA1072" s="0" t="s">
        <v>622</v>
      </c>
      <c r="AE1072" s="1" t="s">
        <v>52</v>
      </c>
    </row>
    <row r="1073" customFormat="false" ht="12.8" hidden="false" customHeight="false" outlineLevel="0" collapsed="false">
      <c r="A1073" s="0" t="n">
        <v>271357</v>
      </c>
      <c r="B1073" s="0" t="n">
        <v>297018</v>
      </c>
      <c r="C1073" s="0" t="n">
        <v>333117</v>
      </c>
      <c r="D1073" s="0" t="s">
        <v>35</v>
      </c>
      <c r="E1073" s="0" t="s">
        <v>35</v>
      </c>
      <c r="F1073" s="0" t="s">
        <v>480</v>
      </c>
      <c r="G1073" s="0" t="s">
        <v>37</v>
      </c>
      <c r="H1073" s="0" t="s">
        <v>3693</v>
      </c>
      <c r="J1073" s="0" t="s">
        <v>3694</v>
      </c>
      <c r="M1073" s="0" t="s">
        <v>3695</v>
      </c>
      <c r="N1073" s="1" t="s">
        <v>3696</v>
      </c>
      <c r="O1073" s="0" t="s">
        <v>3697</v>
      </c>
      <c r="P1073" s="0" t="n">
        <v>1952</v>
      </c>
      <c r="Q1073" s="0" t="s">
        <v>39</v>
      </c>
      <c r="R1073" s="0" t="s">
        <v>3698</v>
      </c>
      <c r="S1073" s="0" t="s">
        <v>3699</v>
      </c>
      <c r="T1073" s="0" t="s">
        <v>3719</v>
      </c>
      <c r="V1073" s="0" t="n">
        <v>1</v>
      </c>
      <c r="W1073" s="0" t="n">
        <v>1</v>
      </c>
      <c r="X1073" s="0" t="str">
        <f aca="false">"31811012067677"</f>
        <v>31811012067677</v>
      </c>
      <c r="Y1073" s="0" t="s">
        <v>39</v>
      </c>
      <c r="Z1073" s="0" t="s">
        <v>42</v>
      </c>
      <c r="AA1073" s="0" t="s">
        <v>622</v>
      </c>
      <c r="AE1073" s="1" t="s">
        <v>52</v>
      </c>
    </row>
    <row r="1074" customFormat="false" ht="12.8" hidden="false" customHeight="false" outlineLevel="0" collapsed="false">
      <c r="A1074" s="0" t="n">
        <v>271357</v>
      </c>
      <c r="B1074" s="0" t="n">
        <v>297018</v>
      </c>
      <c r="C1074" s="0" t="n">
        <v>333118</v>
      </c>
      <c r="D1074" s="0" t="s">
        <v>35</v>
      </c>
      <c r="E1074" s="0" t="s">
        <v>35</v>
      </c>
      <c r="F1074" s="0" t="s">
        <v>480</v>
      </c>
      <c r="G1074" s="0" t="s">
        <v>37</v>
      </c>
      <c r="H1074" s="0" t="s">
        <v>3693</v>
      </c>
      <c r="J1074" s="0" t="s">
        <v>3694</v>
      </c>
      <c r="M1074" s="0" t="s">
        <v>3695</v>
      </c>
      <c r="N1074" s="1" t="s">
        <v>3696</v>
      </c>
      <c r="O1074" s="0" t="s">
        <v>3697</v>
      </c>
      <c r="P1074" s="0" t="n">
        <v>1952</v>
      </c>
      <c r="Q1074" s="0" t="s">
        <v>39</v>
      </c>
      <c r="R1074" s="0" t="s">
        <v>3698</v>
      </c>
      <c r="S1074" s="0" t="s">
        <v>3699</v>
      </c>
      <c r="T1074" s="0" t="s">
        <v>3720</v>
      </c>
      <c r="V1074" s="0" t="n">
        <v>1</v>
      </c>
      <c r="W1074" s="0" t="n">
        <v>1</v>
      </c>
      <c r="X1074" s="0" t="str">
        <f aca="false">"31811012067669"</f>
        <v>31811012067669</v>
      </c>
      <c r="Y1074" s="0" t="s">
        <v>39</v>
      </c>
      <c r="Z1074" s="0" t="s">
        <v>42</v>
      </c>
      <c r="AA1074" s="0" t="s">
        <v>622</v>
      </c>
      <c r="AE1074" s="1" t="s">
        <v>52</v>
      </c>
    </row>
    <row r="1075" customFormat="false" ht="12.8" hidden="false" customHeight="false" outlineLevel="0" collapsed="false">
      <c r="A1075" s="0" t="n">
        <v>271357</v>
      </c>
      <c r="B1075" s="0" t="n">
        <v>297018</v>
      </c>
      <c r="C1075" s="0" t="n">
        <v>333119</v>
      </c>
      <c r="D1075" s="0" t="s">
        <v>35</v>
      </c>
      <c r="E1075" s="0" t="s">
        <v>35</v>
      </c>
      <c r="F1075" s="0" t="s">
        <v>480</v>
      </c>
      <c r="G1075" s="0" t="s">
        <v>37</v>
      </c>
      <c r="H1075" s="0" t="s">
        <v>3693</v>
      </c>
      <c r="J1075" s="0" t="s">
        <v>3694</v>
      </c>
      <c r="M1075" s="0" t="s">
        <v>3695</v>
      </c>
      <c r="N1075" s="1" t="s">
        <v>3696</v>
      </c>
      <c r="O1075" s="0" t="s">
        <v>3697</v>
      </c>
      <c r="P1075" s="0" t="n">
        <v>1952</v>
      </c>
      <c r="Q1075" s="0" t="s">
        <v>39</v>
      </c>
      <c r="R1075" s="0" t="s">
        <v>3698</v>
      </c>
      <c r="S1075" s="0" t="s">
        <v>3699</v>
      </c>
      <c r="T1075" s="0" t="s">
        <v>3721</v>
      </c>
      <c r="V1075" s="0" t="n">
        <v>1</v>
      </c>
      <c r="W1075" s="0" t="n">
        <v>1</v>
      </c>
      <c r="X1075" s="0" t="str">
        <f aca="false">"31811012067651"</f>
        <v>31811012067651</v>
      </c>
      <c r="Y1075" s="0" t="s">
        <v>39</v>
      </c>
      <c r="Z1075" s="0" t="s">
        <v>42</v>
      </c>
      <c r="AA1075" s="0" t="s">
        <v>622</v>
      </c>
      <c r="AE1075" s="1" t="s">
        <v>52</v>
      </c>
    </row>
    <row r="1076" customFormat="false" ht="12.8" hidden="false" customHeight="false" outlineLevel="0" collapsed="false">
      <c r="A1076" s="0" t="n">
        <v>271357</v>
      </c>
      <c r="B1076" s="0" t="n">
        <v>297018</v>
      </c>
      <c r="C1076" s="0" t="n">
        <v>333120</v>
      </c>
      <c r="D1076" s="0" t="s">
        <v>35</v>
      </c>
      <c r="E1076" s="0" t="s">
        <v>35</v>
      </c>
      <c r="F1076" s="0" t="s">
        <v>480</v>
      </c>
      <c r="G1076" s="0" t="s">
        <v>37</v>
      </c>
      <c r="H1076" s="0" t="s">
        <v>3693</v>
      </c>
      <c r="J1076" s="0" t="s">
        <v>3694</v>
      </c>
      <c r="M1076" s="0" t="s">
        <v>3695</v>
      </c>
      <c r="N1076" s="1" t="s">
        <v>3696</v>
      </c>
      <c r="O1076" s="0" t="s">
        <v>3697</v>
      </c>
      <c r="P1076" s="0" t="n">
        <v>1952</v>
      </c>
      <c r="Q1076" s="0" t="s">
        <v>39</v>
      </c>
      <c r="R1076" s="0" t="s">
        <v>3698</v>
      </c>
      <c r="S1076" s="0" t="s">
        <v>3699</v>
      </c>
      <c r="T1076" s="0" t="s">
        <v>3722</v>
      </c>
      <c r="V1076" s="0" t="n">
        <v>1</v>
      </c>
      <c r="W1076" s="0" t="n">
        <v>1</v>
      </c>
      <c r="X1076" s="0" t="str">
        <f aca="false">"31811012067354"</f>
        <v>31811012067354</v>
      </c>
      <c r="Y1076" s="0" t="s">
        <v>39</v>
      </c>
      <c r="Z1076" s="0" t="s">
        <v>42</v>
      </c>
      <c r="AA1076" s="0" t="s">
        <v>622</v>
      </c>
      <c r="AE1076" s="1" t="s">
        <v>52</v>
      </c>
    </row>
    <row r="1077" customFormat="false" ht="12.8" hidden="false" customHeight="false" outlineLevel="0" collapsed="false">
      <c r="A1077" s="0" t="n">
        <v>271357</v>
      </c>
      <c r="B1077" s="0" t="n">
        <v>297018</v>
      </c>
      <c r="C1077" s="0" t="n">
        <v>333121</v>
      </c>
      <c r="D1077" s="0" t="s">
        <v>35</v>
      </c>
      <c r="E1077" s="0" t="s">
        <v>35</v>
      </c>
      <c r="F1077" s="0" t="s">
        <v>480</v>
      </c>
      <c r="G1077" s="0" t="s">
        <v>37</v>
      </c>
      <c r="H1077" s="0" t="s">
        <v>3693</v>
      </c>
      <c r="J1077" s="0" t="s">
        <v>3694</v>
      </c>
      <c r="M1077" s="0" t="s">
        <v>3695</v>
      </c>
      <c r="N1077" s="1" t="s">
        <v>3696</v>
      </c>
      <c r="O1077" s="0" t="s">
        <v>3697</v>
      </c>
      <c r="P1077" s="0" t="n">
        <v>1952</v>
      </c>
      <c r="Q1077" s="0" t="s">
        <v>39</v>
      </c>
      <c r="R1077" s="0" t="s">
        <v>3698</v>
      </c>
      <c r="S1077" s="0" t="s">
        <v>3699</v>
      </c>
      <c r="T1077" s="0" t="s">
        <v>3723</v>
      </c>
      <c r="V1077" s="0" t="n">
        <v>1</v>
      </c>
      <c r="W1077" s="0" t="n">
        <v>1</v>
      </c>
      <c r="X1077" s="0" t="str">
        <f aca="false">"31811012067347"</f>
        <v>31811012067347</v>
      </c>
      <c r="Y1077" s="0" t="s">
        <v>39</v>
      </c>
      <c r="Z1077" s="0" t="s">
        <v>42</v>
      </c>
      <c r="AA1077" s="0" t="s">
        <v>622</v>
      </c>
      <c r="AE1077" s="1" t="s">
        <v>52</v>
      </c>
    </row>
    <row r="1078" customFormat="false" ht="12.8" hidden="false" customHeight="false" outlineLevel="0" collapsed="false">
      <c r="A1078" s="0" t="n">
        <v>271357</v>
      </c>
      <c r="B1078" s="0" t="n">
        <v>297018</v>
      </c>
      <c r="C1078" s="0" t="n">
        <v>333122</v>
      </c>
      <c r="D1078" s="0" t="s">
        <v>35</v>
      </c>
      <c r="E1078" s="0" t="s">
        <v>35</v>
      </c>
      <c r="F1078" s="0" t="s">
        <v>480</v>
      </c>
      <c r="G1078" s="0" t="s">
        <v>37</v>
      </c>
      <c r="H1078" s="0" t="s">
        <v>3693</v>
      </c>
      <c r="J1078" s="0" t="s">
        <v>3694</v>
      </c>
      <c r="M1078" s="0" t="s">
        <v>3695</v>
      </c>
      <c r="N1078" s="1" t="s">
        <v>3696</v>
      </c>
      <c r="O1078" s="0" t="s">
        <v>3697</v>
      </c>
      <c r="P1078" s="0" t="n">
        <v>1952</v>
      </c>
      <c r="Q1078" s="0" t="s">
        <v>39</v>
      </c>
      <c r="R1078" s="0" t="s">
        <v>3698</v>
      </c>
      <c r="S1078" s="0" t="s">
        <v>3699</v>
      </c>
      <c r="T1078" s="0" t="s">
        <v>3724</v>
      </c>
      <c r="V1078" s="0" t="n">
        <v>1</v>
      </c>
      <c r="W1078" s="0" t="n">
        <v>1</v>
      </c>
      <c r="X1078" s="0" t="str">
        <f aca="false">"31811012067362"</f>
        <v>31811012067362</v>
      </c>
      <c r="Y1078" s="0" t="s">
        <v>39</v>
      </c>
      <c r="Z1078" s="0" t="s">
        <v>42</v>
      </c>
      <c r="AA1078" s="0" t="s">
        <v>622</v>
      </c>
      <c r="AE1078" s="1" t="s">
        <v>52</v>
      </c>
    </row>
    <row r="1079" customFormat="false" ht="12.8" hidden="false" customHeight="false" outlineLevel="0" collapsed="false">
      <c r="A1079" s="0" t="n">
        <v>271357</v>
      </c>
      <c r="B1079" s="0" t="n">
        <v>297018</v>
      </c>
      <c r="C1079" s="0" t="n">
        <v>333123</v>
      </c>
      <c r="D1079" s="0" t="s">
        <v>35</v>
      </c>
      <c r="E1079" s="0" t="s">
        <v>35</v>
      </c>
      <c r="F1079" s="0" t="s">
        <v>480</v>
      </c>
      <c r="G1079" s="0" t="s">
        <v>37</v>
      </c>
      <c r="H1079" s="0" t="s">
        <v>3693</v>
      </c>
      <c r="J1079" s="0" t="s">
        <v>3694</v>
      </c>
      <c r="M1079" s="0" t="s">
        <v>3695</v>
      </c>
      <c r="N1079" s="1" t="s">
        <v>3696</v>
      </c>
      <c r="O1079" s="0" t="s">
        <v>3697</v>
      </c>
      <c r="P1079" s="0" t="n">
        <v>1952</v>
      </c>
      <c r="Q1079" s="0" t="s">
        <v>39</v>
      </c>
      <c r="R1079" s="0" t="s">
        <v>3698</v>
      </c>
      <c r="S1079" s="0" t="s">
        <v>3699</v>
      </c>
      <c r="T1079" s="0" t="s">
        <v>3725</v>
      </c>
      <c r="V1079" s="0" t="n">
        <v>1</v>
      </c>
      <c r="W1079" s="0" t="n">
        <v>1</v>
      </c>
      <c r="X1079" s="0" t="str">
        <f aca="false">"31811012067339"</f>
        <v>31811012067339</v>
      </c>
      <c r="Y1079" s="0" t="s">
        <v>39</v>
      </c>
      <c r="Z1079" s="0" t="s">
        <v>42</v>
      </c>
      <c r="AA1079" s="0" t="s">
        <v>622</v>
      </c>
      <c r="AE1079" s="1" t="s">
        <v>52</v>
      </c>
    </row>
    <row r="1080" customFormat="false" ht="12.8" hidden="false" customHeight="false" outlineLevel="0" collapsed="false">
      <c r="A1080" s="0" t="n">
        <v>271357</v>
      </c>
      <c r="B1080" s="0" t="n">
        <v>297018</v>
      </c>
      <c r="C1080" s="0" t="n">
        <v>333124</v>
      </c>
      <c r="D1080" s="0" t="s">
        <v>35</v>
      </c>
      <c r="E1080" s="0" t="s">
        <v>35</v>
      </c>
      <c r="F1080" s="0" t="s">
        <v>480</v>
      </c>
      <c r="G1080" s="0" t="s">
        <v>37</v>
      </c>
      <c r="H1080" s="0" t="s">
        <v>3693</v>
      </c>
      <c r="J1080" s="0" t="s">
        <v>3694</v>
      </c>
      <c r="M1080" s="0" t="s">
        <v>3695</v>
      </c>
      <c r="N1080" s="1" t="s">
        <v>3696</v>
      </c>
      <c r="O1080" s="0" t="s">
        <v>3697</v>
      </c>
      <c r="P1080" s="0" t="n">
        <v>1952</v>
      </c>
      <c r="Q1080" s="0" t="s">
        <v>39</v>
      </c>
      <c r="R1080" s="0" t="s">
        <v>3698</v>
      </c>
      <c r="S1080" s="0" t="s">
        <v>3699</v>
      </c>
      <c r="T1080" s="0" t="s">
        <v>3726</v>
      </c>
      <c r="V1080" s="0" t="n">
        <v>1</v>
      </c>
      <c r="W1080" s="0" t="n">
        <v>1</v>
      </c>
      <c r="X1080" s="0" t="str">
        <f aca="false">"31811012067040"</f>
        <v>31811012067040</v>
      </c>
      <c r="Y1080" s="0" t="s">
        <v>39</v>
      </c>
      <c r="Z1080" s="0" t="s">
        <v>42</v>
      </c>
      <c r="AA1080" s="0" t="s">
        <v>622</v>
      </c>
      <c r="AE1080" s="1" t="s">
        <v>52</v>
      </c>
    </row>
    <row r="1081" customFormat="false" ht="12.8" hidden="false" customHeight="false" outlineLevel="0" collapsed="false">
      <c r="A1081" s="0" t="n">
        <v>271357</v>
      </c>
      <c r="B1081" s="0" t="n">
        <v>297018</v>
      </c>
      <c r="C1081" s="0" t="n">
        <v>333125</v>
      </c>
      <c r="D1081" s="0" t="s">
        <v>35</v>
      </c>
      <c r="E1081" s="0" t="s">
        <v>35</v>
      </c>
      <c r="F1081" s="0" t="s">
        <v>480</v>
      </c>
      <c r="G1081" s="0" t="s">
        <v>37</v>
      </c>
      <c r="H1081" s="0" t="s">
        <v>3693</v>
      </c>
      <c r="J1081" s="0" t="s">
        <v>3694</v>
      </c>
      <c r="M1081" s="0" t="s">
        <v>3695</v>
      </c>
      <c r="N1081" s="1" t="s">
        <v>3696</v>
      </c>
      <c r="O1081" s="0" t="s">
        <v>3697</v>
      </c>
      <c r="P1081" s="0" t="n">
        <v>1952</v>
      </c>
      <c r="Q1081" s="0" t="s">
        <v>39</v>
      </c>
      <c r="R1081" s="0" t="s">
        <v>3698</v>
      </c>
      <c r="S1081" s="0" t="s">
        <v>3699</v>
      </c>
      <c r="T1081" s="0" t="s">
        <v>3727</v>
      </c>
      <c r="V1081" s="0" t="n">
        <v>1</v>
      </c>
      <c r="W1081" s="0" t="n">
        <v>1</v>
      </c>
      <c r="X1081" s="0" t="str">
        <f aca="false">"31811012067032"</f>
        <v>31811012067032</v>
      </c>
      <c r="Y1081" s="0" t="s">
        <v>39</v>
      </c>
      <c r="Z1081" s="0" t="s">
        <v>42</v>
      </c>
      <c r="AA1081" s="0" t="s">
        <v>622</v>
      </c>
      <c r="AE1081" s="1" t="s">
        <v>52</v>
      </c>
    </row>
    <row r="1082" customFormat="false" ht="12.8" hidden="false" customHeight="false" outlineLevel="0" collapsed="false">
      <c r="A1082" s="0" t="n">
        <v>271357</v>
      </c>
      <c r="B1082" s="0" t="n">
        <v>297018</v>
      </c>
      <c r="C1082" s="0" t="n">
        <v>333126</v>
      </c>
      <c r="D1082" s="0" t="s">
        <v>35</v>
      </c>
      <c r="E1082" s="0" t="s">
        <v>35</v>
      </c>
      <c r="F1082" s="0" t="s">
        <v>480</v>
      </c>
      <c r="G1082" s="0" t="s">
        <v>37</v>
      </c>
      <c r="H1082" s="0" t="s">
        <v>3693</v>
      </c>
      <c r="J1082" s="0" t="s">
        <v>3694</v>
      </c>
      <c r="M1082" s="0" t="s">
        <v>3695</v>
      </c>
      <c r="N1082" s="1" t="s">
        <v>3696</v>
      </c>
      <c r="O1082" s="0" t="s">
        <v>3697</v>
      </c>
      <c r="P1082" s="0" t="n">
        <v>1952</v>
      </c>
      <c r="Q1082" s="0" t="s">
        <v>39</v>
      </c>
      <c r="R1082" s="0" t="s">
        <v>3698</v>
      </c>
      <c r="S1082" s="0" t="s">
        <v>3699</v>
      </c>
      <c r="T1082" s="0" t="s">
        <v>3728</v>
      </c>
      <c r="V1082" s="0" t="n">
        <v>1</v>
      </c>
      <c r="W1082" s="0" t="n">
        <v>1</v>
      </c>
      <c r="X1082" s="0" t="str">
        <f aca="false">"31811012067024"</f>
        <v>31811012067024</v>
      </c>
      <c r="Y1082" s="0" t="s">
        <v>39</v>
      </c>
      <c r="Z1082" s="0" t="s">
        <v>42</v>
      </c>
      <c r="AA1082" s="0" t="s">
        <v>622</v>
      </c>
      <c r="AE1082" s="1" t="s">
        <v>52</v>
      </c>
    </row>
    <row r="1083" customFormat="false" ht="12.8" hidden="false" customHeight="false" outlineLevel="0" collapsed="false">
      <c r="A1083" s="0" t="n">
        <v>271357</v>
      </c>
      <c r="B1083" s="0" t="n">
        <v>297018</v>
      </c>
      <c r="C1083" s="0" t="n">
        <v>333127</v>
      </c>
      <c r="D1083" s="0" t="s">
        <v>35</v>
      </c>
      <c r="E1083" s="0" t="s">
        <v>35</v>
      </c>
      <c r="F1083" s="0" t="s">
        <v>480</v>
      </c>
      <c r="G1083" s="0" t="s">
        <v>37</v>
      </c>
      <c r="H1083" s="0" t="s">
        <v>3693</v>
      </c>
      <c r="J1083" s="0" t="s">
        <v>3694</v>
      </c>
      <c r="M1083" s="0" t="s">
        <v>3695</v>
      </c>
      <c r="N1083" s="1" t="s">
        <v>3696</v>
      </c>
      <c r="O1083" s="0" t="s">
        <v>3697</v>
      </c>
      <c r="P1083" s="0" t="n">
        <v>1952</v>
      </c>
      <c r="Q1083" s="0" t="s">
        <v>39</v>
      </c>
      <c r="R1083" s="0" t="s">
        <v>3698</v>
      </c>
      <c r="S1083" s="0" t="s">
        <v>3699</v>
      </c>
      <c r="T1083" s="0" t="s">
        <v>3729</v>
      </c>
      <c r="V1083" s="0" t="n">
        <v>1</v>
      </c>
      <c r="W1083" s="0" t="n">
        <v>1</v>
      </c>
      <c r="X1083" s="0" t="str">
        <f aca="false">"31811012067016"</f>
        <v>31811012067016</v>
      </c>
      <c r="Y1083" s="0" t="s">
        <v>39</v>
      </c>
      <c r="Z1083" s="0" t="s">
        <v>42</v>
      </c>
      <c r="AA1083" s="0" t="s">
        <v>622</v>
      </c>
      <c r="AE1083" s="1" t="s">
        <v>52</v>
      </c>
    </row>
    <row r="1084" customFormat="false" ht="12.8" hidden="false" customHeight="false" outlineLevel="0" collapsed="false">
      <c r="A1084" s="0" t="n">
        <v>271357</v>
      </c>
      <c r="B1084" s="0" t="n">
        <v>297018</v>
      </c>
      <c r="C1084" s="0" t="n">
        <v>333128</v>
      </c>
      <c r="D1084" s="0" t="s">
        <v>35</v>
      </c>
      <c r="E1084" s="0" t="s">
        <v>35</v>
      </c>
      <c r="F1084" s="0" t="s">
        <v>480</v>
      </c>
      <c r="G1084" s="0" t="s">
        <v>37</v>
      </c>
      <c r="H1084" s="0" t="s">
        <v>3693</v>
      </c>
      <c r="J1084" s="0" t="s">
        <v>3694</v>
      </c>
      <c r="M1084" s="0" t="s">
        <v>3695</v>
      </c>
      <c r="N1084" s="1" t="s">
        <v>3696</v>
      </c>
      <c r="O1084" s="0" t="s">
        <v>3697</v>
      </c>
      <c r="P1084" s="0" t="n">
        <v>1952</v>
      </c>
      <c r="Q1084" s="0" t="s">
        <v>39</v>
      </c>
      <c r="R1084" s="0" t="s">
        <v>3698</v>
      </c>
      <c r="S1084" s="0" t="s">
        <v>3699</v>
      </c>
      <c r="T1084" s="0" t="s">
        <v>3730</v>
      </c>
      <c r="V1084" s="0" t="n">
        <v>1</v>
      </c>
      <c r="W1084" s="0" t="n">
        <v>1</v>
      </c>
      <c r="X1084" s="0" t="str">
        <f aca="false">"31811012065572"</f>
        <v>31811012065572</v>
      </c>
      <c r="Y1084" s="0" t="s">
        <v>39</v>
      </c>
      <c r="Z1084" s="0" t="s">
        <v>42</v>
      </c>
      <c r="AA1084" s="0" t="s">
        <v>622</v>
      </c>
      <c r="AE1084" s="1" t="s">
        <v>52</v>
      </c>
    </row>
    <row r="1085" customFormat="false" ht="12.8" hidden="false" customHeight="false" outlineLevel="0" collapsed="false">
      <c r="A1085" s="0" t="n">
        <v>271357</v>
      </c>
      <c r="B1085" s="0" t="n">
        <v>297018</v>
      </c>
      <c r="C1085" s="0" t="n">
        <v>333129</v>
      </c>
      <c r="D1085" s="0" t="s">
        <v>35</v>
      </c>
      <c r="E1085" s="0" t="s">
        <v>35</v>
      </c>
      <c r="F1085" s="0" t="s">
        <v>480</v>
      </c>
      <c r="G1085" s="0" t="s">
        <v>37</v>
      </c>
      <c r="H1085" s="0" t="s">
        <v>3693</v>
      </c>
      <c r="J1085" s="0" t="s">
        <v>3694</v>
      </c>
      <c r="M1085" s="0" t="s">
        <v>3695</v>
      </c>
      <c r="N1085" s="1" t="s">
        <v>3696</v>
      </c>
      <c r="O1085" s="0" t="s">
        <v>3697</v>
      </c>
      <c r="P1085" s="0" t="n">
        <v>1952</v>
      </c>
      <c r="Q1085" s="0" t="s">
        <v>39</v>
      </c>
      <c r="R1085" s="0" t="s">
        <v>3698</v>
      </c>
      <c r="S1085" s="0" t="s">
        <v>3699</v>
      </c>
      <c r="T1085" s="0" t="s">
        <v>3731</v>
      </c>
      <c r="V1085" s="0" t="n">
        <v>1</v>
      </c>
      <c r="W1085" s="0" t="n">
        <v>1</v>
      </c>
      <c r="X1085" s="0" t="str">
        <f aca="false">"31811000612377"</f>
        <v>31811000612377</v>
      </c>
      <c r="Y1085" s="0" t="s">
        <v>39</v>
      </c>
      <c r="Z1085" s="0" t="s">
        <v>42</v>
      </c>
      <c r="AA1085" s="0" t="s">
        <v>622</v>
      </c>
      <c r="AE1085" s="1" t="s">
        <v>52</v>
      </c>
    </row>
    <row r="1086" customFormat="false" ht="12.8" hidden="false" customHeight="false" outlineLevel="0" collapsed="false">
      <c r="A1086" s="0" t="n">
        <v>271357</v>
      </c>
      <c r="B1086" s="0" t="n">
        <v>297018</v>
      </c>
      <c r="C1086" s="0" t="n">
        <v>333130</v>
      </c>
      <c r="D1086" s="0" t="s">
        <v>35</v>
      </c>
      <c r="E1086" s="0" t="s">
        <v>35</v>
      </c>
      <c r="F1086" s="0" t="s">
        <v>480</v>
      </c>
      <c r="G1086" s="0" t="s">
        <v>37</v>
      </c>
      <c r="H1086" s="0" t="s">
        <v>3693</v>
      </c>
      <c r="J1086" s="0" t="s">
        <v>3694</v>
      </c>
      <c r="M1086" s="0" t="s">
        <v>3695</v>
      </c>
      <c r="N1086" s="1" t="s">
        <v>3696</v>
      </c>
      <c r="O1086" s="0" t="s">
        <v>3697</v>
      </c>
      <c r="P1086" s="0" t="n">
        <v>1952</v>
      </c>
      <c r="Q1086" s="0" t="s">
        <v>39</v>
      </c>
      <c r="R1086" s="0" t="s">
        <v>3698</v>
      </c>
      <c r="S1086" s="0" t="s">
        <v>3699</v>
      </c>
      <c r="T1086" s="0" t="s">
        <v>3732</v>
      </c>
      <c r="V1086" s="0" t="n">
        <v>1</v>
      </c>
      <c r="W1086" s="0" t="n">
        <v>1</v>
      </c>
      <c r="X1086" s="0" t="str">
        <f aca="false">"31811012066695"</f>
        <v>31811012066695</v>
      </c>
      <c r="Y1086" s="0" t="s">
        <v>39</v>
      </c>
      <c r="Z1086" s="0" t="s">
        <v>42</v>
      </c>
      <c r="AA1086" s="0" t="s">
        <v>622</v>
      </c>
      <c r="AE1086" s="1" t="s">
        <v>52</v>
      </c>
    </row>
    <row r="1087" customFormat="false" ht="12.8" hidden="false" customHeight="false" outlineLevel="0" collapsed="false">
      <c r="A1087" s="0" t="n">
        <v>271357</v>
      </c>
      <c r="B1087" s="0" t="n">
        <v>297018</v>
      </c>
      <c r="C1087" s="0" t="n">
        <v>333131</v>
      </c>
      <c r="D1087" s="0" t="s">
        <v>35</v>
      </c>
      <c r="E1087" s="0" t="s">
        <v>35</v>
      </c>
      <c r="F1087" s="0" t="s">
        <v>480</v>
      </c>
      <c r="G1087" s="0" t="s">
        <v>37</v>
      </c>
      <c r="H1087" s="0" t="s">
        <v>3693</v>
      </c>
      <c r="J1087" s="0" t="s">
        <v>3694</v>
      </c>
      <c r="M1087" s="0" t="s">
        <v>3695</v>
      </c>
      <c r="N1087" s="1" t="s">
        <v>3696</v>
      </c>
      <c r="O1087" s="0" t="s">
        <v>3697</v>
      </c>
      <c r="P1087" s="0" t="n">
        <v>1952</v>
      </c>
      <c r="Q1087" s="0" t="s">
        <v>39</v>
      </c>
      <c r="R1087" s="0" t="s">
        <v>3698</v>
      </c>
      <c r="S1087" s="0" t="s">
        <v>3699</v>
      </c>
      <c r="T1087" s="0" t="s">
        <v>3733</v>
      </c>
      <c r="V1087" s="0" t="n">
        <v>1</v>
      </c>
      <c r="W1087" s="0" t="n">
        <v>1</v>
      </c>
      <c r="X1087" s="0" t="str">
        <f aca="false">"31811012066703"</f>
        <v>31811012066703</v>
      </c>
      <c r="Y1087" s="0" t="s">
        <v>39</v>
      </c>
      <c r="Z1087" s="0" t="s">
        <v>42</v>
      </c>
      <c r="AA1087" s="0" t="s">
        <v>622</v>
      </c>
      <c r="AE1087" s="1" t="s">
        <v>52</v>
      </c>
    </row>
    <row r="1088" customFormat="false" ht="12.8" hidden="false" customHeight="false" outlineLevel="0" collapsed="false">
      <c r="A1088" s="0" t="n">
        <v>271357</v>
      </c>
      <c r="B1088" s="0" t="n">
        <v>297018</v>
      </c>
      <c r="C1088" s="0" t="n">
        <v>333132</v>
      </c>
      <c r="D1088" s="0" t="s">
        <v>35</v>
      </c>
      <c r="E1088" s="0" t="s">
        <v>35</v>
      </c>
      <c r="F1088" s="0" t="s">
        <v>480</v>
      </c>
      <c r="G1088" s="0" t="s">
        <v>37</v>
      </c>
      <c r="H1088" s="0" t="s">
        <v>3693</v>
      </c>
      <c r="J1088" s="0" t="s">
        <v>3694</v>
      </c>
      <c r="M1088" s="0" t="s">
        <v>3695</v>
      </c>
      <c r="N1088" s="1" t="s">
        <v>3696</v>
      </c>
      <c r="O1088" s="0" t="s">
        <v>3697</v>
      </c>
      <c r="P1088" s="0" t="n">
        <v>1952</v>
      </c>
      <c r="Q1088" s="0" t="s">
        <v>39</v>
      </c>
      <c r="R1088" s="0" t="s">
        <v>3698</v>
      </c>
      <c r="S1088" s="0" t="s">
        <v>3699</v>
      </c>
      <c r="T1088" s="0" t="s">
        <v>3734</v>
      </c>
      <c r="V1088" s="0" t="n">
        <v>1</v>
      </c>
      <c r="W1088" s="0" t="n">
        <v>1</v>
      </c>
      <c r="X1088" s="0" t="str">
        <f aca="false">"31811012075977"</f>
        <v>31811012075977</v>
      </c>
      <c r="Y1088" s="0" t="s">
        <v>39</v>
      </c>
      <c r="Z1088" s="0" t="s">
        <v>42</v>
      </c>
      <c r="AA1088" s="0" t="s">
        <v>622</v>
      </c>
      <c r="AE1088" s="1" t="s">
        <v>52</v>
      </c>
    </row>
    <row r="1089" customFormat="false" ht="12.8" hidden="false" customHeight="false" outlineLevel="0" collapsed="false">
      <c r="A1089" s="0" t="n">
        <v>271357</v>
      </c>
      <c r="B1089" s="0" t="n">
        <v>297018</v>
      </c>
      <c r="C1089" s="0" t="n">
        <v>333133</v>
      </c>
      <c r="D1089" s="0" t="s">
        <v>35</v>
      </c>
      <c r="E1089" s="0" t="s">
        <v>35</v>
      </c>
      <c r="F1089" s="0" t="s">
        <v>480</v>
      </c>
      <c r="G1089" s="0" t="s">
        <v>37</v>
      </c>
      <c r="H1089" s="0" t="s">
        <v>3693</v>
      </c>
      <c r="J1089" s="0" t="s">
        <v>3694</v>
      </c>
      <c r="M1089" s="0" t="s">
        <v>3695</v>
      </c>
      <c r="N1089" s="1" t="s">
        <v>3696</v>
      </c>
      <c r="O1089" s="0" t="s">
        <v>3697</v>
      </c>
      <c r="P1089" s="0" t="n">
        <v>1952</v>
      </c>
      <c r="Q1089" s="0" t="s">
        <v>39</v>
      </c>
      <c r="R1089" s="0" t="s">
        <v>3698</v>
      </c>
      <c r="S1089" s="0" t="s">
        <v>3699</v>
      </c>
      <c r="T1089" s="0" t="s">
        <v>3735</v>
      </c>
      <c r="V1089" s="0" t="n">
        <v>1</v>
      </c>
      <c r="W1089" s="0" t="n">
        <v>1</v>
      </c>
      <c r="X1089" s="0" t="str">
        <f aca="false">"31811012076017"</f>
        <v>31811012076017</v>
      </c>
      <c r="Y1089" s="0" t="s">
        <v>39</v>
      </c>
      <c r="Z1089" s="0" t="s">
        <v>42</v>
      </c>
      <c r="AA1089" s="0" t="s">
        <v>622</v>
      </c>
      <c r="AE1089" s="1" t="s">
        <v>52</v>
      </c>
    </row>
    <row r="1090" customFormat="false" ht="12.8" hidden="false" customHeight="false" outlineLevel="0" collapsed="false">
      <c r="A1090" s="0" t="n">
        <v>271357</v>
      </c>
      <c r="B1090" s="0" t="n">
        <v>297018</v>
      </c>
      <c r="C1090" s="0" t="n">
        <v>333134</v>
      </c>
      <c r="D1090" s="0" t="s">
        <v>35</v>
      </c>
      <c r="E1090" s="0" t="s">
        <v>35</v>
      </c>
      <c r="F1090" s="0" t="s">
        <v>480</v>
      </c>
      <c r="G1090" s="0" t="s">
        <v>37</v>
      </c>
      <c r="H1090" s="0" t="s">
        <v>3693</v>
      </c>
      <c r="J1090" s="0" t="s">
        <v>3694</v>
      </c>
      <c r="M1090" s="0" t="s">
        <v>3695</v>
      </c>
      <c r="N1090" s="1" t="s">
        <v>3696</v>
      </c>
      <c r="O1090" s="0" t="s">
        <v>3697</v>
      </c>
      <c r="P1090" s="0" t="n">
        <v>1952</v>
      </c>
      <c r="Q1090" s="0" t="s">
        <v>39</v>
      </c>
      <c r="R1090" s="0" t="s">
        <v>3698</v>
      </c>
      <c r="S1090" s="0" t="s">
        <v>3699</v>
      </c>
      <c r="T1090" s="0" t="s">
        <v>3736</v>
      </c>
      <c r="V1090" s="0" t="n">
        <v>1</v>
      </c>
      <c r="W1090" s="0" t="n">
        <v>1</v>
      </c>
      <c r="X1090" s="0" t="str">
        <f aca="false">"31811012076058"</f>
        <v>31811012076058</v>
      </c>
      <c r="Y1090" s="0" t="s">
        <v>39</v>
      </c>
      <c r="Z1090" s="0" t="s">
        <v>42</v>
      </c>
      <c r="AA1090" s="0" t="s">
        <v>622</v>
      </c>
      <c r="AE1090" s="1" t="s">
        <v>52</v>
      </c>
    </row>
    <row r="1091" customFormat="false" ht="12.8" hidden="false" customHeight="false" outlineLevel="0" collapsed="false">
      <c r="A1091" s="0" t="n">
        <v>271357</v>
      </c>
      <c r="B1091" s="0" t="n">
        <v>297018</v>
      </c>
      <c r="C1091" s="0" t="n">
        <v>333135</v>
      </c>
      <c r="D1091" s="0" t="s">
        <v>35</v>
      </c>
      <c r="E1091" s="0" t="s">
        <v>35</v>
      </c>
      <c r="F1091" s="0" t="s">
        <v>480</v>
      </c>
      <c r="G1091" s="0" t="s">
        <v>37</v>
      </c>
      <c r="H1091" s="0" t="s">
        <v>3693</v>
      </c>
      <c r="J1091" s="0" t="s">
        <v>3694</v>
      </c>
      <c r="M1091" s="0" t="s">
        <v>3695</v>
      </c>
      <c r="N1091" s="1" t="s">
        <v>3696</v>
      </c>
      <c r="O1091" s="0" t="s">
        <v>3697</v>
      </c>
      <c r="P1091" s="0" t="n">
        <v>1952</v>
      </c>
      <c r="Q1091" s="0" t="s">
        <v>39</v>
      </c>
      <c r="R1091" s="0" t="s">
        <v>3698</v>
      </c>
      <c r="S1091" s="0" t="s">
        <v>3699</v>
      </c>
      <c r="T1091" s="0" t="s">
        <v>3737</v>
      </c>
      <c r="V1091" s="0" t="n">
        <v>1</v>
      </c>
      <c r="W1091" s="0" t="n">
        <v>1</v>
      </c>
      <c r="X1091" s="0" t="str">
        <f aca="false">"31811012076090"</f>
        <v>31811012076090</v>
      </c>
      <c r="Y1091" s="0" t="s">
        <v>39</v>
      </c>
      <c r="Z1091" s="0" t="s">
        <v>42</v>
      </c>
      <c r="AA1091" s="0" t="s">
        <v>622</v>
      </c>
      <c r="AE1091" s="1" t="s">
        <v>52</v>
      </c>
    </row>
    <row r="1092" customFormat="false" ht="12.8" hidden="false" customHeight="false" outlineLevel="0" collapsed="false">
      <c r="A1092" s="0" t="n">
        <v>271357</v>
      </c>
      <c r="B1092" s="0" t="n">
        <v>297018</v>
      </c>
      <c r="C1092" s="0" t="n">
        <v>333136</v>
      </c>
      <c r="D1092" s="0" t="s">
        <v>35</v>
      </c>
      <c r="E1092" s="0" t="s">
        <v>35</v>
      </c>
      <c r="F1092" s="0" t="s">
        <v>480</v>
      </c>
      <c r="G1092" s="0" t="s">
        <v>37</v>
      </c>
      <c r="H1092" s="0" t="s">
        <v>3693</v>
      </c>
      <c r="J1092" s="0" t="s">
        <v>3694</v>
      </c>
      <c r="M1092" s="0" t="s">
        <v>3695</v>
      </c>
      <c r="N1092" s="1" t="s">
        <v>3696</v>
      </c>
      <c r="O1092" s="0" t="s">
        <v>3697</v>
      </c>
      <c r="P1092" s="0" t="n">
        <v>1952</v>
      </c>
      <c r="Q1092" s="0" t="s">
        <v>39</v>
      </c>
      <c r="R1092" s="0" t="s">
        <v>3698</v>
      </c>
      <c r="S1092" s="0" t="s">
        <v>3699</v>
      </c>
      <c r="T1092" s="0" t="s">
        <v>3738</v>
      </c>
      <c r="V1092" s="0" t="n">
        <v>1</v>
      </c>
      <c r="W1092" s="0" t="n">
        <v>1</v>
      </c>
      <c r="X1092" s="0" t="str">
        <f aca="false">"31811012076132"</f>
        <v>31811012076132</v>
      </c>
      <c r="Y1092" s="0" t="s">
        <v>39</v>
      </c>
      <c r="Z1092" s="0" t="s">
        <v>42</v>
      </c>
      <c r="AA1092" s="0" t="s">
        <v>622</v>
      </c>
      <c r="AE1092" s="1" t="s">
        <v>52</v>
      </c>
    </row>
    <row r="1093" customFormat="false" ht="12.8" hidden="false" customHeight="false" outlineLevel="0" collapsed="false">
      <c r="A1093" s="0" t="n">
        <v>271357</v>
      </c>
      <c r="B1093" s="0" t="n">
        <v>297018</v>
      </c>
      <c r="C1093" s="0" t="n">
        <v>333137</v>
      </c>
      <c r="D1093" s="0" t="s">
        <v>35</v>
      </c>
      <c r="E1093" s="0" t="s">
        <v>35</v>
      </c>
      <c r="F1093" s="0" t="s">
        <v>480</v>
      </c>
      <c r="G1093" s="0" t="s">
        <v>37</v>
      </c>
      <c r="H1093" s="0" t="s">
        <v>3693</v>
      </c>
      <c r="J1093" s="0" t="s">
        <v>3694</v>
      </c>
      <c r="M1093" s="0" t="s">
        <v>3695</v>
      </c>
      <c r="N1093" s="1" t="s">
        <v>3696</v>
      </c>
      <c r="O1093" s="0" t="s">
        <v>3697</v>
      </c>
      <c r="P1093" s="0" t="n">
        <v>1952</v>
      </c>
      <c r="Q1093" s="0" t="s">
        <v>39</v>
      </c>
      <c r="R1093" s="0" t="s">
        <v>3698</v>
      </c>
      <c r="S1093" s="0" t="s">
        <v>3699</v>
      </c>
      <c r="T1093" s="0" t="s">
        <v>3739</v>
      </c>
      <c r="V1093" s="0" t="n">
        <v>1</v>
      </c>
      <c r="W1093" s="0" t="n">
        <v>1</v>
      </c>
      <c r="X1093" s="0" t="str">
        <f aca="false">"31811012075746"</f>
        <v>31811012075746</v>
      </c>
      <c r="Y1093" s="0" t="s">
        <v>39</v>
      </c>
      <c r="Z1093" s="0" t="s">
        <v>42</v>
      </c>
      <c r="AA1093" s="0" t="s">
        <v>622</v>
      </c>
      <c r="AE1093" s="1" t="s">
        <v>52</v>
      </c>
    </row>
    <row r="1094" customFormat="false" ht="12.8" hidden="false" customHeight="false" outlineLevel="0" collapsed="false">
      <c r="A1094" s="0" t="n">
        <v>271357</v>
      </c>
      <c r="B1094" s="0" t="n">
        <v>297018</v>
      </c>
      <c r="C1094" s="0" t="n">
        <v>333138</v>
      </c>
      <c r="D1094" s="0" t="s">
        <v>35</v>
      </c>
      <c r="E1094" s="0" t="s">
        <v>35</v>
      </c>
      <c r="F1094" s="0" t="s">
        <v>480</v>
      </c>
      <c r="G1094" s="0" t="s">
        <v>37</v>
      </c>
      <c r="H1094" s="0" t="s">
        <v>3693</v>
      </c>
      <c r="J1094" s="0" t="s">
        <v>3694</v>
      </c>
      <c r="M1094" s="0" t="s">
        <v>3695</v>
      </c>
      <c r="N1094" s="1" t="s">
        <v>3696</v>
      </c>
      <c r="O1094" s="0" t="s">
        <v>3697</v>
      </c>
      <c r="P1094" s="0" t="n">
        <v>1952</v>
      </c>
      <c r="Q1094" s="0" t="s">
        <v>39</v>
      </c>
      <c r="R1094" s="0" t="s">
        <v>3698</v>
      </c>
      <c r="S1094" s="0" t="s">
        <v>3699</v>
      </c>
      <c r="T1094" s="0" t="s">
        <v>3740</v>
      </c>
      <c r="V1094" s="0" t="n">
        <v>1</v>
      </c>
      <c r="W1094" s="0" t="n">
        <v>1</v>
      </c>
      <c r="X1094" s="0" t="str">
        <f aca="false">"31811012076173"</f>
        <v>31811012076173</v>
      </c>
      <c r="Y1094" s="0" t="s">
        <v>39</v>
      </c>
      <c r="Z1094" s="0" t="s">
        <v>42</v>
      </c>
      <c r="AA1094" s="0" t="s">
        <v>622</v>
      </c>
      <c r="AE1094" s="1" t="s">
        <v>52</v>
      </c>
    </row>
    <row r="1095" customFormat="false" ht="12.8" hidden="false" customHeight="false" outlineLevel="0" collapsed="false">
      <c r="A1095" s="0" t="n">
        <v>271357</v>
      </c>
      <c r="B1095" s="0" t="n">
        <v>297018</v>
      </c>
      <c r="C1095" s="0" t="n">
        <v>333139</v>
      </c>
      <c r="D1095" s="0" t="s">
        <v>35</v>
      </c>
      <c r="E1095" s="0" t="s">
        <v>35</v>
      </c>
      <c r="F1095" s="0" t="s">
        <v>480</v>
      </c>
      <c r="G1095" s="0" t="s">
        <v>37</v>
      </c>
      <c r="H1095" s="0" t="s">
        <v>3693</v>
      </c>
      <c r="J1095" s="0" t="s">
        <v>3694</v>
      </c>
      <c r="M1095" s="0" t="s">
        <v>3695</v>
      </c>
      <c r="N1095" s="1" t="s">
        <v>3696</v>
      </c>
      <c r="O1095" s="0" t="s">
        <v>3697</v>
      </c>
      <c r="P1095" s="0" t="n">
        <v>1952</v>
      </c>
      <c r="Q1095" s="0" t="s">
        <v>39</v>
      </c>
      <c r="R1095" s="0" t="s">
        <v>3698</v>
      </c>
      <c r="S1095" s="0" t="s">
        <v>3699</v>
      </c>
      <c r="T1095" s="0" t="s">
        <v>3741</v>
      </c>
      <c r="V1095" s="0" t="n">
        <v>1</v>
      </c>
      <c r="W1095" s="0" t="n">
        <v>1</v>
      </c>
      <c r="X1095" s="0" t="str">
        <f aca="false">"31811012075597"</f>
        <v>31811012075597</v>
      </c>
      <c r="Y1095" s="0" t="s">
        <v>39</v>
      </c>
      <c r="Z1095" s="0" t="s">
        <v>42</v>
      </c>
      <c r="AA1095" s="0" t="s">
        <v>622</v>
      </c>
      <c r="AE1095" s="1" t="s">
        <v>52</v>
      </c>
    </row>
    <row r="1096" customFormat="false" ht="12.8" hidden="false" customHeight="false" outlineLevel="0" collapsed="false">
      <c r="A1096" s="0" t="n">
        <v>271357</v>
      </c>
      <c r="B1096" s="0" t="n">
        <v>297018</v>
      </c>
      <c r="C1096" s="0" t="n">
        <v>333140</v>
      </c>
      <c r="D1096" s="0" t="s">
        <v>35</v>
      </c>
      <c r="E1096" s="0" t="s">
        <v>35</v>
      </c>
      <c r="F1096" s="0" t="s">
        <v>480</v>
      </c>
      <c r="G1096" s="0" t="s">
        <v>37</v>
      </c>
      <c r="H1096" s="0" t="s">
        <v>3693</v>
      </c>
      <c r="J1096" s="0" t="s">
        <v>3694</v>
      </c>
      <c r="M1096" s="0" t="s">
        <v>3695</v>
      </c>
      <c r="N1096" s="1" t="s">
        <v>3696</v>
      </c>
      <c r="O1096" s="0" t="s">
        <v>3697</v>
      </c>
      <c r="P1096" s="0" t="n">
        <v>1952</v>
      </c>
      <c r="Q1096" s="0" t="s">
        <v>39</v>
      </c>
      <c r="R1096" s="0" t="s">
        <v>3698</v>
      </c>
      <c r="S1096" s="0" t="s">
        <v>3699</v>
      </c>
      <c r="T1096" s="0" t="s">
        <v>3742</v>
      </c>
      <c r="V1096" s="0" t="n">
        <v>1</v>
      </c>
      <c r="W1096" s="0" t="n">
        <v>1</v>
      </c>
      <c r="X1096" s="0" t="str">
        <f aca="false">"31811012075639"</f>
        <v>31811012075639</v>
      </c>
      <c r="Y1096" s="0" t="s">
        <v>39</v>
      </c>
      <c r="Z1096" s="0" t="s">
        <v>42</v>
      </c>
      <c r="AA1096" s="0" t="s">
        <v>622</v>
      </c>
      <c r="AE1096" s="1" t="s">
        <v>52</v>
      </c>
    </row>
    <row r="1097" customFormat="false" ht="12.8" hidden="false" customHeight="false" outlineLevel="0" collapsed="false">
      <c r="A1097" s="0" t="n">
        <v>271357</v>
      </c>
      <c r="B1097" s="0" t="n">
        <v>297018</v>
      </c>
      <c r="C1097" s="0" t="n">
        <v>333141</v>
      </c>
      <c r="D1097" s="0" t="s">
        <v>35</v>
      </c>
      <c r="E1097" s="0" t="s">
        <v>35</v>
      </c>
      <c r="F1097" s="0" t="s">
        <v>480</v>
      </c>
      <c r="G1097" s="0" t="s">
        <v>37</v>
      </c>
      <c r="H1097" s="0" t="s">
        <v>3693</v>
      </c>
      <c r="J1097" s="0" t="s">
        <v>3694</v>
      </c>
      <c r="M1097" s="0" t="s">
        <v>3695</v>
      </c>
      <c r="N1097" s="1" t="s">
        <v>3696</v>
      </c>
      <c r="O1097" s="0" t="s">
        <v>3697</v>
      </c>
      <c r="P1097" s="0" t="n">
        <v>1952</v>
      </c>
      <c r="Q1097" s="0" t="s">
        <v>39</v>
      </c>
      <c r="R1097" s="0" t="s">
        <v>3698</v>
      </c>
      <c r="S1097" s="0" t="s">
        <v>3699</v>
      </c>
      <c r="T1097" s="0" t="s">
        <v>3743</v>
      </c>
      <c r="V1097" s="0" t="n">
        <v>1</v>
      </c>
      <c r="W1097" s="0" t="n">
        <v>1</v>
      </c>
      <c r="X1097" s="0" t="str">
        <f aca="false">"31811012075670"</f>
        <v>31811012075670</v>
      </c>
      <c r="Y1097" s="0" t="s">
        <v>39</v>
      </c>
      <c r="Z1097" s="0" t="s">
        <v>42</v>
      </c>
      <c r="AA1097" s="0" t="s">
        <v>622</v>
      </c>
      <c r="AE1097" s="1" t="s">
        <v>52</v>
      </c>
    </row>
    <row r="1098" customFormat="false" ht="12.8" hidden="false" customHeight="false" outlineLevel="0" collapsed="false">
      <c r="A1098" s="0" t="n">
        <v>271357</v>
      </c>
      <c r="B1098" s="0" t="n">
        <v>297018</v>
      </c>
      <c r="C1098" s="0" t="n">
        <v>333142</v>
      </c>
      <c r="D1098" s="0" t="s">
        <v>35</v>
      </c>
      <c r="E1098" s="0" t="s">
        <v>35</v>
      </c>
      <c r="F1098" s="0" t="s">
        <v>480</v>
      </c>
      <c r="G1098" s="0" t="s">
        <v>37</v>
      </c>
      <c r="H1098" s="0" t="s">
        <v>3693</v>
      </c>
      <c r="J1098" s="0" t="s">
        <v>3694</v>
      </c>
      <c r="M1098" s="0" t="s">
        <v>3695</v>
      </c>
      <c r="N1098" s="1" t="s">
        <v>3696</v>
      </c>
      <c r="O1098" s="0" t="s">
        <v>3697</v>
      </c>
      <c r="P1098" s="0" t="n">
        <v>1952</v>
      </c>
      <c r="Q1098" s="0" t="s">
        <v>39</v>
      </c>
      <c r="R1098" s="0" t="s">
        <v>3698</v>
      </c>
      <c r="S1098" s="0" t="s">
        <v>3699</v>
      </c>
      <c r="T1098" s="0" t="s">
        <v>3744</v>
      </c>
      <c r="V1098" s="0" t="n">
        <v>1</v>
      </c>
      <c r="W1098" s="0" t="n">
        <v>1</v>
      </c>
      <c r="X1098" s="0" t="str">
        <f aca="false">"31811012075712"</f>
        <v>31811012075712</v>
      </c>
      <c r="Y1098" s="0" t="s">
        <v>39</v>
      </c>
      <c r="Z1098" s="0" t="s">
        <v>42</v>
      </c>
      <c r="AA1098" s="0" t="s">
        <v>622</v>
      </c>
      <c r="AE1098" s="1" t="s">
        <v>52</v>
      </c>
    </row>
    <row r="1099" customFormat="false" ht="12.8" hidden="false" customHeight="false" outlineLevel="0" collapsed="false">
      <c r="A1099" s="0" t="n">
        <v>271357</v>
      </c>
      <c r="B1099" s="0" t="n">
        <v>297018</v>
      </c>
      <c r="C1099" s="0" t="n">
        <v>333143</v>
      </c>
      <c r="D1099" s="0" t="s">
        <v>35</v>
      </c>
      <c r="E1099" s="0" t="s">
        <v>35</v>
      </c>
      <c r="F1099" s="0" t="s">
        <v>480</v>
      </c>
      <c r="G1099" s="0" t="s">
        <v>37</v>
      </c>
      <c r="H1099" s="0" t="s">
        <v>3693</v>
      </c>
      <c r="J1099" s="0" t="s">
        <v>3694</v>
      </c>
      <c r="M1099" s="0" t="s">
        <v>3695</v>
      </c>
      <c r="N1099" s="1" t="s">
        <v>3696</v>
      </c>
      <c r="O1099" s="0" t="s">
        <v>3697</v>
      </c>
      <c r="P1099" s="0" t="n">
        <v>1952</v>
      </c>
      <c r="Q1099" s="0" t="s">
        <v>39</v>
      </c>
      <c r="R1099" s="0" t="s">
        <v>3698</v>
      </c>
      <c r="S1099" s="0" t="s">
        <v>3699</v>
      </c>
      <c r="T1099" s="0" t="s">
        <v>3745</v>
      </c>
      <c r="V1099" s="0" t="n">
        <v>1</v>
      </c>
      <c r="W1099" s="0" t="n">
        <v>1</v>
      </c>
      <c r="X1099" s="0" t="str">
        <f aca="false">"31811003178814"</f>
        <v>31811003178814</v>
      </c>
      <c r="Y1099" s="0" t="s">
        <v>39</v>
      </c>
      <c r="Z1099" s="0" t="s">
        <v>42</v>
      </c>
      <c r="AA1099" s="0" t="s">
        <v>622</v>
      </c>
      <c r="AE1099" s="1" t="s">
        <v>52</v>
      </c>
    </row>
    <row r="1100" customFormat="false" ht="12.8" hidden="false" customHeight="false" outlineLevel="0" collapsed="false">
      <c r="A1100" s="0" t="n">
        <v>271357</v>
      </c>
      <c r="B1100" s="0" t="n">
        <v>297018</v>
      </c>
      <c r="C1100" s="0" t="n">
        <v>333144</v>
      </c>
      <c r="D1100" s="0" t="s">
        <v>35</v>
      </c>
      <c r="E1100" s="0" t="s">
        <v>35</v>
      </c>
      <c r="F1100" s="0" t="s">
        <v>480</v>
      </c>
      <c r="G1100" s="0" t="s">
        <v>37</v>
      </c>
      <c r="H1100" s="0" t="s">
        <v>3693</v>
      </c>
      <c r="J1100" s="0" t="s">
        <v>3694</v>
      </c>
      <c r="M1100" s="0" t="s">
        <v>3695</v>
      </c>
      <c r="N1100" s="1" t="s">
        <v>3696</v>
      </c>
      <c r="O1100" s="0" t="s">
        <v>3697</v>
      </c>
      <c r="P1100" s="0" t="n">
        <v>1952</v>
      </c>
      <c r="Q1100" s="0" t="s">
        <v>39</v>
      </c>
      <c r="R1100" s="0" t="s">
        <v>3698</v>
      </c>
      <c r="S1100" s="0" t="s">
        <v>3699</v>
      </c>
      <c r="T1100" s="0" t="s">
        <v>3746</v>
      </c>
      <c r="V1100" s="0" t="n">
        <v>1</v>
      </c>
      <c r="W1100" s="0" t="n">
        <v>1</v>
      </c>
      <c r="X1100" s="0" t="str">
        <f aca="false">"31811012075621"</f>
        <v>31811012075621</v>
      </c>
      <c r="Y1100" s="0" t="s">
        <v>39</v>
      </c>
      <c r="Z1100" s="0" t="s">
        <v>42</v>
      </c>
      <c r="AA1100" s="0" t="s">
        <v>622</v>
      </c>
      <c r="AE1100" s="1" t="s">
        <v>52</v>
      </c>
    </row>
    <row r="1101" customFormat="false" ht="12.8" hidden="false" customHeight="false" outlineLevel="0" collapsed="false">
      <c r="A1101" s="0" t="n">
        <v>271357</v>
      </c>
      <c r="B1101" s="0" t="n">
        <v>297018</v>
      </c>
      <c r="C1101" s="0" t="n">
        <v>333145</v>
      </c>
      <c r="D1101" s="0" t="s">
        <v>35</v>
      </c>
      <c r="E1101" s="0" t="s">
        <v>35</v>
      </c>
      <c r="F1101" s="0" t="s">
        <v>480</v>
      </c>
      <c r="G1101" s="0" t="s">
        <v>37</v>
      </c>
      <c r="H1101" s="0" t="s">
        <v>3693</v>
      </c>
      <c r="J1101" s="0" t="s">
        <v>3694</v>
      </c>
      <c r="M1101" s="0" t="s">
        <v>3695</v>
      </c>
      <c r="N1101" s="1" t="s">
        <v>3696</v>
      </c>
      <c r="O1101" s="0" t="s">
        <v>3697</v>
      </c>
      <c r="P1101" s="0" t="n">
        <v>1952</v>
      </c>
      <c r="Q1101" s="0" t="s">
        <v>39</v>
      </c>
      <c r="R1101" s="0" t="s">
        <v>3698</v>
      </c>
      <c r="S1101" s="0" t="s">
        <v>3699</v>
      </c>
      <c r="T1101" s="0" t="s">
        <v>3747</v>
      </c>
      <c r="V1101" s="0" t="n">
        <v>1</v>
      </c>
      <c r="W1101" s="0" t="n">
        <v>1</v>
      </c>
      <c r="X1101" s="0" t="str">
        <f aca="false">"31811012075662"</f>
        <v>31811012075662</v>
      </c>
      <c r="Y1101" s="0" t="s">
        <v>39</v>
      </c>
      <c r="Z1101" s="0" t="s">
        <v>42</v>
      </c>
      <c r="AA1101" s="0" t="s">
        <v>622</v>
      </c>
      <c r="AE1101" s="1" t="s">
        <v>52</v>
      </c>
    </row>
    <row r="1102" customFormat="false" ht="12.8" hidden="false" customHeight="false" outlineLevel="0" collapsed="false">
      <c r="A1102" s="0" t="n">
        <v>271357</v>
      </c>
      <c r="B1102" s="0" t="n">
        <v>297018</v>
      </c>
      <c r="C1102" s="0" t="n">
        <v>333146</v>
      </c>
      <c r="D1102" s="0" t="s">
        <v>35</v>
      </c>
      <c r="E1102" s="0" t="s">
        <v>35</v>
      </c>
      <c r="F1102" s="0" t="s">
        <v>480</v>
      </c>
      <c r="G1102" s="0" t="s">
        <v>37</v>
      </c>
      <c r="H1102" s="0" t="s">
        <v>3693</v>
      </c>
      <c r="J1102" s="0" t="s">
        <v>3694</v>
      </c>
      <c r="M1102" s="0" t="s">
        <v>3695</v>
      </c>
      <c r="N1102" s="1" t="s">
        <v>3696</v>
      </c>
      <c r="O1102" s="0" t="s">
        <v>3697</v>
      </c>
      <c r="P1102" s="0" t="n">
        <v>1952</v>
      </c>
      <c r="Q1102" s="0" t="s">
        <v>39</v>
      </c>
      <c r="R1102" s="0" t="s">
        <v>3698</v>
      </c>
      <c r="S1102" s="0" t="s">
        <v>3699</v>
      </c>
      <c r="T1102" s="0" t="s">
        <v>3748</v>
      </c>
      <c r="V1102" s="0" t="n">
        <v>1</v>
      </c>
      <c r="W1102" s="0" t="n">
        <v>1</v>
      </c>
      <c r="X1102" s="0" t="str">
        <f aca="false">"31811012075704"</f>
        <v>31811012075704</v>
      </c>
      <c r="Y1102" s="0" t="s">
        <v>39</v>
      </c>
      <c r="Z1102" s="0" t="s">
        <v>42</v>
      </c>
      <c r="AA1102" s="0" t="s">
        <v>622</v>
      </c>
      <c r="AE1102" s="1" t="s">
        <v>52</v>
      </c>
    </row>
    <row r="1103" customFormat="false" ht="12.8" hidden="false" customHeight="false" outlineLevel="0" collapsed="false">
      <c r="A1103" s="0" t="n">
        <v>271357</v>
      </c>
      <c r="B1103" s="0" t="n">
        <v>297018</v>
      </c>
      <c r="C1103" s="0" t="n">
        <v>333147</v>
      </c>
      <c r="D1103" s="0" t="s">
        <v>35</v>
      </c>
      <c r="E1103" s="0" t="s">
        <v>35</v>
      </c>
      <c r="F1103" s="0" t="s">
        <v>480</v>
      </c>
      <c r="G1103" s="0" t="s">
        <v>37</v>
      </c>
      <c r="H1103" s="0" t="s">
        <v>3693</v>
      </c>
      <c r="J1103" s="0" t="s">
        <v>3694</v>
      </c>
      <c r="M1103" s="0" t="s">
        <v>3695</v>
      </c>
      <c r="N1103" s="1" t="s">
        <v>3696</v>
      </c>
      <c r="O1103" s="0" t="s">
        <v>3697</v>
      </c>
      <c r="P1103" s="0" t="n">
        <v>1952</v>
      </c>
      <c r="Q1103" s="0" t="s">
        <v>39</v>
      </c>
      <c r="R1103" s="0" t="s">
        <v>3698</v>
      </c>
      <c r="S1103" s="0" t="s">
        <v>3699</v>
      </c>
      <c r="T1103" s="0" t="s">
        <v>3749</v>
      </c>
      <c r="V1103" s="0" t="n">
        <v>1</v>
      </c>
      <c r="W1103" s="0" t="n">
        <v>1</v>
      </c>
      <c r="X1103" s="0" t="str">
        <f aca="false">"31811012075571"</f>
        <v>31811012075571</v>
      </c>
      <c r="Y1103" s="0" t="s">
        <v>39</v>
      </c>
      <c r="Z1103" s="0" t="s">
        <v>42</v>
      </c>
      <c r="AA1103" s="0" t="s">
        <v>622</v>
      </c>
      <c r="AE1103" s="1" t="s">
        <v>52</v>
      </c>
    </row>
    <row r="1104" customFormat="false" ht="12.8" hidden="false" customHeight="false" outlineLevel="0" collapsed="false">
      <c r="A1104" s="0" t="n">
        <v>271357</v>
      </c>
      <c r="B1104" s="0" t="n">
        <v>297018</v>
      </c>
      <c r="C1104" s="0" t="n">
        <v>333148</v>
      </c>
      <c r="D1104" s="0" t="s">
        <v>35</v>
      </c>
      <c r="E1104" s="0" t="s">
        <v>35</v>
      </c>
      <c r="F1104" s="0" t="s">
        <v>480</v>
      </c>
      <c r="G1104" s="0" t="s">
        <v>37</v>
      </c>
      <c r="H1104" s="0" t="s">
        <v>3693</v>
      </c>
      <c r="J1104" s="0" t="s">
        <v>3694</v>
      </c>
      <c r="M1104" s="0" t="s">
        <v>3695</v>
      </c>
      <c r="N1104" s="1" t="s">
        <v>3696</v>
      </c>
      <c r="O1104" s="0" t="s">
        <v>3697</v>
      </c>
      <c r="P1104" s="0" t="n">
        <v>1952</v>
      </c>
      <c r="Q1104" s="0" t="s">
        <v>39</v>
      </c>
      <c r="R1104" s="0" t="s">
        <v>3698</v>
      </c>
      <c r="S1104" s="0" t="s">
        <v>3699</v>
      </c>
      <c r="T1104" s="0" t="s">
        <v>3750</v>
      </c>
      <c r="V1104" s="0" t="n">
        <v>1</v>
      </c>
      <c r="W1104" s="0" t="n">
        <v>1</v>
      </c>
      <c r="X1104" s="0" t="str">
        <f aca="false">"31811012075613"</f>
        <v>31811012075613</v>
      </c>
      <c r="Y1104" s="0" t="s">
        <v>39</v>
      </c>
      <c r="Z1104" s="0" t="s">
        <v>42</v>
      </c>
      <c r="AA1104" s="0" t="s">
        <v>622</v>
      </c>
      <c r="AE1104" s="1" t="s">
        <v>52</v>
      </c>
    </row>
    <row r="1105" customFormat="false" ht="12.8" hidden="false" customHeight="false" outlineLevel="0" collapsed="false">
      <c r="A1105" s="0" t="n">
        <v>271357</v>
      </c>
      <c r="B1105" s="0" t="n">
        <v>297018</v>
      </c>
      <c r="C1105" s="0" t="n">
        <v>333149</v>
      </c>
      <c r="D1105" s="0" t="s">
        <v>35</v>
      </c>
      <c r="E1105" s="0" t="s">
        <v>35</v>
      </c>
      <c r="F1105" s="0" t="s">
        <v>480</v>
      </c>
      <c r="G1105" s="0" t="s">
        <v>37</v>
      </c>
      <c r="H1105" s="0" t="s">
        <v>3693</v>
      </c>
      <c r="J1105" s="0" t="s">
        <v>3694</v>
      </c>
      <c r="M1105" s="0" t="s">
        <v>3695</v>
      </c>
      <c r="N1105" s="1" t="s">
        <v>3696</v>
      </c>
      <c r="O1105" s="0" t="s">
        <v>3697</v>
      </c>
      <c r="P1105" s="0" t="n">
        <v>1952</v>
      </c>
      <c r="Q1105" s="0" t="s">
        <v>39</v>
      </c>
      <c r="R1105" s="0" t="s">
        <v>3698</v>
      </c>
      <c r="S1105" s="0" t="s">
        <v>3699</v>
      </c>
      <c r="T1105" s="0" t="s">
        <v>3751</v>
      </c>
      <c r="V1105" s="0" t="n">
        <v>1</v>
      </c>
      <c r="W1105" s="0" t="n">
        <v>1</v>
      </c>
      <c r="X1105" s="0" t="str">
        <f aca="false">"31811012075654"</f>
        <v>31811012075654</v>
      </c>
      <c r="Y1105" s="0" t="s">
        <v>39</v>
      </c>
      <c r="Z1105" s="0" t="s">
        <v>42</v>
      </c>
      <c r="AA1105" s="0" t="s">
        <v>622</v>
      </c>
      <c r="AE1105" s="1" t="s">
        <v>52</v>
      </c>
    </row>
    <row r="1106" customFormat="false" ht="12.8" hidden="false" customHeight="false" outlineLevel="0" collapsed="false">
      <c r="A1106" s="0" t="n">
        <v>271357</v>
      </c>
      <c r="B1106" s="0" t="n">
        <v>297018</v>
      </c>
      <c r="C1106" s="0" t="n">
        <v>333150</v>
      </c>
      <c r="D1106" s="0" t="s">
        <v>35</v>
      </c>
      <c r="E1106" s="0" t="s">
        <v>35</v>
      </c>
      <c r="F1106" s="0" t="s">
        <v>480</v>
      </c>
      <c r="G1106" s="0" t="s">
        <v>37</v>
      </c>
      <c r="H1106" s="0" t="s">
        <v>3693</v>
      </c>
      <c r="J1106" s="0" t="s">
        <v>3694</v>
      </c>
      <c r="M1106" s="0" t="s">
        <v>3695</v>
      </c>
      <c r="N1106" s="1" t="s">
        <v>3696</v>
      </c>
      <c r="O1106" s="0" t="s">
        <v>3697</v>
      </c>
      <c r="P1106" s="0" t="n">
        <v>1952</v>
      </c>
      <c r="Q1106" s="0" t="s">
        <v>39</v>
      </c>
      <c r="R1106" s="0" t="s">
        <v>3698</v>
      </c>
      <c r="S1106" s="0" t="s">
        <v>3699</v>
      </c>
      <c r="T1106" s="0" t="s">
        <v>3752</v>
      </c>
      <c r="V1106" s="0" t="n">
        <v>1</v>
      </c>
      <c r="W1106" s="0" t="n">
        <v>1</v>
      </c>
      <c r="X1106" s="0" t="str">
        <f aca="false">"31811012075696"</f>
        <v>31811012075696</v>
      </c>
      <c r="Y1106" s="0" t="s">
        <v>39</v>
      </c>
      <c r="Z1106" s="0" t="s">
        <v>42</v>
      </c>
      <c r="AA1106" s="0" t="s">
        <v>622</v>
      </c>
      <c r="AE1106" s="1" t="s">
        <v>52</v>
      </c>
    </row>
    <row r="1107" customFormat="false" ht="12.8" hidden="false" customHeight="false" outlineLevel="0" collapsed="false">
      <c r="A1107" s="0" t="n">
        <v>271357</v>
      </c>
      <c r="B1107" s="0" t="n">
        <v>297018</v>
      </c>
      <c r="C1107" s="0" t="n">
        <v>333151</v>
      </c>
      <c r="D1107" s="0" t="s">
        <v>35</v>
      </c>
      <c r="E1107" s="0" t="s">
        <v>35</v>
      </c>
      <c r="F1107" s="0" t="s">
        <v>480</v>
      </c>
      <c r="G1107" s="0" t="s">
        <v>37</v>
      </c>
      <c r="H1107" s="0" t="s">
        <v>3693</v>
      </c>
      <c r="J1107" s="0" t="s">
        <v>3694</v>
      </c>
      <c r="M1107" s="0" t="s">
        <v>3695</v>
      </c>
      <c r="N1107" s="1" t="s">
        <v>3696</v>
      </c>
      <c r="O1107" s="0" t="s">
        <v>3697</v>
      </c>
      <c r="P1107" s="0" t="n">
        <v>1952</v>
      </c>
      <c r="Q1107" s="0" t="s">
        <v>39</v>
      </c>
      <c r="R1107" s="0" t="s">
        <v>3698</v>
      </c>
      <c r="S1107" s="0" t="s">
        <v>3699</v>
      </c>
      <c r="T1107" s="0" t="s">
        <v>3753</v>
      </c>
      <c r="V1107" s="0" t="n">
        <v>1</v>
      </c>
      <c r="W1107" s="0" t="n">
        <v>1</v>
      </c>
      <c r="X1107" s="0" t="str">
        <f aca="false">"31811012075753"</f>
        <v>31811012075753</v>
      </c>
      <c r="Y1107" s="0" t="s">
        <v>39</v>
      </c>
      <c r="Z1107" s="0" t="s">
        <v>42</v>
      </c>
      <c r="AA1107" s="0" t="s">
        <v>622</v>
      </c>
      <c r="AE1107" s="1" t="s">
        <v>52</v>
      </c>
    </row>
    <row r="1108" customFormat="false" ht="12.8" hidden="false" customHeight="false" outlineLevel="0" collapsed="false">
      <c r="A1108" s="0" t="n">
        <v>271357</v>
      </c>
      <c r="B1108" s="0" t="n">
        <v>297018</v>
      </c>
      <c r="C1108" s="0" t="n">
        <v>333152</v>
      </c>
      <c r="D1108" s="0" t="s">
        <v>35</v>
      </c>
      <c r="E1108" s="0" t="s">
        <v>35</v>
      </c>
      <c r="F1108" s="0" t="s">
        <v>480</v>
      </c>
      <c r="G1108" s="0" t="s">
        <v>37</v>
      </c>
      <c r="H1108" s="0" t="s">
        <v>3693</v>
      </c>
      <c r="J1108" s="0" t="s">
        <v>3694</v>
      </c>
      <c r="M1108" s="0" t="s">
        <v>3695</v>
      </c>
      <c r="N1108" s="1" t="s">
        <v>3696</v>
      </c>
      <c r="O1108" s="0" t="s">
        <v>3697</v>
      </c>
      <c r="P1108" s="0" t="n">
        <v>1952</v>
      </c>
      <c r="Q1108" s="0" t="s">
        <v>39</v>
      </c>
      <c r="R1108" s="0" t="s">
        <v>3698</v>
      </c>
      <c r="S1108" s="0" t="s">
        <v>3699</v>
      </c>
      <c r="T1108" s="0" t="s">
        <v>3754</v>
      </c>
      <c r="V1108" s="0" t="n">
        <v>1</v>
      </c>
      <c r="W1108" s="0" t="n">
        <v>1</v>
      </c>
      <c r="X1108" s="0" t="str">
        <f aca="false">"31811003178806"</f>
        <v>31811003178806</v>
      </c>
      <c r="Y1108" s="0" t="s">
        <v>39</v>
      </c>
      <c r="Z1108" s="0" t="s">
        <v>42</v>
      </c>
      <c r="AA1108" s="0" t="s">
        <v>622</v>
      </c>
      <c r="AE1108" s="1" t="s">
        <v>52</v>
      </c>
    </row>
    <row r="1109" customFormat="false" ht="12.8" hidden="false" customHeight="false" outlineLevel="0" collapsed="false">
      <c r="A1109" s="0" t="n">
        <v>271357</v>
      </c>
      <c r="B1109" s="0" t="n">
        <v>297018</v>
      </c>
      <c r="C1109" s="0" t="n">
        <v>333153</v>
      </c>
      <c r="D1109" s="0" t="s">
        <v>35</v>
      </c>
      <c r="E1109" s="0" t="s">
        <v>35</v>
      </c>
      <c r="F1109" s="0" t="s">
        <v>480</v>
      </c>
      <c r="G1109" s="0" t="s">
        <v>37</v>
      </c>
      <c r="H1109" s="0" t="s">
        <v>3693</v>
      </c>
      <c r="J1109" s="0" t="s">
        <v>3694</v>
      </c>
      <c r="M1109" s="0" t="s">
        <v>3695</v>
      </c>
      <c r="N1109" s="1" t="s">
        <v>3696</v>
      </c>
      <c r="O1109" s="0" t="s">
        <v>3697</v>
      </c>
      <c r="P1109" s="0" t="n">
        <v>1952</v>
      </c>
      <c r="Q1109" s="0" t="s">
        <v>39</v>
      </c>
      <c r="R1109" s="0" t="s">
        <v>3698</v>
      </c>
      <c r="S1109" s="0" t="s">
        <v>3699</v>
      </c>
      <c r="T1109" s="0" t="s">
        <v>3755</v>
      </c>
      <c r="V1109" s="0" t="n">
        <v>1</v>
      </c>
      <c r="W1109" s="0" t="n">
        <v>1</v>
      </c>
      <c r="X1109" s="0" t="str">
        <f aca="false">"31811003178798"</f>
        <v>31811003178798</v>
      </c>
      <c r="Y1109" s="0" t="s">
        <v>39</v>
      </c>
      <c r="Z1109" s="0" t="s">
        <v>42</v>
      </c>
      <c r="AA1109" s="0" t="s">
        <v>622</v>
      </c>
      <c r="AE1109" s="1" t="s">
        <v>52</v>
      </c>
    </row>
    <row r="1110" customFormat="false" ht="12.8" hidden="false" customHeight="false" outlineLevel="0" collapsed="false">
      <c r="A1110" s="0" t="n">
        <v>271357</v>
      </c>
      <c r="B1110" s="0" t="n">
        <v>297018</v>
      </c>
      <c r="C1110" s="0" t="n">
        <v>333154</v>
      </c>
      <c r="D1110" s="0" t="s">
        <v>35</v>
      </c>
      <c r="E1110" s="0" t="s">
        <v>35</v>
      </c>
      <c r="F1110" s="0" t="s">
        <v>480</v>
      </c>
      <c r="G1110" s="0" t="s">
        <v>37</v>
      </c>
      <c r="H1110" s="0" t="s">
        <v>3693</v>
      </c>
      <c r="J1110" s="0" t="s">
        <v>3694</v>
      </c>
      <c r="M1110" s="0" t="s">
        <v>3695</v>
      </c>
      <c r="N1110" s="1" t="s">
        <v>3696</v>
      </c>
      <c r="O1110" s="0" t="s">
        <v>3697</v>
      </c>
      <c r="P1110" s="0" t="n">
        <v>1952</v>
      </c>
      <c r="Q1110" s="0" t="s">
        <v>39</v>
      </c>
      <c r="R1110" s="0" t="s">
        <v>3698</v>
      </c>
      <c r="S1110" s="0" t="s">
        <v>3699</v>
      </c>
      <c r="T1110" s="0" t="s">
        <v>3756</v>
      </c>
      <c r="V1110" s="0" t="n">
        <v>1</v>
      </c>
      <c r="W1110" s="0" t="n">
        <v>1</v>
      </c>
      <c r="X1110" s="0" t="str">
        <f aca="false">"31811000980493"</f>
        <v>31811000980493</v>
      </c>
      <c r="Y1110" s="0" t="s">
        <v>39</v>
      </c>
      <c r="Z1110" s="0" t="s">
        <v>42</v>
      </c>
      <c r="AA1110" s="0" t="s">
        <v>622</v>
      </c>
      <c r="AE1110" s="1" t="s">
        <v>52</v>
      </c>
    </row>
    <row r="1111" customFormat="false" ht="12.8" hidden="false" customHeight="false" outlineLevel="0" collapsed="false">
      <c r="A1111" s="0" t="n">
        <v>271357</v>
      </c>
      <c r="B1111" s="0" t="n">
        <v>297018</v>
      </c>
      <c r="C1111" s="0" t="n">
        <v>333069</v>
      </c>
      <c r="D1111" s="0" t="s">
        <v>35</v>
      </c>
      <c r="E1111" s="0" t="s">
        <v>35</v>
      </c>
      <c r="F1111" s="0" t="s">
        <v>480</v>
      </c>
      <c r="G1111" s="0" t="s">
        <v>37</v>
      </c>
      <c r="H1111" s="0" t="s">
        <v>3693</v>
      </c>
      <c r="J1111" s="0" t="s">
        <v>3694</v>
      </c>
      <c r="M1111" s="0" t="s">
        <v>3695</v>
      </c>
      <c r="N1111" s="1" t="s">
        <v>3696</v>
      </c>
      <c r="O1111" s="0" t="s">
        <v>3697</v>
      </c>
      <c r="P1111" s="0" t="n">
        <v>1952</v>
      </c>
      <c r="Q1111" s="0" t="s">
        <v>39</v>
      </c>
      <c r="R1111" s="0" t="s">
        <v>3698</v>
      </c>
      <c r="S1111" s="0" t="s">
        <v>3699</v>
      </c>
      <c r="T1111" s="0" t="s">
        <v>3757</v>
      </c>
      <c r="V1111" s="0" t="n">
        <v>1</v>
      </c>
      <c r="W1111" s="0" t="n">
        <v>1</v>
      </c>
      <c r="X1111" s="0" t="str">
        <f aca="false">"31811012060128"</f>
        <v>31811012060128</v>
      </c>
      <c r="Y1111" s="0" t="s">
        <v>39</v>
      </c>
      <c r="Z1111" s="0" t="s">
        <v>42</v>
      </c>
      <c r="AA1111" s="0" t="s">
        <v>622</v>
      </c>
      <c r="AE1111" s="1" t="s">
        <v>52</v>
      </c>
    </row>
    <row r="1112" customFormat="false" ht="12.8" hidden="false" customHeight="false" outlineLevel="0" collapsed="false">
      <c r="A1112" s="0" t="n">
        <v>271357</v>
      </c>
      <c r="B1112" s="0" t="n">
        <v>297018</v>
      </c>
      <c r="C1112" s="0" t="n">
        <v>333070</v>
      </c>
      <c r="D1112" s="0" t="s">
        <v>35</v>
      </c>
      <c r="E1112" s="0" t="s">
        <v>35</v>
      </c>
      <c r="F1112" s="0" t="s">
        <v>480</v>
      </c>
      <c r="G1112" s="0" t="s">
        <v>37</v>
      </c>
      <c r="H1112" s="0" t="s">
        <v>3693</v>
      </c>
      <c r="J1112" s="0" t="s">
        <v>3694</v>
      </c>
      <c r="M1112" s="0" t="s">
        <v>3695</v>
      </c>
      <c r="N1112" s="1" t="s">
        <v>3696</v>
      </c>
      <c r="O1112" s="0" t="s">
        <v>3697</v>
      </c>
      <c r="P1112" s="0" t="n">
        <v>1952</v>
      </c>
      <c r="Q1112" s="0" t="s">
        <v>39</v>
      </c>
      <c r="R1112" s="0" t="s">
        <v>3698</v>
      </c>
      <c r="S1112" s="0" t="s">
        <v>3699</v>
      </c>
      <c r="T1112" s="0" t="s">
        <v>3758</v>
      </c>
      <c r="V1112" s="0" t="n">
        <v>1</v>
      </c>
      <c r="W1112" s="0" t="n">
        <v>1</v>
      </c>
      <c r="X1112" s="0" t="str">
        <f aca="false">"31811012076231"</f>
        <v>31811012076231</v>
      </c>
      <c r="Y1112" s="0" t="s">
        <v>39</v>
      </c>
      <c r="Z1112" s="0" t="s">
        <v>42</v>
      </c>
      <c r="AA1112" s="0" t="s">
        <v>622</v>
      </c>
      <c r="AE1112" s="1" t="s">
        <v>52</v>
      </c>
    </row>
    <row r="1113" customFormat="false" ht="12.8" hidden="false" customHeight="false" outlineLevel="0" collapsed="false">
      <c r="A1113" s="0" t="n">
        <v>271357</v>
      </c>
      <c r="B1113" s="0" t="n">
        <v>297018</v>
      </c>
      <c r="C1113" s="0" t="n">
        <v>333071</v>
      </c>
      <c r="D1113" s="0" t="s">
        <v>35</v>
      </c>
      <c r="E1113" s="0" t="s">
        <v>35</v>
      </c>
      <c r="F1113" s="0" t="s">
        <v>480</v>
      </c>
      <c r="G1113" s="0" t="s">
        <v>37</v>
      </c>
      <c r="H1113" s="0" t="s">
        <v>3693</v>
      </c>
      <c r="J1113" s="0" t="s">
        <v>3694</v>
      </c>
      <c r="M1113" s="0" t="s">
        <v>3695</v>
      </c>
      <c r="N1113" s="1" t="s">
        <v>3696</v>
      </c>
      <c r="O1113" s="0" t="s">
        <v>3697</v>
      </c>
      <c r="P1113" s="0" t="n">
        <v>1952</v>
      </c>
      <c r="Q1113" s="0" t="s">
        <v>39</v>
      </c>
      <c r="R1113" s="0" t="s">
        <v>3698</v>
      </c>
      <c r="S1113" s="0" t="s">
        <v>3699</v>
      </c>
      <c r="T1113" s="0" t="s">
        <v>3759</v>
      </c>
      <c r="V1113" s="0" t="n">
        <v>1</v>
      </c>
      <c r="W1113" s="0" t="n">
        <v>1</v>
      </c>
      <c r="X1113" s="0" t="str">
        <f aca="false">"31811012076223"</f>
        <v>31811012076223</v>
      </c>
      <c r="Y1113" s="0" t="s">
        <v>39</v>
      </c>
      <c r="Z1113" s="0" t="s">
        <v>42</v>
      </c>
      <c r="AA1113" s="0" t="s">
        <v>622</v>
      </c>
      <c r="AE1113" s="1" t="s">
        <v>52</v>
      </c>
    </row>
    <row r="1114" customFormat="false" ht="12.8" hidden="false" customHeight="false" outlineLevel="0" collapsed="false">
      <c r="A1114" s="0" t="n">
        <v>271357</v>
      </c>
      <c r="B1114" s="0" t="n">
        <v>297018</v>
      </c>
      <c r="C1114" s="0" t="n">
        <v>333072</v>
      </c>
      <c r="D1114" s="0" t="s">
        <v>35</v>
      </c>
      <c r="E1114" s="0" t="s">
        <v>35</v>
      </c>
      <c r="F1114" s="0" t="s">
        <v>480</v>
      </c>
      <c r="G1114" s="0" t="s">
        <v>37</v>
      </c>
      <c r="H1114" s="0" t="s">
        <v>3693</v>
      </c>
      <c r="J1114" s="0" t="s">
        <v>3694</v>
      </c>
      <c r="M1114" s="0" t="s">
        <v>3695</v>
      </c>
      <c r="N1114" s="1" t="s">
        <v>3696</v>
      </c>
      <c r="O1114" s="0" t="s">
        <v>3697</v>
      </c>
      <c r="P1114" s="0" t="n">
        <v>1952</v>
      </c>
      <c r="Q1114" s="0" t="s">
        <v>39</v>
      </c>
      <c r="R1114" s="0" t="s">
        <v>3698</v>
      </c>
      <c r="S1114" s="0" t="s">
        <v>3699</v>
      </c>
      <c r="T1114" s="0" t="s">
        <v>3760</v>
      </c>
      <c r="V1114" s="0" t="n">
        <v>1</v>
      </c>
      <c r="W1114" s="0" t="n">
        <v>1</v>
      </c>
      <c r="X1114" s="0" t="str">
        <f aca="false">"31811012076264"</f>
        <v>31811012076264</v>
      </c>
      <c r="Y1114" s="0" t="s">
        <v>39</v>
      </c>
      <c r="Z1114" s="0" t="s">
        <v>42</v>
      </c>
      <c r="AA1114" s="0" t="s">
        <v>622</v>
      </c>
      <c r="AE1114" s="1" t="s">
        <v>52</v>
      </c>
    </row>
    <row r="1115" customFormat="false" ht="12.8" hidden="false" customHeight="false" outlineLevel="0" collapsed="false">
      <c r="A1115" s="0" t="n">
        <v>271357</v>
      </c>
      <c r="B1115" s="0" t="n">
        <v>297018</v>
      </c>
      <c r="C1115" s="0" t="n">
        <v>333073</v>
      </c>
      <c r="D1115" s="0" t="s">
        <v>35</v>
      </c>
      <c r="E1115" s="0" t="s">
        <v>35</v>
      </c>
      <c r="F1115" s="0" t="s">
        <v>480</v>
      </c>
      <c r="G1115" s="0" t="s">
        <v>37</v>
      </c>
      <c r="H1115" s="0" t="s">
        <v>3693</v>
      </c>
      <c r="J1115" s="0" t="s">
        <v>3694</v>
      </c>
      <c r="M1115" s="0" t="s">
        <v>3695</v>
      </c>
      <c r="N1115" s="1" t="s">
        <v>3696</v>
      </c>
      <c r="O1115" s="0" t="s">
        <v>3697</v>
      </c>
      <c r="P1115" s="0" t="n">
        <v>1952</v>
      </c>
      <c r="Q1115" s="0" t="s">
        <v>39</v>
      </c>
      <c r="R1115" s="0" t="s">
        <v>3698</v>
      </c>
      <c r="S1115" s="0" t="s">
        <v>3699</v>
      </c>
      <c r="T1115" s="0" t="s">
        <v>3761</v>
      </c>
      <c r="V1115" s="0" t="n">
        <v>1</v>
      </c>
      <c r="W1115" s="0" t="n">
        <v>1</v>
      </c>
      <c r="X1115" s="0" t="str">
        <f aca="false">"31811012076306"</f>
        <v>31811012076306</v>
      </c>
      <c r="Y1115" s="0" t="s">
        <v>39</v>
      </c>
      <c r="Z1115" s="0" t="s">
        <v>42</v>
      </c>
      <c r="AA1115" s="0" t="s">
        <v>622</v>
      </c>
      <c r="AE1115" s="1" t="s">
        <v>52</v>
      </c>
    </row>
    <row r="1116" customFormat="false" ht="12.8" hidden="false" customHeight="false" outlineLevel="0" collapsed="false">
      <c r="A1116" s="0" t="n">
        <v>271357</v>
      </c>
      <c r="B1116" s="0" t="n">
        <v>297018</v>
      </c>
      <c r="C1116" s="0" t="n">
        <v>333074</v>
      </c>
      <c r="D1116" s="0" t="s">
        <v>35</v>
      </c>
      <c r="E1116" s="0" t="s">
        <v>35</v>
      </c>
      <c r="F1116" s="0" t="s">
        <v>480</v>
      </c>
      <c r="G1116" s="0" t="s">
        <v>37</v>
      </c>
      <c r="H1116" s="0" t="s">
        <v>3693</v>
      </c>
      <c r="J1116" s="0" t="s">
        <v>3694</v>
      </c>
      <c r="M1116" s="0" t="s">
        <v>3695</v>
      </c>
      <c r="N1116" s="1" t="s">
        <v>3696</v>
      </c>
      <c r="O1116" s="0" t="s">
        <v>3697</v>
      </c>
      <c r="P1116" s="0" t="n">
        <v>1952</v>
      </c>
      <c r="Q1116" s="0" t="s">
        <v>39</v>
      </c>
      <c r="R1116" s="0" t="s">
        <v>3698</v>
      </c>
      <c r="S1116" s="0" t="s">
        <v>3699</v>
      </c>
      <c r="T1116" s="0" t="s">
        <v>3762</v>
      </c>
      <c r="V1116" s="0" t="n">
        <v>1</v>
      </c>
      <c r="W1116" s="0" t="n">
        <v>1</v>
      </c>
      <c r="X1116" s="0" t="str">
        <f aca="false">"31811012076348"</f>
        <v>31811012076348</v>
      </c>
      <c r="Y1116" s="0" t="s">
        <v>39</v>
      </c>
      <c r="Z1116" s="0" t="s">
        <v>42</v>
      </c>
      <c r="AA1116" s="0" t="s">
        <v>622</v>
      </c>
      <c r="AE1116" s="1" t="s">
        <v>52</v>
      </c>
    </row>
    <row r="1117" customFormat="false" ht="12.8" hidden="false" customHeight="false" outlineLevel="0" collapsed="false">
      <c r="A1117" s="0" t="n">
        <v>271357</v>
      </c>
      <c r="B1117" s="0" t="n">
        <v>297018</v>
      </c>
      <c r="C1117" s="0" t="n">
        <v>333075</v>
      </c>
      <c r="D1117" s="0" t="s">
        <v>35</v>
      </c>
      <c r="E1117" s="0" t="s">
        <v>35</v>
      </c>
      <c r="F1117" s="0" t="s">
        <v>480</v>
      </c>
      <c r="G1117" s="0" t="s">
        <v>37</v>
      </c>
      <c r="H1117" s="0" t="s">
        <v>3693</v>
      </c>
      <c r="J1117" s="0" t="s">
        <v>3694</v>
      </c>
      <c r="M1117" s="0" t="s">
        <v>3695</v>
      </c>
      <c r="N1117" s="1" t="s">
        <v>3696</v>
      </c>
      <c r="O1117" s="0" t="s">
        <v>3697</v>
      </c>
      <c r="P1117" s="0" t="n">
        <v>1952</v>
      </c>
      <c r="Q1117" s="0" t="s">
        <v>39</v>
      </c>
      <c r="R1117" s="0" t="s">
        <v>3698</v>
      </c>
      <c r="S1117" s="0" t="s">
        <v>3699</v>
      </c>
      <c r="T1117" s="0" t="s">
        <v>3763</v>
      </c>
      <c r="V1117" s="0" t="n">
        <v>1</v>
      </c>
      <c r="W1117" s="0" t="n">
        <v>1</v>
      </c>
      <c r="X1117" s="0" t="str">
        <f aca="false">"31811012076389"</f>
        <v>31811012076389</v>
      </c>
      <c r="Y1117" s="0" t="s">
        <v>39</v>
      </c>
      <c r="Z1117" s="0" t="s">
        <v>42</v>
      </c>
      <c r="AA1117" s="0" t="s">
        <v>622</v>
      </c>
      <c r="AE1117" s="1" t="s">
        <v>52</v>
      </c>
    </row>
    <row r="1118" customFormat="false" ht="12.8" hidden="false" customHeight="false" outlineLevel="0" collapsed="false">
      <c r="A1118" s="0" t="n">
        <v>271357</v>
      </c>
      <c r="B1118" s="0" t="n">
        <v>297018</v>
      </c>
      <c r="C1118" s="0" t="n">
        <v>333076</v>
      </c>
      <c r="D1118" s="0" t="s">
        <v>35</v>
      </c>
      <c r="E1118" s="0" t="s">
        <v>35</v>
      </c>
      <c r="F1118" s="0" t="s">
        <v>480</v>
      </c>
      <c r="G1118" s="0" t="s">
        <v>37</v>
      </c>
      <c r="H1118" s="0" t="s">
        <v>3693</v>
      </c>
      <c r="J1118" s="0" t="s">
        <v>3694</v>
      </c>
      <c r="M1118" s="0" t="s">
        <v>3695</v>
      </c>
      <c r="N1118" s="1" t="s">
        <v>3696</v>
      </c>
      <c r="O1118" s="0" t="s">
        <v>3697</v>
      </c>
      <c r="P1118" s="0" t="n">
        <v>1952</v>
      </c>
      <c r="Q1118" s="0" t="s">
        <v>39</v>
      </c>
      <c r="R1118" s="0" t="s">
        <v>3698</v>
      </c>
      <c r="S1118" s="0" t="s">
        <v>3699</v>
      </c>
      <c r="T1118" s="0" t="s">
        <v>3764</v>
      </c>
      <c r="V1118" s="0" t="n">
        <v>1</v>
      </c>
      <c r="W1118" s="0" t="n">
        <v>1</v>
      </c>
      <c r="X1118" s="0" t="str">
        <f aca="false">"31811012076421"</f>
        <v>31811012076421</v>
      </c>
      <c r="Y1118" s="0" t="s">
        <v>39</v>
      </c>
      <c r="Z1118" s="0" t="s">
        <v>42</v>
      </c>
      <c r="AA1118" s="0" t="s">
        <v>622</v>
      </c>
      <c r="AE1118" s="1" t="s">
        <v>52</v>
      </c>
    </row>
    <row r="1119" customFormat="false" ht="12.8" hidden="false" customHeight="false" outlineLevel="0" collapsed="false">
      <c r="A1119" s="0" t="n">
        <v>271357</v>
      </c>
      <c r="B1119" s="0" t="n">
        <v>297018</v>
      </c>
      <c r="C1119" s="0" t="n">
        <v>333077</v>
      </c>
      <c r="D1119" s="0" t="s">
        <v>35</v>
      </c>
      <c r="E1119" s="0" t="s">
        <v>35</v>
      </c>
      <c r="F1119" s="0" t="s">
        <v>480</v>
      </c>
      <c r="G1119" s="0" t="s">
        <v>37</v>
      </c>
      <c r="H1119" s="0" t="s">
        <v>3693</v>
      </c>
      <c r="J1119" s="0" t="s">
        <v>3694</v>
      </c>
      <c r="M1119" s="0" t="s">
        <v>3695</v>
      </c>
      <c r="N1119" s="1" t="s">
        <v>3696</v>
      </c>
      <c r="O1119" s="0" t="s">
        <v>3697</v>
      </c>
      <c r="P1119" s="0" t="n">
        <v>1952</v>
      </c>
      <c r="Q1119" s="0" t="s">
        <v>39</v>
      </c>
      <c r="R1119" s="0" t="s">
        <v>3698</v>
      </c>
      <c r="S1119" s="0" t="s">
        <v>3699</v>
      </c>
      <c r="T1119" s="0" t="s">
        <v>3765</v>
      </c>
      <c r="V1119" s="0" t="n">
        <v>1</v>
      </c>
      <c r="W1119" s="0" t="n">
        <v>1</v>
      </c>
      <c r="X1119" s="0" t="str">
        <f aca="false">"31811012076462"</f>
        <v>31811012076462</v>
      </c>
      <c r="Y1119" s="0" t="s">
        <v>39</v>
      </c>
      <c r="Z1119" s="0" t="s">
        <v>42</v>
      </c>
      <c r="AA1119" s="0" t="s">
        <v>622</v>
      </c>
      <c r="AE1119" s="1" t="s">
        <v>52</v>
      </c>
    </row>
    <row r="1120" customFormat="false" ht="12.8" hidden="false" customHeight="false" outlineLevel="0" collapsed="false">
      <c r="A1120" s="0" t="n">
        <v>271357</v>
      </c>
      <c r="B1120" s="0" t="n">
        <v>297018</v>
      </c>
      <c r="C1120" s="0" t="n">
        <v>333078</v>
      </c>
      <c r="D1120" s="0" t="s">
        <v>35</v>
      </c>
      <c r="E1120" s="0" t="s">
        <v>35</v>
      </c>
      <c r="F1120" s="0" t="s">
        <v>480</v>
      </c>
      <c r="G1120" s="0" t="s">
        <v>37</v>
      </c>
      <c r="H1120" s="0" t="s">
        <v>3693</v>
      </c>
      <c r="J1120" s="0" t="s">
        <v>3694</v>
      </c>
      <c r="M1120" s="0" t="s">
        <v>3695</v>
      </c>
      <c r="N1120" s="1" t="s">
        <v>3696</v>
      </c>
      <c r="O1120" s="0" t="s">
        <v>3697</v>
      </c>
      <c r="P1120" s="0" t="n">
        <v>1952</v>
      </c>
      <c r="Q1120" s="0" t="s">
        <v>39</v>
      </c>
      <c r="R1120" s="0" t="s">
        <v>3698</v>
      </c>
      <c r="S1120" s="0" t="s">
        <v>3699</v>
      </c>
      <c r="T1120" s="0" t="s">
        <v>3766</v>
      </c>
      <c r="V1120" s="0" t="n">
        <v>1</v>
      </c>
      <c r="W1120" s="0" t="n">
        <v>1</v>
      </c>
      <c r="X1120" s="0" t="str">
        <f aca="false">"31811012076504"</f>
        <v>31811012076504</v>
      </c>
      <c r="Y1120" s="0" t="s">
        <v>39</v>
      </c>
      <c r="Z1120" s="0" t="s">
        <v>42</v>
      </c>
      <c r="AA1120" s="0" t="s">
        <v>622</v>
      </c>
      <c r="AE1120" s="1" t="s">
        <v>52</v>
      </c>
    </row>
    <row r="1121" customFormat="false" ht="12.8" hidden="false" customHeight="false" outlineLevel="0" collapsed="false">
      <c r="A1121" s="0" t="n">
        <v>271357</v>
      </c>
      <c r="B1121" s="0" t="n">
        <v>297018</v>
      </c>
      <c r="C1121" s="0" t="n">
        <v>333079</v>
      </c>
      <c r="D1121" s="0" t="s">
        <v>35</v>
      </c>
      <c r="E1121" s="0" t="s">
        <v>35</v>
      </c>
      <c r="F1121" s="0" t="s">
        <v>480</v>
      </c>
      <c r="G1121" s="0" t="s">
        <v>37</v>
      </c>
      <c r="H1121" s="0" t="s">
        <v>3693</v>
      </c>
      <c r="J1121" s="0" t="s">
        <v>3694</v>
      </c>
      <c r="M1121" s="0" t="s">
        <v>3695</v>
      </c>
      <c r="N1121" s="1" t="s">
        <v>3696</v>
      </c>
      <c r="O1121" s="0" t="s">
        <v>3697</v>
      </c>
      <c r="P1121" s="0" t="n">
        <v>1952</v>
      </c>
      <c r="Q1121" s="0" t="s">
        <v>39</v>
      </c>
      <c r="R1121" s="0" t="s">
        <v>3698</v>
      </c>
      <c r="S1121" s="0" t="s">
        <v>3699</v>
      </c>
      <c r="T1121" s="0" t="s">
        <v>3767</v>
      </c>
      <c r="V1121" s="0" t="n">
        <v>1</v>
      </c>
      <c r="W1121" s="0" t="n">
        <v>1</v>
      </c>
      <c r="X1121" s="0" t="str">
        <f aca="false">"31811012076215"</f>
        <v>31811012076215</v>
      </c>
      <c r="Y1121" s="0" t="s">
        <v>39</v>
      </c>
      <c r="Z1121" s="0" t="s">
        <v>42</v>
      </c>
      <c r="AA1121" s="0" t="s">
        <v>622</v>
      </c>
      <c r="AE1121" s="1" t="s">
        <v>52</v>
      </c>
    </row>
    <row r="1122" customFormat="false" ht="12.8" hidden="false" customHeight="false" outlineLevel="0" collapsed="false">
      <c r="A1122" s="0" t="n">
        <v>271357</v>
      </c>
      <c r="B1122" s="0" t="n">
        <v>297018</v>
      </c>
      <c r="C1122" s="0" t="n">
        <v>333080</v>
      </c>
      <c r="D1122" s="0" t="s">
        <v>35</v>
      </c>
      <c r="E1122" s="0" t="s">
        <v>35</v>
      </c>
      <c r="F1122" s="0" t="s">
        <v>480</v>
      </c>
      <c r="G1122" s="0" t="s">
        <v>37</v>
      </c>
      <c r="H1122" s="0" t="s">
        <v>3693</v>
      </c>
      <c r="J1122" s="0" t="s">
        <v>3694</v>
      </c>
      <c r="M1122" s="0" t="s">
        <v>3695</v>
      </c>
      <c r="N1122" s="1" t="s">
        <v>3696</v>
      </c>
      <c r="O1122" s="0" t="s">
        <v>3697</v>
      </c>
      <c r="P1122" s="0" t="n">
        <v>1952</v>
      </c>
      <c r="Q1122" s="0" t="s">
        <v>39</v>
      </c>
      <c r="R1122" s="0" t="s">
        <v>3698</v>
      </c>
      <c r="S1122" s="0" t="s">
        <v>3699</v>
      </c>
      <c r="T1122" s="0" t="s">
        <v>3768</v>
      </c>
      <c r="V1122" s="0" t="n">
        <v>1</v>
      </c>
      <c r="W1122" s="0" t="n">
        <v>1</v>
      </c>
      <c r="X1122" s="0" t="str">
        <f aca="false">"31811012076256"</f>
        <v>31811012076256</v>
      </c>
      <c r="Y1122" s="0" t="s">
        <v>39</v>
      </c>
      <c r="Z1122" s="0" t="s">
        <v>42</v>
      </c>
      <c r="AA1122" s="0" t="s">
        <v>622</v>
      </c>
      <c r="AE1122" s="1" t="s">
        <v>52</v>
      </c>
    </row>
    <row r="1123" customFormat="false" ht="12.8" hidden="false" customHeight="false" outlineLevel="0" collapsed="false">
      <c r="A1123" s="0" t="n">
        <v>271357</v>
      </c>
      <c r="B1123" s="0" t="n">
        <v>297018</v>
      </c>
      <c r="C1123" s="0" t="n">
        <v>333081</v>
      </c>
      <c r="D1123" s="0" t="s">
        <v>35</v>
      </c>
      <c r="E1123" s="0" t="s">
        <v>35</v>
      </c>
      <c r="F1123" s="0" t="s">
        <v>480</v>
      </c>
      <c r="G1123" s="0" t="s">
        <v>37</v>
      </c>
      <c r="H1123" s="0" t="s">
        <v>3693</v>
      </c>
      <c r="J1123" s="0" t="s">
        <v>3694</v>
      </c>
      <c r="M1123" s="0" t="s">
        <v>3695</v>
      </c>
      <c r="N1123" s="1" t="s">
        <v>3696</v>
      </c>
      <c r="O1123" s="0" t="s">
        <v>3697</v>
      </c>
      <c r="P1123" s="0" t="n">
        <v>1952</v>
      </c>
      <c r="Q1123" s="0" t="s">
        <v>39</v>
      </c>
      <c r="R1123" s="0" t="s">
        <v>3698</v>
      </c>
      <c r="S1123" s="0" t="s">
        <v>3699</v>
      </c>
      <c r="T1123" s="0" t="s">
        <v>3769</v>
      </c>
      <c r="V1123" s="0" t="n">
        <v>1</v>
      </c>
      <c r="W1123" s="0" t="n">
        <v>1</v>
      </c>
      <c r="X1123" s="0" t="str">
        <f aca="false">"31811012076298"</f>
        <v>31811012076298</v>
      </c>
      <c r="Y1123" s="0" t="s">
        <v>39</v>
      </c>
      <c r="Z1123" s="0" t="s">
        <v>42</v>
      </c>
      <c r="AA1123" s="0" t="s">
        <v>622</v>
      </c>
      <c r="AE1123" s="1" t="s">
        <v>52</v>
      </c>
    </row>
    <row r="1124" customFormat="false" ht="12.8" hidden="false" customHeight="false" outlineLevel="0" collapsed="false">
      <c r="A1124" s="0" t="n">
        <v>271357</v>
      </c>
      <c r="B1124" s="0" t="n">
        <v>297018</v>
      </c>
      <c r="C1124" s="0" t="n">
        <v>333082</v>
      </c>
      <c r="D1124" s="0" t="s">
        <v>35</v>
      </c>
      <c r="E1124" s="0" t="s">
        <v>35</v>
      </c>
      <c r="F1124" s="0" t="s">
        <v>480</v>
      </c>
      <c r="G1124" s="0" t="s">
        <v>37</v>
      </c>
      <c r="H1124" s="0" t="s">
        <v>3693</v>
      </c>
      <c r="J1124" s="0" t="s">
        <v>3694</v>
      </c>
      <c r="M1124" s="0" t="s">
        <v>3695</v>
      </c>
      <c r="N1124" s="1" t="s">
        <v>3696</v>
      </c>
      <c r="O1124" s="0" t="s">
        <v>3697</v>
      </c>
      <c r="P1124" s="0" t="n">
        <v>1952</v>
      </c>
      <c r="Q1124" s="0" t="s">
        <v>39</v>
      </c>
      <c r="R1124" s="0" t="s">
        <v>3698</v>
      </c>
      <c r="S1124" s="0" t="s">
        <v>3699</v>
      </c>
      <c r="T1124" s="0" t="s">
        <v>3770</v>
      </c>
      <c r="V1124" s="0" t="n">
        <v>1</v>
      </c>
      <c r="W1124" s="0" t="n">
        <v>1</v>
      </c>
      <c r="X1124" s="0" t="str">
        <f aca="false">"31811012076330"</f>
        <v>31811012076330</v>
      </c>
      <c r="Y1124" s="0" t="s">
        <v>39</v>
      </c>
      <c r="Z1124" s="0" t="s">
        <v>42</v>
      </c>
      <c r="AA1124" s="0" t="s">
        <v>622</v>
      </c>
      <c r="AE1124" s="1" t="s">
        <v>52</v>
      </c>
    </row>
    <row r="1125" customFormat="false" ht="12.8" hidden="false" customHeight="false" outlineLevel="0" collapsed="false">
      <c r="A1125" s="0" t="n">
        <v>271357</v>
      </c>
      <c r="B1125" s="0" t="n">
        <v>297018</v>
      </c>
      <c r="C1125" s="0" t="n">
        <v>333083</v>
      </c>
      <c r="D1125" s="0" t="s">
        <v>35</v>
      </c>
      <c r="E1125" s="0" t="s">
        <v>35</v>
      </c>
      <c r="F1125" s="0" t="s">
        <v>480</v>
      </c>
      <c r="G1125" s="0" t="s">
        <v>37</v>
      </c>
      <c r="H1125" s="0" t="s">
        <v>3693</v>
      </c>
      <c r="J1125" s="0" t="s">
        <v>3694</v>
      </c>
      <c r="M1125" s="0" t="s">
        <v>3695</v>
      </c>
      <c r="N1125" s="1" t="s">
        <v>3696</v>
      </c>
      <c r="O1125" s="0" t="s">
        <v>3697</v>
      </c>
      <c r="P1125" s="0" t="n">
        <v>1952</v>
      </c>
      <c r="Q1125" s="0" t="s">
        <v>39</v>
      </c>
      <c r="R1125" s="0" t="s">
        <v>3698</v>
      </c>
      <c r="S1125" s="0" t="s">
        <v>3699</v>
      </c>
      <c r="T1125" s="0" t="s">
        <v>3771</v>
      </c>
      <c r="V1125" s="0" t="n">
        <v>1</v>
      </c>
      <c r="W1125" s="0" t="n">
        <v>1</v>
      </c>
      <c r="X1125" s="0" t="str">
        <f aca="false">"31811012076371"</f>
        <v>31811012076371</v>
      </c>
      <c r="Y1125" s="0" t="s">
        <v>39</v>
      </c>
      <c r="Z1125" s="0" t="s">
        <v>42</v>
      </c>
      <c r="AA1125" s="0" t="s">
        <v>622</v>
      </c>
      <c r="AE1125" s="1" t="s">
        <v>52</v>
      </c>
    </row>
    <row r="1126" customFormat="false" ht="12.8" hidden="false" customHeight="false" outlineLevel="0" collapsed="false">
      <c r="A1126" s="0" t="n">
        <v>271357</v>
      </c>
      <c r="B1126" s="0" t="n">
        <v>297018</v>
      </c>
      <c r="C1126" s="0" t="n">
        <v>333084</v>
      </c>
      <c r="D1126" s="0" t="s">
        <v>35</v>
      </c>
      <c r="E1126" s="0" t="s">
        <v>35</v>
      </c>
      <c r="F1126" s="0" t="s">
        <v>480</v>
      </c>
      <c r="G1126" s="0" t="s">
        <v>37</v>
      </c>
      <c r="H1126" s="0" t="s">
        <v>3693</v>
      </c>
      <c r="J1126" s="0" t="s">
        <v>3694</v>
      </c>
      <c r="M1126" s="0" t="s">
        <v>3695</v>
      </c>
      <c r="N1126" s="1" t="s">
        <v>3696</v>
      </c>
      <c r="O1126" s="0" t="s">
        <v>3697</v>
      </c>
      <c r="P1126" s="0" t="n">
        <v>1952</v>
      </c>
      <c r="Q1126" s="0" t="s">
        <v>39</v>
      </c>
      <c r="R1126" s="0" t="s">
        <v>3698</v>
      </c>
      <c r="S1126" s="0" t="s">
        <v>3699</v>
      </c>
      <c r="T1126" s="0" t="s">
        <v>3772</v>
      </c>
      <c r="V1126" s="0" t="n">
        <v>1</v>
      </c>
      <c r="W1126" s="0" t="n">
        <v>1</v>
      </c>
      <c r="X1126" s="0" t="str">
        <f aca="false">"31811012076413"</f>
        <v>31811012076413</v>
      </c>
      <c r="Y1126" s="0" t="s">
        <v>39</v>
      </c>
      <c r="Z1126" s="0" t="s">
        <v>42</v>
      </c>
      <c r="AA1126" s="0" t="s">
        <v>622</v>
      </c>
      <c r="AE1126" s="1" t="s">
        <v>52</v>
      </c>
    </row>
    <row r="1127" customFormat="false" ht="12.8" hidden="false" customHeight="false" outlineLevel="0" collapsed="false">
      <c r="A1127" s="0" t="n">
        <v>271357</v>
      </c>
      <c r="B1127" s="0" t="n">
        <v>297018</v>
      </c>
      <c r="C1127" s="0" t="n">
        <v>333085</v>
      </c>
      <c r="D1127" s="0" t="s">
        <v>35</v>
      </c>
      <c r="E1127" s="0" t="s">
        <v>35</v>
      </c>
      <c r="F1127" s="0" t="s">
        <v>480</v>
      </c>
      <c r="G1127" s="0" t="s">
        <v>37</v>
      </c>
      <c r="H1127" s="0" t="s">
        <v>3693</v>
      </c>
      <c r="J1127" s="0" t="s">
        <v>3694</v>
      </c>
      <c r="M1127" s="0" t="s">
        <v>3695</v>
      </c>
      <c r="N1127" s="1" t="s">
        <v>3696</v>
      </c>
      <c r="O1127" s="0" t="s">
        <v>3697</v>
      </c>
      <c r="P1127" s="0" t="n">
        <v>1952</v>
      </c>
      <c r="Q1127" s="0" t="s">
        <v>39</v>
      </c>
      <c r="R1127" s="0" t="s">
        <v>3698</v>
      </c>
      <c r="S1127" s="0" t="s">
        <v>3699</v>
      </c>
      <c r="T1127" s="0" t="s">
        <v>3773</v>
      </c>
      <c r="V1127" s="0" t="n">
        <v>1</v>
      </c>
      <c r="W1127" s="0" t="n">
        <v>1</v>
      </c>
      <c r="X1127" s="0" t="str">
        <f aca="false">"31811012076454"</f>
        <v>31811012076454</v>
      </c>
      <c r="Y1127" s="0" t="s">
        <v>39</v>
      </c>
      <c r="Z1127" s="0" t="s">
        <v>42</v>
      </c>
      <c r="AA1127" s="0" t="s">
        <v>622</v>
      </c>
      <c r="AE1127" s="1" t="s">
        <v>52</v>
      </c>
    </row>
    <row r="1128" customFormat="false" ht="12.8" hidden="false" customHeight="false" outlineLevel="0" collapsed="false">
      <c r="A1128" s="0" t="n">
        <v>271357</v>
      </c>
      <c r="B1128" s="0" t="n">
        <v>297018</v>
      </c>
      <c r="C1128" s="0" t="n">
        <v>333086</v>
      </c>
      <c r="D1128" s="0" t="s">
        <v>35</v>
      </c>
      <c r="E1128" s="0" t="s">
        <v>35</v>
      </c>
      <c r="F1128" s="0" t="s">
        <v>480</v>
      </c>
      <c r="G1128" s="0" t="s">
        <v>37</v>
      </c>
      <c r="H1128" s="0" t="s">
        <v>3693</v>
      </c>
      <c r="J1128" s="0" t="s">
        <v>3694</v>
      </c>
      <c r="M1128" s="0" t="s">
        <v>3695</v>
      </c>
      <c r="N1128" s="1" t="s">
        <v>3696</v>
      </c>
      <c r="O1128" s="0" t="s">
        <v>3697</v>
      </c>
      <c r="P1128" s="0" t="n">
        <v>1952</v>
      </c>
      <c r="Q1128" s="0" t="s">
        <v>39</v>
      </c>
      <c r="R1128" s="0" t="s">
        <v>3698</v>
      </c>
      <c r="S1128" s="0" t="s">
        <v>3699</v>
      </c>
      <c r="T1128" s="0" t="s">
        <v>3774</v>
      </c>
      <c r="V1128" s="0" t="n">
        <v>1</v>
      </c>
      <c r="W1128" s="0" t="n">
        <v>1</v>
      </c>
      <c r="X1128" s="0" t="str">
        <f aca="false">"31811012076496"</f>
        <v>31811012076496</v>
      </c>
      <c r="Y1128" s="0" t="s">
        <v>39</v>
      </c>
      <c r="Z1128" s="0" t="s">
        <v>42</v>
      </c>
      <c r="AA1128" s="0" t="s">
        <v>622</v>
      </c>
      <c r="AE1128" s="1" t="s">
        <v>52</v>
      </c>
    </row>
    <row r="1129" customFormat="false" ht="12.8" hidden="false" customHeight="false" outlineLevel="0" collapsed="false">
      <c r="A1129" s="0" t="n">
        <v>271357</v>
      </c>
      <c r="B1129" s="0" t="n">
        <v>297018</v>
      </c>
      <c r="C1129" s="0" t="n">
        <v>333087</v>
      </c>
      <c r="D1129" s="0" t="s">
        <v>35</v>
      </c>
      <c r="E1129" s="0" t="s">
        <v>35</v>
      </c>
      <c r="F1129" s="0" t="s">
        <v>480</v>
      </c>
      <c r="G1129" s="0" t="s">
        <v>37</v>
      </c>
      <c r="H1129" s="0" t="s">
        <v>3693</v>
      </c>
      <c r="J1129" s="0" t="s">
        <v>3694</v>
      </c>
      <c r="M1129" s="0" t="s">
        <v>3695</v>
      </c>
      <c r="N1129" s="1" t="s">
        <v>3696</v>
      </c>
      <c r="O1129" s="0" t="s">
        <v>3697</v>
      </c>
      <c r="P1129" s="0" t="n">
        <v>1952</v>
      </c>
      <c r="Q1129" s="0" t="s">
        <v>39</v>
      </c>
      <c r="R1129" s="0" t="s">
        <v>3698</v>
      </c>
      <c r="S1129" s="0" t="s">
        <v>3699</v>
      </c>
      <c r="T1129" s="0" t="s">
        <v>3775</v>
      </c>
      <c r="V1129" s="0" t="n">
        <v>1</v>
      </c>
      <c r="W1129" s="0" t="n">
        <v>1</v>
      </c>
      <c r="X1129" s="0" t="str">
        <f aca="false">"31811012076207"</f>
        <v>31811012076207</v>
      </c>
      <c r="Y1129" s="0" t="s">
        <v>39</v>
      </c>
      <c r="Z1129" s="0" t="s">
        <v>42</v>
      </c>
      <c r="AA1129" s="0" t="s">
        <v>622</v>
      </c>
      <c r="AE1129" s="1" t="s">
        <v>52</v>
      </c>
    </row>
    <row r="1130" customFormat="false" ht="12.8" hidden="false" customHeight="false" outlineLevel="0" collapsed="false">
      <c r="A1130" s="0" t="n">
        <v>271357</v>
      </c>
      <c r="B1130" s="0" t="n">
        <v>297018</v>
      </c>
      <c r="C1130" s="0" t="n">
        <v>333088</v>
      </c>
      <c r="D1130" s="0" t="s">
        <v>35</v>
      </c>
      <c r="E1130" s="0" t="s">
        <v>35</v>
      </c>
      <c r="F1130" s="0" t="s">
        <v>480</v>
      </c>
      <c r="G1130" s="0" t="s">
        <v>37</v>
      </c>
      <c r="H1130" s="0" t="s">
        <v>3693</v>
      </c>
      <c r="J1130" s="0" t="s">
        <v>3694</v>
      </c>
      <c r="M1130" s="0" t="s">
        <v>3695</v>
      </c>
      <c r="N1130" s="1" t="s">
        <v>3696</v>
      </c>
      <c r="O1130" s="0" t="s">
        <v>3697</v>
      </c>
      <c r="P1130" s="0" t="n">
        <v>1952</v>
      </c>
      <c r="Q1130" s="0" t="s">
        <v>39</v>
      </c>
      <c r="R1130" s="0" t="s">
        <v>3698</v>
      </c>
      <c r="S1130" s="0" t="s">
        <v>3699</v>
      </c>
      <c r="T1130" s="0" t="s">
        <v>3776</v>
      </c>
      <c r="V1130" s="0" t="n">
        <v>1</v>
      </c>
      <c r="W1130" s="0" t="n">
        <v>1</v>
      </c>
      <c r="X1130" s="0" t="str">
        <f aca="false">"31811012076165"</f>
        <v>31811012076165</v>
      </c>
      <c r="Y1130" s="0" t="s">
        <v>39</v>
      </c>
      <c r="Z1130" s="0" t="s">
        <v>42</v>
      </c>
      <c r="AA1130" s="0" t="s">
        <v>622</v>
      </c>
      <c r="AE1130" s="1" t="s">
        <v>52</v>
      </c>
    </row>
    <row r="1131" customFormat="false" ht="12.8" hidden="false" customHeight="false" outlineLevel="0" collapsed="false">
      <c r="A1131" s="0" t="n">
        <v>271357</v>
      </c>
      <c r="B1131" s="0" t="n">
        <v>297018</v>
      </c>
      <c r="C1131" s="0" t="n">
        <v>333089</v>
      </c>
      <c r="D1131" s="0" t="s">
        <v>35</v>
      </c>
      <c r="E1131" s="0" t="s">
        <v>35</v>
      </c>
      <c r="F1131" s="0" t="s">
        <v>480</v>
      </c>
      <c r="G1131" s="0" t="s">
        <v>37</v>
      </c>
      <c r="H1131" s="0" t="s">
        <v>3693</v>
      </c>
      <c r="J1131" s="0" t="s">
        <v>3694</v>
      </c>
      <c r="M1131" s="0" t="s">
        <v>3695</v>
      </c>
      <c r="N1131" s="1" t="s">
        <v>3696</v>
      </c>
      <c r="O1131" s="0" t="s">
        <v>3697</v>
      </c>
      <c r="P1131" s="0" t="n">
        <v>1952</v>
      </c>
      <c r="Q1131" s="0" t="s">
        <v>39</v>
      </c>
      <c r="R1131" s="0" t="s">
        <v>3698</v>
      </c>
      <c r="S1131" s="0" t="s">
        <v>3699</v>
      </c>
      <c r="T1131" s="0" t="s">
        <v>3777</v>
      </c>
      <c r="V1131" s="0" t="n">
        <v>1</v>
      </c>
      <c r="W1131" s="0" t="n">
        <v>1</v>
      </c>
      <c r="X1131" s="0" t="str">
        <f aca="false">"31811012076124"</f>
        <v>31811012076124</v>
      </c>
      <c r="Y1131" s="0" t="s">
        <v>39</v>
      </c>
      <c r="Z1131" s="0" t="s">
        <v>42</v>
      </c>
      <c r="AA1131" s="0" t="s">
        <v>622</v>
      </c>
      <c r="AE1131" s="1" t="s">
        <v>52</v>
      </c>
    </row>
    <row r="1132" customFormat="false" ht="12.8" hidden="false" customHeight="false" outlineLevel="0" collapsed="false">
      <c r="A1132" s="0" t="n">
        <v>271357</v>
      </c>
      <c r="B1132" s="0" t="n">
        <v>297018</v>
      </c>
      <c r="C1132" s="0" t="n">
        <v>333090</v>
      </c>
      <c r="D1132" s="0" t="s">
        <v>35</v>
      </c>
      <c r="E1132" s="0" t="s">
        <v>35</v>
      </c>
      <c r="F1132" s="0" t="s">
        <v>480</v>
      </c>
      <c r="G1132" s="0" t="s">
        <v>37</v>
      </c>
      <c r="H1132" s="0" t="s">
        <v>3693</v>
      </c>
      <c r="J1132" s="0" t="s">
        <v>3694</v>
      </c>
      <c r="M1132" s="0" t="s">
        <v>3695</v>
      </c>
      <c r="N1132" s="1" t="s">
        <v>3696</v>
      </c>
      <c r="O1132" s="0" t="s">
        <v>3697</v>
      </c>
      <c r="P1132" s="0" t="n">
        <v>1952</v>
      </c>
      <c r="Q1132" s="0" t="s">
        <v>39</v>
      </c>
      <c r="R1132" s="0" t="s">
        <v>3698</v>
      </c>
      <c r="S1132" s="0" t="s">
        <v>3699</v>
      </c>
      <c r="T1132" s="0" t="s">
        <v>3778</v>
      </c>
      <c r="V1132" s="0" t="n">
        <v>1</v>
      </c>
      <c r="W1132" s="0" t="n">
        <v>1</v>
      </c>
      <c r="X1132" s="0" t="str">
        <f aca="false">"31811012076082"</f>
        <v>31811012076082</v>
      </c>
      <c r="Y1132" s="0" t="s">
        <v>39</v>
      </c>
      <c r="Z1132" s="0" t="s">
        <v>42</v>
      </c>
      <c r="AA1132" s="0" t="s">
        <v>622</v>
      </c>
      <c r="AE1132" s="1" t="s">
        <v>52</v>
      </c>
    </row>
    <row r="1133" customFormat="false" ht="12.8" hidden="false" customHeight="false" outlineLevel="0" collapsed="false">
      <c r="A1133" s="0" t="n">
        <v>271357</v>
      </c>
      <c r="B1133" s="0" t="n">
        <v>297018</v>
      </c>
      <c r="C1133" s="0" t="n">
        <v>333091</v>
      </c>
      <c r="D1133" s="0" t="s">
        <v>35</v>
      </c>
      <c r="E1133" s="0" t="s">
        <v>35</v>
      </c>
      <c r="F1133" s="0" t="s">
        <v>480</v>
      </c>
      <c r="G1133" s="0" t="s">
        <v>37</v>
      </c>
      <c r="H1133" s="0" t="s">
        <v>3693</v>
      </c>
      <c r="J1133" s="0" t="s">
        <v>3694</v>
      </c>
      <c r="M1133" s="0" t="s">
        <v>3695</v>
      </c>
      <c r="N1133" s="1" t="s">
        <v>3696</v>
      </c>
      <c r="O1133" s="0" t="s">
        <v>3697</v>
      </c>
      <c r="P1133" s="0" t="n">
        <v>1952</v>
      </c>
      <c r="Q1133" s="0" t="s">
        <v>39</v>
      </c>
      <c r="R1133" s="0" t="s">
        <v>3698</v>
      </c>
      <c r="S1133" s="0" t="s">
        <v>3699</v>
      </c>
      <c r="T1133" s="0" t="s">
        <v>3779</v>
      </c>
      <c r="V1133" s="0" t="n">
        <v>1</v>
      </c>
      <c r="W1133" s="0" t="n">
        <v>1</v>
      </c>
      <c r="X1133" s="0" t="str">
        <f aca="false">"31811012076041"</f>
        <v>31811012076041</v>
      </c>
      <c r="Y1133" s="0" t="s">
        <v>39</v>
      </c>
      <c r="Z1133" s="0" t="s">
        <v>42</v>
      </c>
      <c r="AA1133" s="0" t="s">
        <v>622</v>
      </c>
      <c r="AE1133" s="1" t="s">
        <v>52</v>
      </c>
    </row>
    <row r="1134" customFormat="false" ht="12.8" hidden="false" customHeight="false" outlineLevel="0" collapsed="false">
      <c r="A1134" s="0" t="n">
        <v>271357</v>
      </c>
      <c r="B1134" s="0" t="n">
        <v>297018</v>
      </c>
      <c r="C1134" s="0" t="n">
        <v>333092</v>
      </c>
      <c r="D1134" s="0" t="s">
        <v>35</v>
      </c>
      <c r="E1134" s="0" t="s">
        <v>35</v>
      </c>
      <c r="F1134" s="0" t="s">
        <v>480</v>
      </c>
      <c r="G1134" s="0" t="s">
        <v>37</v>
      </c>
      <c r="H1134" s="0" t="s">
        <v>3693</v>
      </c>
      <c r="J1134" s="0" t="s">
        <v>3694</v>
      </c>
      <c r="M1134" s="0" t="s">
        <v>3695</v>
      </c>
      <c r="N1134" s="1" t="s">
        <v>3696</v>
      </c>
      <c r="O1134" s="0" t="s">
        <v>3697</v>
      </c>
      <c r="P1134" s="0" t="n">
        <v>1952</v>
      </c>
      <c r="Q1134" s="0" t="s">
        <v>39</v>
      </c>
      <c r="R1134" s="0" t="s">
        <v>3698</v>
      </c>
      <c r="S1134" s="0" t="s">
        <v>3699</v>
      </c>
      <c r="T1134" s="0" t="s">
        <v>3780</v>
      </c>
      <c r="V1134" s="0" t="n">
        <v>1</v>
      </c>
      <c r="W1134" s="0" t="n">
        <v>1</v>
      </c>
      <c r="X1134" s="0" t="str">
        <f aca="false">"31811012076009"</f>
        <v>31811012076009</v>
      </c>
      <c r="Y1134" s="0" t="s">
        <v>39</v>
      </c>
      <c r="Z1134" s="0" t="s">
        <v>42</v>
      </c>
      <c r="AA1134" s="0" t="s">
        <v>622</v>
      </c>
      <c r="AE1134" s="1" t="s">
        <v>52</v>
      </c>
    </row>
    <row r="1135" customFormat="false" ht="12.8" hidden="false" customHeight="false" outlineLevel="0" collapsed="false">
      <c r="A1135" s="0" t="n">
        <v>271357</v>
      </c>
      <c r="B1135" s="0" t="n">
        <v>297018</v>
      </c>
      <c r="C1135" s="0" t="n">
        <v>333093</v>
      </c>
      <c r="D1135" s="0" t="s">
        <v>35</v>
      </c>
      <c r="E1135" s="0" t="s">
        <v>35</v>
      </c>
      <c r="F1135" s="0" t="s">
        <v>480</v>
      </c>
      <c r="G1135" s="0" t="s">
        <v>37</v>
      </c>
      <c r="H1135" s="0" t="s">
        <v>3693</v>
      </c>
      <c r="J1135" s="0" t="s">
        <v>3694</v>
      </c>
      <c r="M1135" s="0" t="s">
        <v>3695</v>
      </c>
      <c r="N1135" s="1" t="s">
        <v>3696</v>
      </c>
      <c r="O1135" s="0" t="s">
        <v>3697</v>
      </c>
      <c r="P1135" s="0" t="n">
        <v>1952</v>
      </c>
      <c r="Q1135" s="0" t="s">
        <v>39</v>
      </c>
      <c r="R1135" s="0" t="s">
        <v>3698</v>
      </c>
      <c r="S1135" s="0" t="s">
        <v>3699</v>
      </c>
      <c r="T1135" s="0" t="s">
        <v>3781</v>
      </c>
      <c r="V1135" s="0" t="n">
        <v>1</v>
      </c>
      <c r="W1135" s="0" t="n">
        <v>1</v>
      </c>
      <c r="X1135" s="0" t="str">
        <f aca="false">"31811012075969"</f>
        <v>31811012075969</v>
      </c>
      <c r="Y1135" s="0" t="s">
        <v>39</v>
      </c>
      <c r="Z1135" s="0" t="s">
        <v>42</v>
      </c>
      <c r="AA1135" s="0" t="s">
        <v>622</v>
      </c>
      <c r="AE1135" s="1" t="s">
        <v>52</v>
      </c>
    </row>
    <row r="1136" customFormat="false" ht="12.8" hidden="false" customHeight="false" outlineLevel="0" collapsed="false">
      <c r="A1136" s="0" t="n">
        <v>271357</v>
      </c>
      <c r="B1136" s="0" t="n">
        <v>297018</v>
      </c>
      <c r="C1136" s="0" t="n">
        <v>333094</v>
      </c>
      <c r="D1136" s="0" t="s">
        <v>35</v>
      </c>
      <c r="E1136" s="0" t="s">
        <v>35</v>
      </c>
      <c r="F1136" s="0" t="s">
        <v>480</v>
      </c>
      <c r="G1136" s="0" t="s">
        <v>37</v>
      </c>
      <c r="H1136" s="0" t="s">
        <v>3693</v>
      </c>
      <c r="J1136" s="0" t="s">
        <v>3694</v>
      </c>
      <c r="M1136" s="0" t="s">
        <v>3695</v>
      </c>
      <c r="N1136" s="1" t="s">
        <v>3696</v>
      </c>
      <c r="O1136" s="0" t="s">
        <v>3697</v>
      </c>
      <c r="P1136" s="0" t="n">
        <v>1952</v>
      </c>
      <c r="Q1136" s="0" t="s">
        <v>39</v>
      </c>
      <c r="R1136" s="0" t="s">
        <v>3698</v>
      </c>
      <c r="S1136" s="0" t="s">
        <v>3699</v>
      </c>
      <c r="T1136" s="0" t="s">
        <v>3782</v>
      </c>
      <c r="V1136" s="0" t="n">
        <v>1</v>
      </c>
      <c r="W1136" s="0" t="n">
        <v>1</v>
      </c>
      <c r="X1136" s="0" t="str">
        <f aca="false">"31811012075928"</f>
        <v>31811012075928</v>
      </c>
      <c r="Y1136" s="0" t="s">
        <v>39</v>
      </c>
      <c r="Z1136" s="0" t="s">
        <v>42</v>
      </c>
      <c r="AA1136" s="0" t="s">
        <v>622</v>
      </c>
      <c r="AE1136" s="1" t="s">
        <v>52</v>
      </c>
    </row>
    <row r="1137" customFormat="false" ht="12.8" hidden="false" customHeight="false" outlineLevel="0" collapsed="false">
      <c r="A1137" s="0" t="n">
        <v>271357</v>
      </c>
      <c r="B1137" s="0" t="n">
        <v>297018</v>
      </c>
      <c r="C1137" s="0" t="n">
        <v>333095</v>
      </c>
      <c r="D1137" s="0" t="s">
        <v>35</v>
      </c>
      <c r="E1137" s="0" t="s">
        <v>35</v>
      </c>
      <c r="F1137" s="0" t="s">
        <v>480</v>
      </c>
      <c r="G1137" s="0" t="s">
        <v>37</v>
      </c>
      <c r="H1137" s="0" t="s">
        <v>3693</v>
      </c>
      <c r="J1137" s="0" t="s">
        <v>3694</v>
      </c>
      <c r="M1137" s="0" t="s">
        <v>3695</v>
      </c>
      <c r="N1137" s="1" t="s">
        <v>3696</v>
      </c>
      <c r="O1137" s="0" t="s">
        <v>3697</v>
      </c>
      <c r="P1137" s="0" t="n">
        <v>1952</v>
      </c>
      <c r="Q1137" s="0" t="s">
        <v>39</v>
      </c>
      <c r="R1137" s="0" t="s">
        <v>3698</v>
      </c>
      <c r="S1137" s="0" t="s">
        <v>3699</v>
      </c>
      <c r="T1137" s="0" t="s">
        <v>3783</v>
      </c>
      <c r="V1137" s="0" t="n">
        <v>1</v>
      </c>
      <c r="W1137" s="0" t="n">
        <v>1</v>
      </c>
      <c r="X1137" s="0" t="str">
        <f aca="false">"31811012075910"</f>
        <v>31811012075910</v>
      </c>
      <c r="Y1137" s="0" t="s">
        <v>39</v>
      </c>
      <c r="Z1137" s="0" t="s">
        <v>42</v>
      </c>
      <c r="AA1137" s="0" t="s">
        <v>622</v>
      </c>
      <c r="AE1137" s="1" t="s">
        <v>52</v>
      </c>
    </row>
    <row r="1138" customFormat="false" ht="12.8" hidden="false" customHeight="false" outlineLevel="0" collapsed="false">
      <c r="A1138" s="0" t="n">
        <v>271357</v>
      </c>
      <c r="B1138" s="0" t="n">
        <v>297018</v>
      </c>
      <c r="C1138" s="0" t="n">
        <v>333096</v>
      </c>
      <c r="D1138" s="0" t="s">
        <v>35</v>
      </c>
      <c r="E1138" s="0" t="s">
        <v>35</v>
      </c>
      <c r="F1138" s="0" t="s">
        <v>480</v>
      </c>
      <c r="G1138" s="0" t="s">
        <v>37</v>
      </c>
      <c r="H1138" s="0" t="s">
        <v>3693</v>
      </c>
      <c r="J1138" s="0" t="s">
        <v>3694</v>
      </c>
      <c r="M1138" s="0" t="s">
        <v>3695</v>
      </c>
      <c r="N1138" s="1" t="s">
        <v>3696</v>
      </c>
      <c r="O1138" s="0" t="s">
        <v>3697</v>
      </c>
      <c r="P1138" s="0" t="n">
        <v>1952</v>
      </c>
      <c r="Q1138" s="0" t="s">
        <v>39</v>
      </c>
      <c r="R1138" s="0" t="s">
        <v>3698</v>
      </c>
      <c r="S1138" s="0" t="s">
        <v>3699</v>
      </c>
      <c r="T1138" s="0" t="s">
        <v>3784</v>
      </c>
      <c r="V1138" s="0" t="n">
        <v>1</v>
      </c>
      <c r="W1138" s="0" t="n">
        <v>1</v>
      </c>
      <c r="X1138" s="0" t="str">
        <f aca="false">"31811012075951"</f>
        <v>31811012075951</v>
      </c>
      <c r="Y1138" s="0" t="s">
        <v>39</v>
      </c>
      <c r="Z1138" s="0" t="s">
        <v>42</v>
      </c>
      <c r="AA1138" s="0" t="s">
        <v>622</v>
      </c>
      <c r="AE1138" s="1" t="s">
        <v>52</v>
      </c>
    </row>
    <row r="1139" customFormat="false" ht="12.8" hidden="false" customHeight="false" outlineLevel="0" collapsed="false">
      <c r="A1139" s="0" t="n">
        <v>271357</v>
      </c>
      <c r="B1139" s="0" t="n">
        <v>297018</v>
      </c>
      <c r="C1139" s="0" t="n">
        <v>333097</v>
      </c>
      <c r="D1139" s="0" t="s">
        <v>35</v>
      </c>
      <c r="E1139" s="0" t="s">
        <v>35</v>
      </c>
      <c r="F1139" s="0" t="s">
        <v>480</v>
      </c>
      <c r="G1139" s="0" t="s">
        <v>37</v>
      </c>
      <c r="H1139" s="0" t="s">
        <v>3693</v>
      </c>
      <c r="J1139" s="0" t="s">
        <v>3694</v>
      </c>
      <c r="M1139" s="0" t="s">
        <v>3695</v>
      </c>
      <c r="N1139" s="1" t="s">
        <v>3696</v>
      </c>
      <c r="O1139" s="0" t="s">
        <v>3697</v>
      </c>
      <c r="P1139" s="0" t="n">
        <v>1952</v>
      </c>
      <c r="Q1139" s="0" t="s">
        <v>39</v>
      </c>
      <c r="R1139" s="0" t="s">
        <v>3698</v>
      </c>
      <c r="S1139" s="0" t="s">
        <v>3699</v>
      </c>
      <c r="T1139" s="0" t="s">
        <v>3785</v>
      </c>
      <c r="V1139" s="0" t="n">
        <v>1</v>
      </c>
      <c r="W1139" s="0" t="n">
        <v>1</v>
      </c>
      <c r="X1139" s="0" t="str">
        <f aca="false">"31811012075993"</f>
        <v>31811012075993</v>
      </c>
      <c r="Y1139" s="0" t="s">
        <v>39</v>
      </c>
      <c r="Z1139" s="0" t="s">
        <v>42</v>
      </c>
      <c r="AA1139" s="0" t="s">
        <v>622</v>
      </c>
      <c r="AE1139" s="1" t="s">
        <v>52</v>
      </c>
    </row>
    <row r="1140" customFormat="false" ht="12.8" hidden="false" customHeight="false" outlineLevel="0" collapsed="false">
      <c r="A1140" s="0" t="n">
        <v>550137</v>
      </c>
      <c r="B1140" s="0" t="n">
        <v>588616</v>
      </c>
      <c r="C1140" s="0" t="n">
        <v>664988</v>
      </c>
      <c r="D1140" s="0" t="s">
        <v>35</v>
      </c>
      <c r="E1140" s="0" t="s">
        <v>35</v>
      </c>
      <c r="F1140" s="0" t="s">
        <v>480</v>
      </c>
      <c r="G1140" s="0" t="s">
        <v>37</v>
      </c>
      <c r="H1140" s="0" t="s">
        <v>3786</v>
      </c>
      <c r="J1140" s="0" t="s">
        <v>3786</v>
      </c>
      <c r="M1140" s="0" t="s">
        <v>3787</v>
      </c>
      <c r="N1140" s="1" t="s">
        <v>3788</v>
      </c>
      <c r="O1140" s="0" t="s">
        <v>3789</v>
      </c>
      <c r="P1140" s="0" t="n">
        <v>1999</v>
      </c>
      <c r="Q1140" s="0" t="s">
        <v>39</v>
      </c>
      <c r="R1140" s="0" t="s">
        <v>3698</v>
      </c>
      <c r="S1140" s="0" t="s">
        <v>3699</v>
      </c>
      <c r="T1140" s="0" t="s">
        <v>3790</v>
      </c>
      <c r="V1140" s="0" t="n">
        <v>1</v>
      </c>
      <c r="W1140" s="0" t="n">
        <v>1</v>
      </c>
      <c r="X1140" s="0" t="str">
        <f aca="false">"31811012060169"</f>
        <v>31811012060169</v>
      </c>
      <c r="Y1140" s="0" t="s">
        <v>39</v>
      </c>
      <c r="Z1140" s="0" t="s">
        <v>42</v>
      </c>
      <c r="AA1140" s="0" t="s">
        <v>43</v>
      </c>
      <c r="AE1140" s="1" t="s">
        <v>52</v>
      </c>
    </row>
    <row r="1141" customFormat="false" ht="12.8" hidden="false" customHeight="false" outlineLevel="0" collapsed="false">
      <c r="A1141" s="0" t="n">
        <v>308817</v>
      </c>
      <c r="B1141" s="0" t="n">
        <v>336638</v>
      </c>
      <c r="C1141" s="0" t="n">
        <v>375711</v>
      </c>
      <c r="D1141" s="0" t="s">
        <v>35</v>
      </c>
      <c r="E1141" s="0" t="s">
        <v>35</v>
      </c>
      <c r="F1141" s="0" t="s">
        <v>36</v>
      </c>
      <c r="G1141" s="0" t="s">
        <v>37</v>
      </c>
      <c r="H1141" s="0" t="s">
        <v>3791</v>
      </c>
      <c r="I1141" s="0" t="s">
        <v>3792</v>
      </c>
      <c r="J1141" s="0" t="s">
        <v>3791</v>
      </c>
      <c r="M1141" s="0" t="s">
        <v>3793</v>
      </c>
      <c r="N1141" s="0" t="s">
        <v>3794</v>
      </c>
      <c r="O1141" s="0" t="s">
        <v>3795</v>
      </c>
      <c r="P1141" s="0" t="n">
        <v>1970</v>
      </c>
      <c r="Q1141" s="0" t="s">
        <v>39</v>
      </c>
      <c r="R1141" s="0" t="s">
        <v>3796</v>
      </c>
      <c r="S1141" s="0" t="s">
        <v>3797</v>
      </c>
      <c r="V1141" s="0" t="n">
        <v>1</v>
      </c>
      <c r="W1141" s="0" t="n">
        <v>1</v>
      </c>
      <c r="X1141" s="0" t="str">
        <f aca="false">"31811010378589"</f>
        <v>31811010378589</v>
      </c>
      <c r="Y1141" s="0" t="s">
        <v>39</v>
      </c>
      <c r="Z1141" s="0" t="s">
        <v>42</v>
      </c>
      <c r="AA1141" s="0" t="s">
        <v>43</v>
      </c>
      <c r="AE1141" s="1" t="s">
        <v>52</v>
      </c>
    </row>
    <row r="1142" customFormat="false" ht="12.8" hidden="false" customHeight="false" outlineLevel="0" collapsed="false">
      <c r="A1142" s="0" t="n">
        <v>250371</v>
      </c>
      <c r="B1142" s="0" t="n">
        <v>274323</v>
      </c>
      <c r="C1142" s="0" t="n">
        <v>308518</v>
      </c>
      <c r="D1142" s="0" t="s">
        <v>35</v>
      </c>
      <c r="E1142" s="0" t="s">
        <v>35</v>
      </c>
      <c r="F1142" s="0" t="s">
        <v>36</v>
      </c>
      <c r="G1142" s="0" t="s">
        <v>37</v>
      </c>
      <c r="H1142" s="0" t="s">
        <v>3798</v>
      </c>
      <c r="I1142" s="0" t="s">
        <v>3799</v>
      </c>
      <c r="J1142" s="0" t="s">
        <v>3798</v>
      </c>
      <c r="L1142" s="0" t="n">
        <v>374958408</v>
      </c>
      <c r="M1142" s="0" t="s">
        <v>3800</v>
      </c>
      <c r="N1142" s="0" t="s">
        <v>3801</v>
      </c>
      <c r="O1142" s="0" t="s">
        <v>3802</v>
      </c>
      <c r="P1142" s="0" t="n">
        <v>1973</v>
      </c>
      <c r="Q1142" s="0" t="s">
        <v>39</v>
      </c>
      <c r="R1142" s="0" t="s">
        <v>3803</v>
      </c>
      <c r="S1142" s="0" t="s">
        <v>3804</v>
      </c>
      <c r="V1142" s="0" t="n">
        <v>1</v>
      </c>
      <c r="W1142" s="0" t="n">
        <v>1</v>
      </c>
      <c r="X1142" s="0" t="str">
        <f aca="false">"31811010369695"</f>
        <v>31811010369695</v>
      </c>
      <c r="Y1142" s="0" t="s">
        <v>39</v>
      </c>
      <c r="Z1142" s="0" t="s">
        <v>42</v>
      </c>
      <c r="AA1142" s="0" t="s">
        <v>43</v>
      </c>
      <c r="AE1142" s="1" t="s">
        <v>52</v>
      </c>
    </row>
    <row r="1143" customFormat="false" ht="12.8" hidden="false" customHeight="false" outlineLevel="0" collapsed="false">
      <c r="A1143" s="0" t="n">
        <v>104817</v>
      </c>
      <c r="B1143" s="0" t="n">
        <v>112869</v>
      </c>
      <c r="C1143" s="0" t="n">
        <v>126068</v>
      </c>
      <c r="D1143" s="0" t="s">
        <v>35</v>
      </c>
      <c r="E1143" s="0" t="s">
        <v>35</v>
      </c>
      <c r="F1143" s="0" t="s">
        <v>36</v>
      </c>
      <c r="G1143" s="0" t="s">
        <v>37</v>
      </c>
      <c r="H1143" s="0" t="s">
        <v>3805</v>
      </c>
      <c r="I1143" s="0" t="s">
        <v>3806</v>
      </c>
      <c r="J1143" s="0" t="s">
        <v>3807</v>
      </c>
      <c r="M1143" s="0" t="s">
        <v>3808</v>
      </c>
      <c r="N1143" s="0" t="s">
        <v>3809</v>
      </c>
      <c r="O1143" s="0" t="s">
        <v>3810</v>
      </c>
      <c r="P1143" s="0" t="n">
        <v>1943</v>
      </c>
      <c r="Q1143" s="0" t="s">
        <v>39</v>
      </c>
      <c r="R1143" s="0" t="s">
        <v>3811</v>
      </c>
      <c r="S1143" s="0" t="s">
        <v>3812</v>
      </c>
      <c r="V1143" s="0" t="n">
        <v>1</v>
      </c>
      <c r="W1143" s="0" t="n">
        <v>1</v>
      </c>
      <c r="X1143" s="0" t="str">
        <f aca="false">"31811010378399"</f>
        <v>31811010378399</v>
      </c>
      <c r="Y1143" s="0" t="s">
        <v>39</v>
      </c>
      <c r="Z1143" s="0" t="s">
        <v>42</v>
      </c>
      <c r="AA1143" s="0" t="s">
        <v>43</v>
      </c>
      <c r="AE1143" s="1" t="s">
        <v>52</v>
      </c>
      <c r="AH1143" s="1" t="s">
        <v>3813</v>
      </c>
    </row>
    <row r="1144" customFormat="false" ht="12.8" hidden="false" customHeight="false" outlineLevel="0" collapsed="false">
      <c r="A1144" s="0" t="n">
        <v>104773</v>
      </c>
      <c r="B1144" s="0" t="n">
        <v>112823</v>
      </c>
      <c r="C1144" s="0" t="n">
        <v>126024</v>
      </c>
      <c r="D1144" s="0" t="s">
        <v>35</v>
      </c>
      <c r="E1144" s="0" t="s">
        <v>35</v>
      </c>
      <c r="F1144" s="0" t="s">
        <v>36</v>
      </c>
      <c r="G1144" s="0" t="s">
        <v>37</v>
      </c>
      <c r="H1144" s="0" t="s">
        <v>3814</v>
      </c>
      <c r="I1144" s="0" t="s">
        <v>3815</v>
      </c>
      <c r="J1144" s="0" t="s">
        <v>3816</v>
      </c>
      <c r="M1144" s="0" t="s">
        <v>3817</v>
      </c>
      <c r="N1144" s="0" t="s">
        <v>3818</v>
      </c>
      <c r="O1144" s="0" t="s">
        <v>3819</v>
      </c>
      <c r="P1144" s="0" t="n">
        <v>1944</v>
      </c>
      <c r="Q1144" s="0" t="s">
        <v>39</v>
      </c>
      <c r="R1144" s="0" t="s">
        <v>3820</v>
      </c>
      <c r="S1144" s="0" t="s">
        <v>3821</v>
      </c>
      <c r="V1144" s="0" t="n">
        <v>1</v>
      </c>
      <c r="W1144" s="0" t="n">
        <v>1</v>
      </c>
      <c r="X1144" s="0" t="str">
        <f aca="false">"31811010378381"</f>
        <v>31811010378381</v>
      </c>
      <c r="Y1144" s="0" t="s">
        <v>39</v>
      </c>
      <c r="Z1144" s="0" t="s">
        <v>42</v>
      </c>
      <c r="AA1144" s="0" t="s">
        <v>43</v>
      </c>
      <c r="AE1144" s="1" t="s">
        <v>52</v>
      </c>
    </row>
    <row r="1145" customFormat="false" ht="12.8" hidden="false" customHeight="false" outlineLevel="0" collapsed="false">
      <c r="A1145" s="0" t="n">
        <v>267708</v>
      </c>
      <c r="B1145" s="0" t="n">
        <v>293098</v>
      </c>
      <c r="C1145" s="0" t="n">
        <v>328964</v>
      </c>
      <c r="D1145" s="0" t="s">
        <v>35</v>
      </c>
      <c r="E1145" s="0" t="s">
        <v>35</v>
      </c>
      <c r="F1145" s="0" t="s">
        <v>36</v>
      </c>
      <c r="G1145" s="0" t="s">
        <v>37</v>
      </c>
      <c r="H1145" s="0" t="s">
        <v>3822</v>
      </c>
      <c r="I1145" s="0" t="s">
        <v>3823</v>
      </c>
      <c r="J1145" s="0" t="s">
        <v>3824</v>
      </c>
      <c r="M1145" s="0" t="s">
        <v>3825</v>
      </c>
      <c r="N1145" s="0" t="s">
        <v>1675</v>
      </c>
      <c r="O1145" s="0" t="s">
        <v>3819</v>
      </c>
      <c r="P1145" s="0" t="n">
        <v>1945</v>
      </c>
      <c r="Q1145" s="0" t="s">
        <v>39</v>
      </c>
      <c r="R1145" s="0" t="s">
        <v>3826</v>
      </c>
      <c r="S1145" s="0" t="s">
        <v>3827</v>
      </c>
      <c r="V1145" s="0" t="n">
        <v>1</v>
      </c>
      <c r="W1145" s="0" t="n">
        <v>1</v>
      </c>
      <c r="X1145" s="0" t="str">
        <f aca="false">"31811010378373"</f>
        <v>31811010378373</v>
      </c>
      <c r="Y1145" s="0" t="s">
        <v>39</v>
      </c>
      <c r="Z1145" s="0" t="s">
        <v>42</v>
      </c>
      <c r="AA1145" s="0" t="s">
        <v>43</v>
      </c>
      <c r="AE1145" s="1" t="s">
        <v>52</v>
      </c>
    </row>
    <row r="1146" customFormat="false" ht="12.8" hidden="false" customHeight="false" outlineLevel="0" collapsed="false">
      <c r="A1146" s="0" t="n">
        <v>104775</v>
      </c>
      <c r="B1146" s="0" t="n">
        <v>112825</v>
      </c>
      <c r="C1146" s="0" t="n">
        <v>126026</v>
      </c>
      <c r="D1146" s="0" t="s">
        <v>35</v>
      </c>
      <c r="E1146" s="0" t="s">
        <v>35</v>
      </c>
      <c r="F1146" s="0" t="s">
        <v>36</v>
      </c>
      <c r="G1146" s="0" t="s">
        <v>37</v>
      </c>
      <c r="H1146" s="0" t="s">
        <v>3828</v>
      </c>
      <c r="I1146" s="0" t="s">
        <v>3829</v>
      </c>
      <c r="J1146" s="0" t="s">
        <v>3830</v>
      </c>
      <c r="M1146" s="0" t="s">
        <v>3831</v>
      </c>
      <c r="N1146" s="0" t="s">
        <v>1675</v>
      </c>
      <c r="O1146" s="0" t="s">
        <v>3819</v>
      </c>
      <c r="P1146" s="0" t="n">
        <v>1945</v>
      </c>
      <c r="Q1146" s="0" t="s">
        <v>39</v>
      </c>
      <c r="R1146" s="0" t="s">
        <v>3832</v>
      </c>
      <c r="S1146" s="0" t="s">
        <v>3833</v>
      </c>
      <c r="V1146" s="0" t="n">
        <v>1</v>
      </c>
      <c r="W1146" s="0" t="n">
        <v>1</v>
      </c>
      <c r="X1146" s="0" t="str">
        <f aca="false">"31811010378415"</f>
        <v>31811010378415</v>
      </c>
      <c r="Y1146" s="0" t="s">
        <v>39</v>
      </c>
      <c r="Z1146" s="0" t="s">
        <v>42</v>
      </c>
      <c r="AA1146" s="0" t="s">
        <v>43</v>
      </c>
      <c r="AE1146" s="1" t="s">
        <v>52</v>
      </c>
    </row>
    <row r="1147" customFormat="false" ht="12.8" hidden="false" customHeight="false" outlineLevel="0" collapsed="false">
      <c r="A1147" s="0" t="n">
        <v>104744</v>
      </c>
      <c r="B1147" s="0" t="n">
        <v>112785</v>
      </c>
      <c r="C1147" s="0" t="n">
        <v>125986</v>
      </c>
      <c r="D1147" s="0" t="s">
        <v>35</v>
      </c>
      <c r="E1147" s="0" t="s">
        <v>35</v>
      </c>
      <c r="F1147" s="0" t="s">
        <v>36</v>
      </c>
      <c r="G1147" s="0" t="s">
        <v>37</v>
      </c>
      <c r="H1147" s="0" t="s">
        <v>3834</v>
      </c>
      <c r="I1147" s="0" t="s">
        <v>3835</v>
      </c>
      <c r="J1147" s="0" t="s">
        <v>3836</v>
      </c>
      <c r="M1147" s="0" t="s">
        <v>3837</v>
      </c>
      <c r="N1147" s="0" t="s">
        <v>2761</v>
      </c>
      <c r="O1147" s="0" t="s">
        <v>3838</v>
      </c>
      <c r="P1147" s="0" t="n">
        <v>1947</v>
      </c>
      <c r="Q1147" s="0" t="s">
        <v>39</v>
      </c>
      <c r="R1147" s="0" t="s">
        <v>3839</v>
      </c>
      <c r="S1147" s="0" t="s">
        <v>3840</v>
      </c>
      <c r="V1147" s="0" t="n">
        <v>1</v>
      </c>
      <c r="W1147" s="0" t="n">
        <v>1</v>
      </c>
      <c r="X1147" s="0" t="str">
        <f aca="false">"31811010378423"</f>
        <v>31811010378423</v>
      </c>
      <c r="Y1147" s="0" t="s">
        <v>39</v>
      </c>
      <c r="Z1147" s="0" t="s">
        <v>42</v>
      </c>
      <c r="AA1147" s="0" t="s">
        <v>43</v>
      </c>
      <c r="AE1147" s="1" t="s">
        <v>52</v>
      </c>
      <c r="AH1147" s="1" t="s">
        <v>3841</v>
      </c>
    </row>
    <row r="1148" customFormat="false" ht="12.8" hidden="false" customHeight="false" outlineLevel="0" collapsed="false">
      <c r="A1148" s="0" t="n">
        <v>104777</v>
      </c>
      <c r="B1148" s="0" t="n">
        <v>112828</v>
      </c>
      <c r="C1148" s="0" t="n">
        <v>126029</v>
      </c>
      <c r="D1148" s="0" t="s">
        <v>35</v>
      </c>
      <c r="E1148" s="0" t="s">
        <v>35</v>
      </c>
      <c r="F1148" s="0" t="s">
        <v>36</v>
      </c>
      <c r="G1148" s="0" t="s">
        <v>37</v>
      </c>
      <c r="H1148" s="0" t="s">
        <v>3842</v>
      </c>
      <c r="I1148" s="0" t="s">
        <v>3843</v>
      </c>
      <c r="J1148" s="0" t="s">
        <v>3844</v>
      </c>
      <c r="M1148" s="0" t="s">
        <v>3845</v>
      </c>
      <c r="N1148" s="0" t="s">
        <v>2761</v>
      </c>
      <c r="O1148" s="0" t="s">
        <v>3819</v>
      </c>
      <c r="P1148" s="0" t="n">
        <v>1947</v>
      </c>
      <c r="Q1148" s="0" t="s">
        <v>39</v>
      </c>
      <c r="R1148" s="0" t="s">
        <v>3846</v>
      </c>
      <c r="S1148" s="0" t="s">
        <v>3847</v>
      </c>
      <c r="V1148" s="0" t="n">
        <v>1</v>
      </c>
      <c r="W1148" s="0" t="n">
        <v>1</v>
      </c>
      <c r="X1148" s="0" t="str">
        <f aca="false">"31811010378431"</f>
        <v>31811010378431</v>
      </c>
      <c r="Y1148" s="0" t="s">
        <v>39</v>
      </c>
      <c r="Z1148" s="0" t="s">
        <v>42</v>
      </c>
      <c r="AA1148" s="0" t="s">
        <v>43</v>
      </c>
      <c r="AE1148" s="1" t="s">
        <v>52</v>
      </c>
    </row>
    <row r="1149" customFormat="false" ht="12.8" hidden="false" customHeight="false" outlineLevel="0" collapsed="false">
      <c r="A1149" s="0" t="n">
        <v>88706</v>
      </c>
      <c r="B1149" s="0" t="n">
        <v>95976</v>
      </c>
      <c r="C1149" s="0" t="n">
        <v>107731</v>
      </c>
      <c r="D1149" s="0" t="s">
        <v>35</v>
      </c>
      <c r="E1149" s="0" t="s">
        <v>35</v>
      </c>
      <c r="F1149" s="0" t="s">
        <v>36</v>
      </c>
      <c r="G1149" s="0" t="s">
        <v>37</v>
      </c>
      <c r="H1149" s="0" t="s">
        <v>3848</v>
      </c>
      <c r="I1149" s="0" t="s">
        <v>3849</v>
      </c>
      <c r="J1149" s="0" t="s">
        <v>3850</v>
      </c>
      <c r="M1149" s="0" t="s">
        <v>3851</v>
      </c>
      <c r="N1149" s="0" t="s">
        <v>3852</v>
      </c>
      <c r="O1149" s="0" t="s">
        <v>3819</v>
      </c>
      <c r="P1149" s="0" t="n">
        <v>1939</v>
      </c>
      <c r="Q1149" s="0" t="s">
        <v>39</v>
      </c>
      <c r="R1149" s="0" t="s">
        <v>3853</v>
      </c>
      <c r="S1149" s="0" t="s">
        <v>3854</v>
      </c>
      <c r="V1149" s="0" t="n">
        <v>1</v>
      </c>
      <c r="W1149" s="0" t="n">
        <v>1</v>
      </c>
      <c r="X1149" s="0" t="str">
        <f aca="false">"31811010369653"</f>
        <v>31811010369653</v>
      </c>
      <c r="Y1149" s="0" t="s">
        <v>39</v>
      </c>
      <c r="Z1149" s="0" t="s">
        <v>42</v>
      </c>
      <c r="AA1149" s="0" t="s">
        <v>43</v>
      </c>
      <c r="AE1149" s="1" t="s">
        <v>52</v>
      </c>
    </row>
    <row r="1150" customFormat="false" ht="12.8" hidden="false" customHeight="false" outlineLevel="0" collapsed="false">
      <c r="A1150" s="0" t="n">
        <v>104774</v>
      </c>
      <c r="B1150" s="0" t="n">
        <v>112824</v>
      </c>
      <c r="C1150" s="0" t="n">
        <v>126025</v>
      </c>
      <c r="D1150" s="0" t="s">
        <v>35</v>
      </c>
      <c r="E1150" s="0" t="s">
        <v>35</v>
      </c>
      <c r="F1150" s="0" t="s">
        <v>36</v>
      </c>
      <c r="G1150" s="0" t="s">
        <v>37</v>
      </c>
      <c r="H1150" s="0" t="s">
        <v>3855</v>
      </c>
      <c r="I1150" s="0" t="s">
        <v>3849</v>
      </c>
      <c r="J1150" s="0" t="s">
        <v>3855</v>
      </c>
      <c r="M1150" s="0" t="s">
        <v>3856</v>
      </c>
      <c r="N1150" s="0" t="s">
        <v>3563</v>
      </c>
      <c r="O1150" s="0" t="s">
        <v>3857</v>
      </c>
      <c r="P1150" s="0" t="n">
        <v>1949</v>
      </c>
      <c r="Q1150" s="0" t="s">
        <v>39</v>
      </c>
      <c r="R1150" s="0" t="s">
        <v>3858</v>
      </c>
      <c r="S1150" s="0" t="s">
        <v>3859</v>
      </c>
      <c r="V1150" s="0" t="n">
        <v>1</v>
      </c>
      <c r="W1150" s="0" t="n">
        <v>1</v>
      </c>
      <c r="X1150" s="0" t="str">
        <f aca="false">"31811010378449"</f>
        <v>31811010378449</v>
      </c>
      <c r="Y1150" s="0" t="s">
        <v>39</v>
      </c>
      <c r="Z1150" s="0" t="s">
        <v>42</v>
      </c>
      <c r="AA1150" s="0" t="s">
        <v>43</v>
      </c>
      <c r="AE1150" s="1" t="s">
        <v>52</v>
      </c>
    </row>
    <row r="1151" customFormat="false" ht="12.8" hidden="false" customHeight="false" outlineLevel="0" collapsed="false">
      <c r="A1151" s="0" t="n">
        <v>250407</v>
      </c>
      <c r="B1151" s="0" t="n">
        <v>274367</v>
      </c>
      <c r="C1151" s="0" t="n">
        <v>308562</v>
      </c>
      <c r="D1151" s="0" t="s">
        <v>35</v>
      </c>
      <c r="E1151" s="0" t="s">
        <v>35</v>
      </c>
      <c r="F1151" s="0" t="s">
        <v>36</v>
      </c>
      <c r="G1151" s="0" t="s">
        <v>37</v>
      </c>
      <c r="H1151" s="0" t="s">
        <v>3860</v>
      </c>
      <c r="I1151" s="0" t="s">
        <v>3861</v>
      </c>
      <c r="J1151" s="0" t="s">
        <v>3862</v>
      </c>
      <c r="M1151" s="0" t="s">
        <v>3863</v>
      </c>
      <c r="N1151" s="0" t="n">
        <v>1950</v>
      </c>
      <c r="P1151" s="0" t="n">
        <v>1950</v>
      </c>
      <c r="Q1151" s="0" t="s">
        <v>39</v>
      </c>
      <c r="R1151" s="0" t="s">
        <v>3864</v>
      </c>
      <c r="S1151" s="0" t="s">
        <v>3865</v>
      </c>
      <c r="V1151" s="0" t="n">
        <v>1</v>
      </c>
      <c r="W1151" s="0" t="n">
        <v>1</v>
      </c>
      <c r="X1151" s="0" t="str">
        <f aca="false">"31811010378480"</f>
        <v>31811010378480</v>
      </c>
      <c r="Y1151" s="0" t="s">
        <v>39</v>
      </c>
      <c r="Z1151" s="0" t="s">
        <v>42</v>
      </c>
      <c r="AA1151" s="0" t="s">
        <v>43</v>
      </c>
      <c r="AE1151" s="1" t="s">
        <v>52</v>
      </c>
    </row>
    <row r="1152" customFormat="false" ht="12.8" hidden="false" customHeight="false" outlineLevel="0" collapsed="false">
      <c r="A1152" s="0" t="n">
        <v>250407</v>
      </c>
      <c r="B1152" s="0" t="n">
        <v>274368</v>
      </c>
      <c r="C1152" s="0" t="n">
        <v>308563</v>
      </c>
      <c r="D1152" s="0" t="s">
        <v>35</v>
      </c>
      <c r="E1152" s="0" t="s">
        <v>35</v>
      </c>
      <c r="F1152" s="0" t="s">
        <v>36</v>
      </c>
      <c r="G1152" s="0" t="s">
        <v>37</v>
      </c>
      <c r="H1152" s="0" t="s">
        <v>3860</v>
      </c>
      <c r="I1152" s="0" t="s">
        <v>3861</v>
      </c>
      <c r="J1152" s="0" t="s">
        <v>3862</v>
      </c>
      <c r="M1152" s="0" t="s">
        <v>3863</v>
      </c>
      <c r="N1152" s="0" t="n">
        <v>1950</v>
      </c>
      <c r="P1152" s="0" t="n">
        <v>1950</v>
      </c>
      <c r="Q1152" s="0" t="s">
        <v>39</v>
      </c>
      <c r="R1152" s="0" t="s">
        <v>3864</v>
      </c>
      <c r="S1152" s="0" t="s">
        <v>3865</v>
      </c>
      <c r="V1152" s="0" t="n">
        <v>2</v>
      </c>
      <c r="W1152" s="0" t="n">
        <v>1</v>
      </c>
      <c r="X1152" s="0" t="str">
        <f aca="false">"31811010378472"</f>
        <v>31811010378472</v>
      </c>
      <c r="Y1152" s="0" t="s">
        <v>39</v>
      </c>
      <c r="Z1152" s="0" t="s">
        <v>42</v>
      </c>
      <c r="AA1152" s="0" t="s">
        <v>43</v>
      </c>
      <c r="AE1152" s="1" t="s">
        <v>52</v>
      </c>
    </row>
    <row r="1153" customFormat="false" ht="12.8" hidden="false" customHeight="false" outlineLevel="0" collapsed="false">
      <c r="A1153" s="0" t="n">
        <v>190373</v>
      </c>
      <c r="B1153" s="0" t="n">
        <v>208593</v>
      </c>
      <c r="C1153" s="0" t="n">
        <v>234726</v>
      </c>
      <c r="D1153" s="0" t="s">
        <v>35</v>
      </c>
      <c r="E1153" s="0" t="s">
        <v>35</v>
      </c>
      <c r="F1153" s="0" t="s">
        <v>36</v>
      </c>
      <c r="G1153" s="0" t="s">
        <v>37</v>
      </c>
      <c r="H1153" s="0" t="s">
        <v>3866</v>
      </c>
      <c r="I1153" s="0" t="s">
        <v>3867</v>
      </c>
      <c r="J1153" s="0" t="s">
        <v>3866</v>
      </c>
      <c r="M1153" s="0" t="s">
        <v>3868</v>
      </c>
      <c r="N1153" s="0" t="n">
        <v>1951</v>
      </c>
      <c r="O1153" s="0" t="s">
        <v>3810</v>
      </c>
      <c r="P1153" s="0" t="n">
        <v>1951</v>
      </c>
      <c r="Q1153" s="0" t="s">
        <v>39</v>
      </c>
      <c r="R1153" s="0" t="s">
        <v>3869</v>
      </c>
      <c r="S1153" s="0" t="s">
        <v>3870</v>
      </c>
      <c r="V1153" s="0" t="n">
        <v>1</v>
      </c>
      <c r="W1153" s="0" t="n">
        <v>1</v>
      </c>
      <c r="X1153" s="0" t="str">
        <f aca="false">"31811010378464"</f>
        <v>31811010378464</v>
      </c>
      <c r="Y1153" s="0" t="s">
        <v>39</v>
      </c>
      <c r="Z1153" s="0" t="s">
        <v>42</v>
      </c>
      <c r="AA1153" s="0" t="s">
        <v>43</v>
      </c>
      <c r="AE1153" s="1" t="s">
        <v>52</v>
      </c>
    </row>
    <row r="1154" customFormat="false" ht="12.8" hidden="false" customHeight="false" outlineLevel="0" collapsed="false">
      <c r="A1154" s="0" t="n">
        <v>104769</v>
      </c>
      <c r="B1154" s="0" t="n">
        <v>112819</v>
      </c>
      <c r="C1154" s="0" t="n">
        <v>126020</v>
      </c>
      <c r="D1154" s="0" t="s">
        <v>35</v>
      </c>
      <c r="E1154" s="0" t="s">
        <v>35</v>
      </c>
      <c r="F1154" s="0" t="s">
        <v>36</v>
      </c>
      <c r="G1154" s="0" t="s">
        <v>37</v>
      </c>
      <c r="H1154" s="0" t="s">
        <v>3871</v>
      </c>
      <c r="I1154" s="0" t="s">
        <v>3872</v>
      </c>
      <c r="J1154" s="0" t="s">
        <v>3873</v>
      </c>
      <c r="M1154" s="0" t="s">
        <v>3874</v>
      </c>
      <c r="N1154" s="0" t="n">
        <v>1951</v>
      </c>
      <c r="O1154" s="0" t="s">
        <v>3810</v>
      </c>
      <c r="P1154" s="0" t="n">
        <v>1951</v>
      </c>
      <c r="Q1154" s="0" t="s">
        <v>39</v>
      </c>
      <c r="R1154" s="0" t="s">
        <v>3875</v>
      </c>
      <c r="S1154" s="0" t="s">
        <v>3876</v>
      </c>
      <c r="V1154" s="0" t="n">
        <v>3</v>
      </c>
      <c r="W1154" s="0" t="n">
        <v>1</v>
      </c>
      <c r="X1154" s="0" t="str">
        <f aca="false">"31811010378514"</f>
        <v>31811010378514</v>
      </c>
      <c r="Y1154" s="0" t="s">
        <v>39</v>
      </c>
      <c r="Z1154" s="0" t="s">
        <v>42</v>
      </c>
      <c r="AA1154" s="0" t="s">
        <v>43</v>
      </c>
      <c r="AE1154" s="1" t="s">
        <v>52</v>
      </c>
    </row>
    <row r="1155" customFormat="false" ht="12.8" hidden="false" customHeight="false" outlineLevel="0" collapsed="false">
      <c r="A1155" s="0" t="n">
        <v>104776</v>
      </c>
      <c r="B1155" s="0" t="n">
        <v>112826</v>
      </c>
      <c r="C1155" s="0" t="n">
        <v>126027</v>
      </c>
      <c r="D1155" s="0" t="s">
        <v>35</v>
      </c>
      <c r="E1155" s="0" t="s">
        <v>35</v>
      </c>
      <c r="F1155" s="0" t="s">
        <v>36</v>
      </c>
      <c r="G1155" s="0" t="s">
        <v>37</v>
      </c>
      <c r="H1155" s="0" t="s">
        <v>3877</v>
      </c>
      <c r="J1155" s="0" t="s">
        <v>3878</v>
      </c>
      <c r="M1155" s="0" t="s">
        <v>3879</v>
      </c>
      <c r="N1155" s="0" t="n">
        <v>1952</v>
      </c>
      <c r="O1155" s="0" t="s">
        <v>3810</v>
      </c>
      <c r="P1155" s="0" t="n">
        <v>1952</v>
      </c>
      <c r="Q1155" s="0" t="s">
        <v>39</v>
      </c>
      <c r="R1155" s="0" t="s">
        <v>3880</v>
      </c>
      <c r="S1155" s="0" t="s">
        <v>3881</v>
      </c>
      <c r="V1155" s="0" t="n">
        <v>1</v>
      </c>
      <c r="W1155" s="0" t="n">
        <v>1</v>
      </c>
      <c r="X1155" s="0" t="str">
        <f aca="false">"31811010378506"</f>
        <v>31811010378506</v>
      </c>
      <c r="Y1155" s="0" t="s">
        <v>39</v>
      </c>
      <c r="Z1155" s="0" t="s">
        <v>42</v>
      </c>
      <c r="AA1155" s="0" t="s">
        <v>43</v>
      </c>
      <c r="AE1155" s="1" t="s">
        <v>52</v>
      </c>
    </row>
    <row r="1156" customFormat="false" ht="12.8" hidden="false" customHeight="false" outlineLevel="0" collapsed="false">
      <c r="A1156" s="0" t="n">
        <v>104776</v>
      </c>
      <c r="B1156" s="0" t="n">
        <v>112827</v>
      </c>
      <c r="C1156" s="0" t="n">
        <v>126028</v>
      </c>
      <c r="D1156" s="0" t="s">
        <v>35</v>
      </c>
      <c r="E1156" s="0" t="s">
        <v>35</v>
      </c>
      <c r="F1156" s="0" t="s">
        <v>36</v>
      </c>
      <c r="G1156" s="0" t="s">
        <v>37</v>
      </c>
      <c r="H1156" s="0" t="s">
        <v>3877</v>
      </c>
      <c r="J1156" s="0" t="s">
        <v>3878</v>
      </c>
      <c r="M1156" s="0" t="s">
        <v>3879</v>
      </c>
      <c r="N1156" s="0" t="n">
        <v>1952</v>
      </c>
      <c r="O1156" s="0" t="s">
        <v>3810</v>
      </c>
      <c r="P1156" s="0" t="n">
        <v>1952</v>
      </c>
      <c r="Q1156" s="0" t="s">
        <v>39</v>
      </c>
      <c r="R1156" s="0" t="s">
        <v>3880</v>
      </c>
      <c r="S1156" s="0" t="s">
        <v>3881</v>
      </c>
      <c r="V1156" s="0" t="n">
        <v>2</v>
      </c>
      <c r="W1156" s="0" t="n">
        <v>1</v>
      </c>
      <c r="X1156" s="0" t="str">
        <f aca="false">"31811010378498"</f>
        <v>31811010378498</v>
      </c>
      <c r="Y1156" s="0" t="s">
        <v>39</v>
      </c>
      <c r="Z1156" s="0" t="s">
        <v>42</v>
      </c>
      <c r="AA1156" s="0" t="s">
        <v>43</v>
      </c>
      <c r="AE1156" s="1" t="s">
        <v>52</v>
      </c>
    </row>
    <row r="1157" customFormat="false" ht="12.8" hidden="false" customHeight="false" outlineLevel="0" collapsed="false">
      <c r="A1157" s="0" t="n">
        <v>378708</v>
      </c>
      <c r="B1157" s="0" t="n">
        <v>409907</v>
      </c>
      <c r="C1157" s="0" t="n">
        <v>456741</v>
      </c>
      <c r="D1157" s="0" t="s">
        <v>35</v>
      </c>
      <c r="E1157" s="0" t="s">
        <v>35</v>
      </c>
      <c r="F1157" s="0" t="s">
        <v>36</v>
      </c>
      <c r="G1157" s="0" t="s">
        <v>37</v>
      </c>
      <c r="H1157" s="0" t="s">
        <v>3882</v>
      </c>
      <c r="I1157" s="0" t="s">
        <v>3883</v>
      </c>
      <c r="J1157" s="0" t="s">
        <v>3882</v>
      </c>
      <c r="M1157" s="0" t="s">
        <v>3884</v>
      </c>
      <c r="N1157" s="0" t="n">
        <v>1968</v>
      </c>
      <c r="O1157" s="0" t="s">
        <v>3885</v>
      </c>
      <c r="P1157" s="0" t="n">
        <v>1968</v>
      </c>
      <c r="Q1157" s="0" t="s">
        <v>39</v>
      </c>
      <c r="R1157" s="0" t="s">
        <v>3886</v>
      </c>
      <c r="S1157" s="0" t="s">
        <v>3887</v>
      </c>
      <c r="V1157" s="0" t="n">
        <v>1</v>
      </c>
      <c r="W1157" s="0" t="n">
        <v>1</v>
      </c>
      <c r="X1157" s="0" t="str">
        <f aca="false">"31811010378563"</f>
        <v>31811010378563</v>
      </c>
      <c r="Y1157" s="0" t="s">
        <v>39</v>
      </c>
      <c r="Z1157" s="0" t="s">
        <v>42</v>
      </c>
      <c r="AA1157" s="0" t="s">
        <v>43</v>
      </c>
      <c r="AE1157" s="1" t="s">
        <v>52</v>
      </c>
    </row>
    <row r="1158" customFormat="false" ht="12.8" hidden="false" customHeight="false" outlineLevel="0" collapsed="false">
      <c r="A1158" s="0" t="n">
        <v>188241</v>
      </c>
      <c r="B1158" s="0" t="n">
        <v>206107</v>
      </c>
      <c r="C1158" s="0" t="n">
        <v>231749</v>
      </c>
      <c r="D1158" s="0" t="s">
        <v>35</v>
      </c>
      <c r="E1158" s="0" t="s">
        <v>35</v>
      </c>
      <c r="F1158" s="0" t="s">
        <v>36</v>
      </c>
      <c r="G1158" s="0" t="s">
        <v>37</v>
      </c>
      <c r="H1158" s="0" t="s">
        <v>3888</v>
      </c>
      <c r="I1158" s="0" t="s">
        <v>3883</v>
      </c>
      <c r="J1158" s="0" t="s">
        <v>3889</v>
      </c>
      <c r="L1158" s="0" t="n">
        <v>527129003</v>
      </c>
      <c r="M1158" s="0" t="s">
        <v>3890</v>
      </c>
      <c r="N1158" s="0" t="n">
        <v>1977</v>
      </c>
      <c r="O1158" s="0" t="s">
        <v>3891</v>
      </c>
      <c r="P1158" s="0" t="n">
        <v>1977</v>
      </c>
      <c r="Q1158" s="0" t="s">
        <v>39</v>
      </c>
      <c r="R1158" s="0" t="s">
        <v>3892</v>
      </c>
      <c r="S1158" s="0" t="s">
        <v>3893</v>
      </c>
      <c r="V1158" s="0" t="n">
        <v>1</v>
      </c>
      <c r="W1158" s="0" t="n">
        <v>1</v>
      </c>
      <c r="X1158" s="0" t="str">
        <f aca="false">"31811010378555"</f>
        <v>31811010378555</v>
      </c>
      <c r="Y1158" s="0" t="s">
        <v>39</v>
      </c>
      <c r="Z1158" s="0" t="s">
        <v>42</v>
      </c>
      <c r="AA1158" s="0" t="s">
        <v>43</v>
      </c>
      <c r="AE1158" s="1" t="s">
        <v>52</v>
      </c>
      <c r="AH1158" s="1" t="s">
        <v>3894</v>
      </c>
    </row>
    <row r="1159" customFormat="false" ht="12.8" hidden="false" customHeight="false" outlineLevel="0" collapsed="false">
      <c r="A1159" s="0" t="n">
        <v>104784</v>
      </c>
      <c r="B1159" s="0" t="n">
        <v>112835</v>
      </c>
      <c r="C1159" s="0" t="n">
        <v>126036</v>
      </c>
      <c r="D1159" s="0" t="s">
        <v>35</v>
      </c>
      <c r="E1159" s="0" t="s">
        <v>35</v>
      </c>
      <c r="F1159" s="0" t="s">
        <v>36</v>
      </c>
      <c r="G1159" s="0" t="s">
        <v>37</v>
      </c>
      <c r="H1159" s="0" t="s">
        <v>3895</v>
      </c>
      <c r="I1159" s="0" t="s">
        <v>3896</v>
      </c>
      <c r="J1159" s="0" t="s">
        <v>3897</v>
      </c>
      <c r="M1159" s="0" t="s">
        <v>3898</v>
      </c>
      <c r="N1159" s="0" t="s">
        <v>2675</v>
      </c>
      <c r="O1159" s="0" t="s">
        <v>3857</v>
      </c>
      <c r="P1159" s="0" t="n">
        <v>1940</v>
      </c>
      <c r="Q1159" s="0" t="s">
        <v>39</v>
      </c>
      <c r="R1159" s="0" t="s">
        <v>3899</v>
      </c>
      <c r="S1159" s="0" t="s">
        <v>3900</v>
      </c>
      <c r="V1159" s="0" t="n">
        <v>1</v>
      </c>
      <c r="W1159" s="0" t="n">
        <v>1</v>
      </c>
      <c r="X1159" s="0" t="str">
        <f aca="false">"31811010369612"</f>
        <v>31811010369612</v>
      </c>
      <c r="Y1159" s="0" t="s">
        <v>39</v>
      </c>
      <c r="Z1159" s="0" t="s">
        <v>42</v>
      </c>
      <c r="AA1159" s="0" t="s">
        <v>43</v>
      </c>
      <c r="AE1159" s="1" t="s">
        <v>52</v>
      </c>
    </row>
    <row r="1160" customFormat="false" ht="12.8" hidden="false" customHeight="false" outlineLevel="0" collapsed="false">
      <c r="A1160" s="0" t="n">
        <v>490407</v>
      </c>
      <c r="B1160" s="0" t="n">
        <v>471325</v>
      </c>
      <c r="C1160" s="0" t="n">
        <v>526879</v>
      </c>
      <c r="D1160" s="0" t="s">
        <v>35</v>
      </c>
      <c r="E1160" s="0" t="s">
        <v>35</v>
      </c>
      <c r="F1160" s="0" t="s">
        <v>36</v>
      </c>
      <c r="G1160" s="0" t="s">
        <v>37</v>
      </c>
      <c r="H1160" s="0" t="s">
        <v>3901</v>
      </c>
      <c r="I1160" s="0" t="s">
        <v>3902</v>
      </c>
      <c r="J1160" s="0" t="s">
        <v>3903</v>
      </c>
      <c r="M1160" s="0" t="s">
        <v>3904</v>
      </c>
      <c r="N1160" s="0" t="n">
        <v>1954</v>
      </c>
      <c r="O1160" s="0" t="s">
        <v>3905</v>
      </c>
      <c r="P1160" s="0" t="n">
        <v>1954</v>
      </c>
      <c r="Q1160" s="0" t="s">
        <v>39</v>
      </c>
      <c r="R1160" s="0" t="s">
        <v>3906</v>
      </c>
      <c r="S1160" s="0" t="s">
        <v>3907</v>
      </c>
      <c r="V1160" s="0" t="n">
        <v>1</v>
      </c>
      <c r="W1160" s="0" t="n">
        <v>1</v>
      </c>
      <c r="X1160" s="0" t="str">
        <f aca="false">"31811010378548"</f>
        <v>31811010378548</v>
      </c>
      <c r="Y1160" s="0" t="s">
        <v>39</v>
      </c>
      <c r="Z1160" s="0" t="s">
        <v>42</v>
      </c>
      <c r="AA1160" s="0" t="s">
        <v>43</v>
      </c>
      <c r="AE1160" s="1" t="s">
        <v>52</v>
      </c>
    </row>
    <row r="1161" customFormat="false" ht="12.8" hidden="false" customHeight="false" outlineLevel="0" collapsed="false">
      <c r="A1161" s="0" t="n">
        <v>368807</v>
      </c>
      <c r="B1161" s="0" t="n">
        <v>398662</v>
      </c>
      <c r="C1161" s="0" t="n">
        <v>443321</v>
      </c>
      <c r="D1161" s="0" t="s">
        <v>35</v>
      </c>
      <c r="E1161" s="0" t="s">
        <v>35</v>
      </c>
      <c r="F1161" s="0" t="s">
        <v>36</v>
      </c>
      <c r="G1161" s="0" t="s">
        <v>227</v>
      </c>
      <c r="H1161" s="0" t="s">
        <v>3908</v>
      </c>
      <c r="I1161" s="0" t="s">
        <v>3909</v>
      </c>
      <c r="J1161" s="0" t="s">
        <v>3910</v>
      </c>
      <c r="M1161" s="0" t="s">
        <v>3911</v>
      </c>
      <c r="N1161" s="0" t="n">
        <v>1955</v>
      </c>
      <c r="O1161" s="0" t="s">
        <v>3905</v>
      </c>
      <c r="P1161" s="0" t="n">
        <v>1955</v>
      </c>
      <c r="Q1161" s="0" t="s">
        <v>39</v>
      </c>
      <c r="R1161" s="0" t="s">
        <v>3912</v>
      </c>
      <c r="S1161" s="0" t="s">
        <v>3913</v>
      </c>
      <c r="V1161" s="0" t="n">
        <v>1</v>
      </c>
      <c r="W1161" s="0" t="n">
        <v>1</v>
      </c>
      <c r="X1161" s="0" t="str">
        <f aca="false">"31811010378530"</f>
        <v>31811010378530</v>
      </c>
      <c r="Y1161" s="0" t="s">
        <v>39</v>
      </c>
      <c r="Z1161" s="0" t="s">
        <v>42</v>
      </c>
      <c r="AA1161" s="0" t="s">
        <v>43</v>
      </c>
      <c r="AE1161" s="1" t="s">
        <v>52</v>
      </c>
    </row>
    <row r="1162" customFormat="false" ht="12.8" hidden="false" customHeight="false" outlineLevel="0" collapsed="false">
      <c r="A1162" s="0" t="n">
        <v>104770</v>
      </c>
      <c r="B1162" s="0" t="n">
        <v>112820</v>
      </c>
      <c r="C1162" s="0" t="n">
        <v>126021</v>
      </c>
      <c r="D1162" s="0" t="s">
        <v>35</v>
      </c>
      <c r="E1162" s="0" t="s">
        <v>35</v>
      </c>
      <c r="F1162" s="0" t="s">
        <v>36</v>
      </c>
      <c r="G1162" s="0" t="s">
        <v>37</v>
      </c>
      <c r="H1162" s="0" t="s">
        <v>3914</v>
      </c>
      <c r="I1162" s="0" t="s">
        <v>3915</v>
      </c>
      <c r="J1162" s="0" t="s">
        <v>3916</v>
      </c>
      <c r="M1162" s="0" t="s">
        <v>3917</v>
      </c>
      <c r="N1162" s="0" t="s">
        <v>819</v>
      </c>
      <c r="O1162" s="0" t="s">
        <v>3918</v>
      </c>
      <c r="P1162" s="0" t="n">
        <v>1956</v>
      </c>
      <c r="Q1162" s="0" t="s">
        <v>39</v>
      </c>
      <c r="R1162" s="0" t="s">
        <v>3919</v>
      </c>
      <c r="S1162" s="0" t="s">
        <v>3920</v>
      </c>
      <c r="V1162" s="0" t="n">
        <v>1</v>
      </c>
      <c r="W1162" s="0" t="n">
        <v>1</v>
      </c>
      <c r="X1162" s="0" t="str">
        <f aca="false">"31811010370115"</f>
        <v>31811010370115</v>
      </c>
      <c r="Y1162" s="0" t="s">
        <v>39</v>
      </c>
      <c r="Z1162" s="0" t="s">
        <v>42</v>
      </c>
      <c r="AA1162" s="0" t="s">
        <v>43</v>
      </c>
      <c r="AE1162" s="1" t="s">
        <v>52</v>
      </c>
    </row>
    <row r="1163" customFormat="false" ht="12.8" hidden="false" customHeight="false" outlineLevel="0" collapsed="false">
      <c r="A1163" s="0" t="n">
        <v>104840</v>
      </c>
      <c r="B1163" s="0" t="n">
        <v>112893</v>
      </c>
      <c r="C1163" s="0" t="n">
        <v>126095</v>
      </c>
      <c r="D1163" s="0" t="s">
        <v>35</v>
      </c>
      <c r="E1163" s="0" t="s">
        <v>35</v>
      </c>
      <c r="F1163" s="0" t="s">
        <v>36</v>
      </c>
      <c r="G1163" s="0" t="s">
        <v>37</v>
      </c>
      <c r="H1163" s="0" t="s">
        <v>3921</v>
      </c>
      <c r="I1163" s="0" t="s">
        <v>3922</v>
      </c>
      <c r="J1163" s="0" t="s">
        <v>3923</v>
      </c>
      <c r="M1163" s="0" t="s">
        <v>3924</v>
      </c>
      <c r="N1163" s="0" t="n">
        <v>1957</v>
      </c>
      <c r="O1163" s="0" t="s">
        <v>3905</v>
      </c>
      <c r="P1163" s="0" t="n">
        <v>1957</v>
      </c>
      <c r="Q1163" s="0" t="s">
        <v>39</v>
      </c>
      <c r="R1163" s="0" t="s">
        <v>3925</v>
      </c>
      <c r="S1163" s="0" t="s">
        <v>3926</v>
      </c>
      <c r="V1163" s="0" t="n">
        <v>1</v>
      </c>
      <c r="W1163" s="0" t="n">
        <v>1</v>
      </c>
      <c r="X1163" s="0" t="str">
        <f aca="false">"31811010370107"</f>
        <v>31811010370107</v>
      </c>
      <c r="Y1163" s="0" t="s">
        <v>39</v>
      </c>
      <c r="Z1163" s="0" t="s">
        <v>42</v>
      </c>
      <c r="AA1163" s="0" t="s">
        <v>43</v>
      </c>
      <c r="AE1163" s="1" t="s">
        <v>52</v>
      </c>
    </row>
    <row r="1164" customFormat="false" ht="12.8" hidden="false" customHeight="false" outlineLevel="0" collapsed="false">
      <c r="A1164" s="0" t="n">
        <v>104778</v>
      </c>
      <c r="B1164" s="0" t="n">
        <v>112829</v>
      </c>
      <c r="C1164" s="0" t="n">
        <v>126030</v>
      </c>
      <c r="D1164" s="0" t="s">
        <v>35</v>
      </c>
      <c r="E1164" s="0" t="s">
        <v>35</v>
      </c>
      <c r="F1164" s="0" t="s">
        <v>36</v>
      </c>
      <c r="G1164" s="0" t="s">
        <v>37</v>
      </c>
      <c r="H1164" s="0" t="s">
        <v>3927</v>
      </c>
      <c r="I1164" s="0" t="s">
        <v>3928</v>
      </c>
      <c r="J1164" s="0" t="s">
        <v>3929</v>
      </c>
      <c r="M1164" s="0" t="s">
        <v>3930</v>
      </c>
      <c r="N1164" s="0" t="n">
        <v>1957</v>
      </c>
      <c r="O1164" s="0" t="s">
        <v>3905</v>
      </c>
      <c r="P1164" s="0" t="n">
        <v>1957</v>
      </c>
      <c r="Q1164" s="0" t="s">
        <v>39</v>
      </c>
      <c r="R1164" s="0" t="s">
        <v>3931</v>
      </c>
      <c r="S1164" s="0" t="s">
        <v>3932</v>
      </c>
      <c r="V1164" s="0" t="n">
        <v>1</v>
      </c>
      <c r="W1164" s="0" t="n">
        <v>1</v>
      </c>
      <c r="X1164" s="0" t="str">
        <f aca="false">"31811010370099"</f>
        <v>31811010370099</v>
      </c>
      <c r="Y1164" s="0" t="s">
        <v>39</v>
      </c>
      <c r="Z1164" s="0" t="s">
        <v>42</v>
      </c>
      <c r="AA1164" s="0" t="s">
        <v>43</v>
      </c>
      <c r="AE1164" s="1" t="s">
        <v>52</v>
      </c>
    </row>
    <row r="1165" customFormat="false" ht="12.8" hidden="false" customHeight="false" outlineLevel="0" collapsed="false">
      <c r="A1165" s="0" t="n">
        <v>250317</v>
      </c>
      <c r="B1165" s="0" t="n">
        <v>274266</v>
      </c>
      <c r="C1165" s="0" t="n">
        <v>308461</v>
      </c>
      <c r="D1165" s="0" t="s">
        <v>35</v>
      </c>
      <c r="E1165" s="0" t="s">
        <v>35</v>
      </c>
      <c r="F1165" s="0" t="s">
        <v>36</v>
      </c>
      <c r="G1165" s="0" t="s">
        <v>37</v>
      </c>
      <c r="H1165" s="0" t="s">
        <v>3933</v>
      </c>
      <c r="I1165" s="0" t="s">
        <v>3934</v>
      </c>
      <c r="J1165" s="0" t="s">
        <v>3933</v>
      </c>
      <c r="M1165" s="0" t="s">
        <v>3935</v>
      </c>
      <c r="N1165" s="0" t="n">
        <v>1968</v>
      </c>
      <c r="O1165" s="0" t="s">
        <v>3891</v>
      </c>
      <c r="P1165" s="0" t="n">
        <v>1968</v>
      </c>
      <c r="Q1165" s="0" t="s">
        <v>39</v>
      </c>
      <c r="R1165" s="0" t="s">
        <v>3936</v>
      </c>
      <c r="S1165" s="0" t="s">
        <v>3937</v>
      </c>
      <c r="V1165" s="0" t="n">
        <v>1</v>
      </c>
      <c r="W1165" s="0" t="n">
        <v>1</v>
      </c>
      <c r="X1165" s="0" t="str">
        <f aca="false">"31811010369935"</f>
        <v>31811010369935</v>
      </c>
      <c r="Y1165" s="0" t="s">
        <v>39</v>
      </c>
      <c r="Z1165" s="0" t="s">
        <v>42</v>
      </c>
      <c r="AA1165" s="0" t="s">
        <v>43</v>
      </c>
      <c r="AE1165" s="1" t="s">
        <v>52</v>
      </c>
    </row>
    <row r="1166" customFormat="false" ht="12.8" hidden="false" customHeight="false" outlineLevel="0" collapsed="false">
      <c r="A1166" s="0" t="n">
        <v>250317</v>
      </c>
      <c r="B1166" s="0" t="n">
        <v>274267</v>
      </c>
      <c r="C1166" s="0" t="n">
        <v>308462</v>
      </c>
      <c r="D1166" s="0" t="s">
        <v>35</v>
      </c>
      <c r="E1166" s="0" t="s">
        <v>35</v>
      </c>
      <c r="F1166" s="0" t="s">
        <v>36</v>
      </c>
      <c r="G1166" s="0" t="s">
        <v>37</v>
      </c>
      <c r="H1166" s="0" t="s">
        <v>3933</v>
      </c>
      <c r="I1166" s="0" t="s">
        <v>3934</v>
      </c>
      <c r="J1166" s="0" t="s">
        <v>3933</v>
      </c>
      <c r="M1166" s="0" t="s">
        <v>3935</v>
      </c>
      <c r="N1166" s="0" t="n">
        <v>1968</v>
      </c>
      <c r="O1166" s="0" t="s">
        <v>3891</v>
      </c>
      <c r="P1166" s="0" t="n">
        <v>1968</v>
      </c>
      <c r="Q1166" s="0" t="s">
        <v>39</v>
      </c>
      <c r="R1166" s="0" t="s">
        <v>3936</v>
      </c>
      <c r="S1166" s="0" t="s">
        <v>3937</v>
      </c>
      <c r="V1166" s="0" t="n">
        <v>2</v>
      </c>
      <c r="W1166" s="0" t="n">
        <v>1</v>
      </c>
      <c r="X1166" s="0" t="str">
        <f aca="false">"31811003178822"</f>
        <v>31811003178822</v>
      </c>
      <c r="Y1166" s="0" t="s">
        <v>39</v>
      </c>
      <c r="Z1166" s="0" t="s">
        <v>42</v>
      </c>
      <c r="AA1166" s="0" t="s">
        <v>43</v>
      </c>
      <c r="AE1166" s="1" t="s">
        <v>52</v>
      </c>
    </row>
    <row r="1167" customFormat="false" ht="12.8" hidden="false" customHeight="false" outlineLevel="0" collapsed="false">
      <c r="A1167" s="0" t="n">
        <v>104909</v>
      </c>
      <c r="B1167" s="0" t="n">
        <v>112965</v>
      </c>
      <c r="C1167" s="0" t="n">
        <v>126166</v>
      </c>
      <c r="D1167" s="0" t="s">
        <v>35</v>
      </c>
      <c r="E1167" s="0" t="s">
        <v>35</v>
      </c>
      <c r="F1167" s="0" t="s">
        <v>36</v>
      </c>
      <c r="G1167" s="0" t="s">
        <v>37</v>
      </c>
      <c r="H1167" s="0" t="s">
        <v>3938</v>
      </c>
      <c r="J1167" s="0" t="s">
        <v>3939</v>
      </c>
      <c r="M1167" s="0" t="s">
        <v>3940</v>
      </c>
      <c r="N1167" s="0" t="n">
        <v>1959</v>
      </c>
      <c r="O1167" s="0" t="s">
        <v>3905</v>
      </c>
      <c r="P1167" s="0" t="n">
        <v>1959</v>
      </c>
      <c r="Q1167" s="0" t="s">
        <v>39</v>
      </c>
      <c r="R1167" s="0" t="s">
        <v>3941</v>
      </c>
      <c r="S1167" s="0" t="s">
        <v>3942</v>
      </c>
      <c r="V1167" s="0" t="n">
        <v>1</v>
      </c>
      <c r="W1167" s="0" t="n">
        <v>1</v>
      </c>
      <c r="X1167" s="0" t="str">
        <f aca="false">"31811010369984"</f>
        <v>31811010369984</v>
      </c>
      <c r="Y1167" s="0" t="s">
        <v>39</v>
      </c>
      <c r="Z1167" s="0" t="s">
        <v>42</v>
      </c>
      <c r="AA1167" s="0" t="s">
        <v>43</v>
      </c>
      <c r="AE1167" s="1" t="s">
        <v>52</v>
      </c>
    </row>
    <row r="1168" customFormat="false" ht="12.8" hidden="false" customHeight="false" outlineLevel="0" collapsed="false">
      <c r="A1168" s="0" t="n">
        <v>104909</v>
      </c>
      <c r="B1168" s="0" t="n">
        <v>112966</v>
      </c>
      <c r="C1168" s="0" t="n">
        <v>126167</v>
      </c>
      <c r="D1168" s="0" t="s">
        <v>35</v>
      </c>
      <c r="E1168" s="0" t="s">
        <v>35</v>
      </c>
      <c r="F1168" s="0" t="s">
        <v>36</v>
      </c>
      <c r="G1168" s="0" t="s">
        <v>37</v>
      </c>
      <c r="H1168" s="0" t="s">
        <v>3938</v>
      </c>
      <c r="J1168" s="0" t="s">
        <v>3939</v>
      </c>
      <c r="M1168" s="0" t="s">
        <v>3940</v>
      </c>
      <c r="N1168" s="0" t="n">
        <v>1959</v>
      </c>
      <c r="O1168" s="0" t="s">
        <v>3905</v>
      </c>
      <c r="P1168" s="0" t="n">
        <v>1959</v>
      </c>
      <c r="Q1168" s="0" t="s">
        <v>39</v>
      </c>
      <c r="R1168" s="0" t="s">
        <v>3941</v>
      </c>
      <c r="S1168" s="0" t="s">
        <v>3942</v>
      </c>
      <c r="V1168" s="0" t="n">
        <v>2</v>
      </c>
      <c r="W1168" s="0" t="n">
        <v>1</v>
      </c>
      <c r="X1168" s="0" t="str">
        <f aca="false">"31811010370024"</f>
        <v>31811010370024</v>
      </c>
      <c r="Y1168" s="0" t="s">
        <v>39</v>
      </c>
      <c r="Z1168" s="0" t="s">
        <v>42</v>
      </c>
      <c r="AA1168" s="0" t="s">
        <v>43</v>
      </c>
      <c r="AE1168" s="1" t="s">
        <v>52</v>
      </c>
    </row>
    <row r="1169" customFormat="false" ht="12.8" hidden="false" customHeight="false" outlineLevel="0" collapsed="false">
      <c r="A1169" s="0" t="n">
        <v>104967</v>
      </c>
      <c r="B1169" s="0" t="n">
        <v>113032</v>
      </c>
      <c r="C1169" s="0" t="n">
        <v>126233</v>
      </c>
      <c r="D1169" s="0" t="s">
        <v>35</v>
      </c>
      <c r="E1169" s="0" t="s">
        <v>35</v>
      </c>
      <c r="F1169" s="0" t="s">
        <v>36</v>
      </c>
      <c r="G1169" s="0" t="s">
        <v>37</v>
      </c>
      <c r="H1169" s="0" t="s">
        <v>3943</v>
      </c>
      <c r="I1169" s="0" t="s">
        <v>3944</v>
      </c>
      <c r="J1169" s="0" t="s">
        <v>3945</v>
      </c>
      <c r="M1169" s="0" t="s">
        <v>3946</v>
      </c>
      <c r="N1169" s="0" t="s">
        <v>180</v>
      </c>
      <c r="O1169" s="0" t="s">
        <v>3918</v>
      </c>
      <c r="P1169" s="0" t="n">
        <v>1961</v>
      </c>
      <c r="Q1169" s="0" t="s">
        <v>39</v>
      </c>
      <c r="R1169" s="0" t="s">
        <v>3947</v>
      </c>
      <c r="S1169" s="0" t="s">
        <v>3948</v>
      </c>
      <c r="V1169" s="0" t="n">
        <v>1</v>
      </c>
      <c r="W1169" s="0" t="n">
        <v>1</v>
      </c>
      <c r="X1169" s="0" t="str">
        <f aca="false">"31811010648981"</f>
        <v>31811010648981</v>
      </c>
      <c r="Y1169" s="0" t="s">
        <v>39</v>
      </c>
      <c r="Z1169" s="0" t="s">
        <v>42</v>
      </c>
      <c r="AA1169" s="0" t="s">
        <v>43</v>
      </c>
      <c r="AE1169" s="1" t="s">
        <v>52</v>
      </c>
    </row>
    <row r="1170" customFormat="false" ht="12.8" hidden="false" customHeight="false" outlineLevel="0" collapsed="false">
      <c r="A1170" s="0" t="n">
        <v>104908</v>
      </c>
      <c r="B1170" s="0" t="n">
        <v>112964</v>
      </c>
      <c r="C1170" s="0" t="n">
        <v>126165</v>
      </c>
      <c r="D1170" s="0" t="s">
        <v>35</v>
      </c>
      <c r="E1170" s="0" t="s">
        <v>35</v>
      </c>
      <c r="F1170" s="0" t="s">
        <v>36</v>
      </c>
      <c r="G1170" s="0" t="s">
        <v>37</v>
      </c>
      <c r="H1170" s="0" t="s">
        <v>3949</v>
      </c>
      <c r="I1170" s="0" t="s">
        <v>3950</v>
      </c>
      <c r="J1170" s="0" t="s">
        <v>3949</v>
      </c>
      <c r="M1170" s="0" t="s">
        <v>3951</v>
      </c>
      <c r="N1170" s="0" t="n">
        <v>1960</v>
      </c>
      <c r="O1170" s="0" t="s">
        <v>3905</v>
      </c>
      <c r="P1170" s="0" t="n">
        <v>1960</v>
      </c>
      <c r="Q1170" s="0" t="s">
        <v>39</v>
      </c>
      <c r="R1170" s="0" t="s">
        <v>3952</v>
      </c>
      <c r="S1170" s="0" t="s">
        <v>3953</v>
      </c>
      <c r="V1170" s="0" t="n">
        <v>1</v>
      </c>
      <c r="W1170" s="0" t="n">
        <v>1</v>
      </c>
      <c r="X1170" s="0" t="str">
        <f aca="false">"31811010370065"</f>
        <v>31811010370065</v>
      </c>
      <c r="Y1170" s="0" t="s">
        <v>39</v>
      </c>
      <c r="Z1170" s="0" t="s">
        <v>42</v>
      </c>
      <c r="AA1170" s="0" t="s">
        <v>43</v>
      </c>
      <c r="AE1170" s="1" t="s">
        <v>52</v>
      </c>
    </row>
    <row r="1171" customFormat="false" ht="12.8" hidden="false" customHeight="false" outlineLevel="0" collapsed="false">
      <c r="A1171" s="0" t="n">
        <v>104907</v>
      </c>
      <c r="B1171" s="0" t="n">
        <v>112963</v>
      </c>
      <c r="C1171" s="0" t="n">
        <v>126164</v>
      </c>
      <c r="D1171" s="0" t="s">
        <v>35</v>
      </c>
      <c r="E1171" s="0" t="s">
        <v>35</v>
      </c>
      <c r="F1171" s="0" t="s">
        <v>36</v>
      </c>
      <c r="G1171" s="0" t="s">
        <v>37</v>
      </c>
      <c r="H1171" s="0" t="s">
        <v>3954</v>
      </c>
      <c r="I1171" s="0" t="s">
        <v>3955</v>
      </c>
      <c r="J1171" s="0" t="s">
        <v>3954</v>
      </c>
      <c r="M1171" s="0" t="s">
        <v>3956</v>
      </c>
      <c r="N1171" s="0" t="n">
        <v>1960</v>
      </c>
      <c r="O1171" s="0" t="s">
        <v>3905</v>
      </c>
      <c r="P1171" s="0" t="n">
        <v>1960</v>
      </c>
      <c r="Q1171" s="0" t="s">
        <v>39</v>
      </c>
      <c r="R1171" s="0" t="s">
        <v>3957</v>
      </c>
      <c r="S1171" s="0" t="s">
        <v>3958</v>
      </c>
      <c r="V1171" s="0" t="n">
        <v>1</v>
      </c>
      <c r="W1171" s="0" t="n">
        <v>1</v>
      </c>
      <c r="X1171" s="0" t="str">
        <f aca="false">"31811010369950"</f>
        <v>31811010369950</v>
      </c>
      <c r="Y1171" s="0" t="s">
        <v>39</v>
      </c>
      <c r="Z1171" s="0" t="s">
        <v>42</v>
      </c>
      <c r="AA1171" s="0" t="s">
        <v>43</v>
      </c>
      <c r="AE1171" s="1" t="s">
        <v>52</v>
      </c>
    </row>
    <row r="1172" customFormat="false" ht="12.8" hidden="false" customHeight="false" outlineLevel="0" collapsed="false">
      <c r="A1172" s="0" t="n">
        <v>104965</v>
      </c>
      <c r="B1172" s="0" t="n">
        <v>113029</v>
      </c>
      <c r="C1172" s="0" t="n">
        <v>126230</v>
      </c>
      <c r="D1172" s="0" t="s">
        <v>35</v>
      </c>
      <c r="E1172" s="0" t="s">
        <v>35</v>
      </c>
      <c r="F1172" s="0" t="s">
        <v>36</v>
      </c>
      <c r="G1172" s="0" t="s">
        <v>37</v>
      </c>
      <c r="H1172" s="0" t="s">
        <v>3959</v>
      </c>
      <c r="I1172" s="0" t="s">
        <v>3960</v>
      </c>
      <c r="J1172" s="0" t="s">
        <v>3959</v>
      </c>
      <c r="M1172" s="0" t="s">
        <v>3961</v>
      </c>
      <c r="N1172" s="0" t="n">
        <v>1961</v>
      </c>
      <c r="O1172" s="0" t="s">
        <v>3905</v>
      </c>
      <c r="P1172" s="0" t="n">
        <v>1961</v>
      </c>
      <c r="Q1172" s="0" t="s">
        <v>39</v>
      </c>
      <c r="R1172" s="0" t="s">
        <v>3962</v>
      </c>
      <c r="S1172" s="0" t="s">
        <v>3963</v>
      </c>
      <c r="V1172" s="0" t="n">
        <v>1</v>
      </c>
      <c r="W1172" s="0" t="n">
        <v>1</v>
      </c>
      <c r="X1172" s="0" t="str">
        <f aca="false">"31811010369992"</f>
        <v>31811010369992</v>
      </c>
      <c r="Y1172" s="0" t="s">
        <v>39</v>
      </c>
      <c r="Z1172" s="0" t="s">
        <v>42</v>
      </c>
      <c r="AA1172" s="0" t="s">
        <v>43</v>
      </c>
      <c r="AE1172" s="1" t="s">
        <v>52</v>
      </c>
    </row>
    <row r="1173" customFormat="false" ht="12.8" hidden="false" customHeight="false" outlineLevel="0" collapsed="false">
      <c r="A1173" s="0" t="n">
        <v>104965</v>
      </c>
      <c r="B1173" s="0" t="n">
        <v>113030</v>
      </c>
      <c r="C1173" s="0" t="n">
        <v>126231</v>
      </c>
      <c r="D1173" s="0" t="s">
        <v>35</v>
      </c>
      <c r="E1173" s="0" t="s">
        <v>35</v>
      </c>
      <c r="F1173" s="0" t="s">
        <v>36</v>
      </c>
      <c r="G1173" s="0" t="s">
        <v>37</v>
      </c>
      <c r="H1173" s="0" t="s">
        <v>3959</v>
      </c>
      <c r="I1173" s="0" t="s">
        <v>3960</v>
      </c>
      <c r="J1173" s="0" t="s">
        <v>3959</v>
      </c>
      <c r="M1173" s="0" t="s">
        <v>3961</v>
      </c>
      <c r="N1173" s="0" t="n">
        <v>1961</v>
      </c>
      <c r="O1173" s="0" t="s">
        <v>3905</v>
      </c>
      <c r="P1173" s="0" t="n">
        <v>1961</v>
      </c>
      <c r="Q1173" s="0" t="s">
        <v>39</v>
      </c>
      <c r="R1173" s="0" t="s">
        <v>3962</v>
      </c>
      <c r="S1173" s="0" t="s">
        <v>3963</v>
      </c>
      <c r="V1173" s="0" t="n">
        <v>2</v>
      </c>
      <c r="W1173" s="0" t="n">
        <v>1</v>
      </c>
      <c r="X1173" s="0" t="str">
        <f aca="false">"31811010370032"</f>
        <v>31811010370032</v>
      </c>
      <c r="Y1173" s="0" t="s">
        <v>39</v>
      </c>
      <c r="Z1173" s="0" t="s">
        <v>42</v>
      </c>
      <c r="AA1173" s="0" t="s">
        <v>43</v>
      </c>
      <c r="AE1173" s="1" t="s">
        <v>52</v>
      </c>
    </row>
    <row r="1174" customFormat="false" ht="12.8" hidden="false" customHeight="false" outlineLevel="0" collapsed="false">
      <c r="A1174" s="0" t="n">
        <v>104964</v>
      </c>
      <c r="B1174" s="0" t="n">
        <v>113028</v>
      </c>
      <c r="C1174" s="0" t="n">
        <v>126229</v>
      </c>
      <c r="D1174" s="0" t="s">
        <v>35</v>
      </c>
      <c r="E1174" s="0" t="s">
        <v>35</v>
      </c>
      <c r="F1174" s="0" t="s">
        <v>36</v>
      </c>
      <c r="G1174" s="0" t="s">
        <v>37</v>
      </c>
      <c r="H1174" s="0" t="s">
        <v>3964</v>
      </c>
      <c r="I1174" s="0" t="s">
        <v>3965</v>
      </c>
      <c r="J1174" s="0" t="s">
        <v>3966</v>
      </c>
      <c r="M1174" s="0" t="s">
        <v>3967</v>
      </c>
      <c r="N1174" s="0" t="n">
        <v>1962</v>
      </c>
      <c r="O1174" s="0" t="s">
        <v>3905</v>
      </c>
      <c r="P1174" s="0" t="n">
        <v>1962</v>
      </c>
      <c r="Q1174" s="0" t="s">
        <v>39</v>
      </c>
      <c r="R1174" s="0" t="s">
        <v>3968</v>
      </c>
      <c r="S1174" s="0" t="s">
        <v>3969</v>
      </c>
      <c r="V1174" s="0" t="n">
        <v>1</v>
      </c>
      <c r="W1174" s="0" t="n">
        <v>1</v>
      </c>
      <c r="X1174" s="0" t="str">
        <f aca="false">"31811010370073"</f>
        <v>31811010370073</v>
      </c>
      <c r="Y1174" s="0" t="s">
        <v>39</v>
      </c>
      <c r="Z1174" s="0" t="s">
        <v>42</v>
      </c>
      <c r="AA1174" s="0" t="s">
        <v>43</v>
      </c>
      <c r="AE1174" s="1" t="s">
        <v>52</v>
      </c>
    </row>
    <row r="1175" customFormat="false" ht="12.8" hidden="false" customHeight="false" outlineLevel="0" collapsed="false">
      <c r="A1175" s="0" t="n">
        <v>215328</v>
      </c>
      <c r="B1175" s="0" t="n">
        <v>236226</v>
      </c>
      <c r="C1175" s="0" t="n">
        <v>265948</v>
      </c>
      <c r="D1175" s="0" t="s">
        <v>35</v>
      </c>
      <c r="E1175" s="0" t="s">
        <v>35</v>
      </c>
      <c r="F1175" s="0" t="s">
        <v>36</v>
      </c>
      <c r="G1175" s="0" t="s">
        <v>37</v>
      </c>
      <c r="H1175" s="0" t="s">
        <v>3970</v>
      </c>
      <c r="I1175" s="0" t="s">
        <v>3971</v>
      </c>
      <c r="J1175" s="0" t="s">
        <v>3972</v>
      </c>
      <c r="M1175" s="0" t="s">
        <v>3973</v>
      </c>
      <c r="N1175" s="0" t="s">
        <v>3974</v>
      </c>
      <c r="O1175" s="0" t="s">
        <v>3810</v>
      </c>
      <c r="P1175" s="0" t="n">
        <v>1941</v>
      </c>
      <c r="Q1175" s="0" t="s">
        <v>39</v>
      </c>
      <c r="R1175" s="0" t="s">
        <v>3975</v>
      </c>
      <c r="S1175" s="0" t="s">
        <v>3976</v>
      </c>
      <c r="V1175" s="0" t="n">
        <v>1</v>
      </c>
      <c r="W1175" s="0" t="n">
        <v>1</v>
      </c>
      <c r="X1175" s="0" t="str">
        <f aca="false">"31811010378365"</f>
        <v>31811010378365</v>
      </c>
      <c r="Y1175" s="0" t="s">
        <v>39</v>
      </c>
      <c r="Z1175" s="0" t="s">
        <v>42</v>
      </c>
      <c r="AA1175" s="0" t="s">
        <v>43</v>
      </c>
      <c r="AE1175" s="1" t="s">
        <v>52</v>
      </c>
    </row>
    <row r="1176" customFormat="false" ht="12.8" hidden="false" customHeight="false" outlineLevel="0" collapsed="false">
      <c r="A1176" s="0" t="n">
        <v>104940</v>
      </c>
      <c r="B1176" s="0" t="n">
        <v>113003</v>
      </c>
      <c r="C1176" s="0" t="n">
        <v>126204</v>
      </c>
      <c r="D1176" s="0" t="s">
        <v>35</v>
      </c>
      <c r="E1176" s="0" t="s">
        <v>35</v>
      </c>
      <c r="F1176" s="0" t="s">
        <v>36</v>
      </c>
      <c r="G1176" s="0" t="s">
        <v>37</v>
      </c>
      <c r="H1176" s="0" t="s">
        <v>3977</v>
      </c>
      <c r="I1176" s="0" t="s">
        <v>3978</v>
      </c>
      <c r="J1176" s="0" t="s">
        <v>3977</v>
      </c>
      <c r="M1176" s="0" t="s">
        <v>3979</v>
      </c>
      <c r="N1176" s="0" t="n">
        <v>1962</v>
      </c>
      <c r="O1176" s="0" t="s">
        <v>3905</v>
      </c>
      <c r="P1176" s="0" t="n">
        <v>1962</v>
      </c>
      <c r="Q1176" s="0" t="s">
        <v>39</v>
      </c>
      <c r="R1176" s="0" t="s">
        <v>3980</v>
      </c>
      <c r="S1176" s="0" t="s">
        <v>3981</v>
      </c>
      <c r="V1176" s="0" t="n">
        <v>1</v>
      </c>
      <c r="W1176" s="0" t="n">
        <v>1</v>
      </c>
      <c r="X1176" s="0" t="str">
        <f aca="false">"31811010369968"</f>
        <v>31811010369968</v>
      </c>
      <c r="Y1176" s="0" t="s">
        <v>39</v>
      </c>
      <c r="Z1176" s="0" t="s">
        <v>42</v>
      </c>
      <c r="AA1176" s="0" t="s">
        <v>43</v>
      </c>
      <c r="AE1176" s="1" t="s">
        <v>52</v>
      </c>
    </row>
    <row r="1177" customFormat="false" ht="12.8" hidden="false" customHeight="false" outlineLevel="0" collapsed="false">
      <c r="A1177" s="0" t="n">
        <v>104970</v>
      </c>
      <c r="B1177" s="0" t="n">
        <v>113036</v>
      </c>
      <c r="C1177" s="0" t="n">
        <v>126237</v>
      </c>
      <c r="D1177" s="0" t="s">
        <v>35</v>
      </c>
      <c r="E1177" s="0" t="s">
        <v>35</v>
      </c>
      <c r="F1177" s="0" t="s">
        <v>36</v>
      </c>
      <c r="G1177" s="0" t="s">
        <v>37</v>
      </c>
      <c r="H1177" s="0" t="s">
        <v>3982</v>
      </c>
      <c r="I1177" s="0" t="s">
        <v>3983</v>
      </c>
      <c r="J1177" s="0" t="s">
        <v>3982</v>
      </c>
      <c r="M1177" s="0" t="s">
        <v>3984</v>
      </c>
      <c r="N1177" s="0" t="n">
        <v>1962</v>
      </c>
      <c r="O1177" s="0" t="s">
        <v>3905</v>
      </c>
      <c r="P1177" s="0" t="n">
        <v>1962</v>
      </c>
      <c r="Q1177" s="0" t="s">
        <v>39</v>
      </c>
      <c r="R1177" s="0" t="s">
        <v>3985</v>
      </c>
      <c r="S1177" s="0" t="s">
        <v>3986</v>
      </c>
      <c r="V1177" s="0" t="n">
        <v>1</v>
      </c>
      <c r="W1177" s="0" t="n">
        <v>1</v>
      </c>
      <c r="X1177" s="0" t="str">
        <f aca="false">"31811010370008"</f>
        <v>31811010370008</v>
      </c>
      <c r="Y1177" s="0" t="s">
        <v>39</v>
      </c>
      <c r="Z1177" s="0" t="s">
        <v>42</v>
      </c>
      <c r="AA1177" s="0" t="s">
        <v>43</v>
      </c>
      <c r="AE1177" s="1" t="s">
        <v>52</v>
      </c>
    </row>
    <row r="1178" customFormat="false" ht="12.8" hidden="false" customHeight="false" outlineLevel="0" collapsed="false">
      <c r="A1178" s="0" t="n">
        <v>104906</v>
      </c>
      <c r="B1178" s="0" t="n">
        <v>112962</v>
      </c>
      <c r="C1178" s="0" t="n">
        <v>126163</v>
      </c>
      <c r="D1178" s="0" t="s">
        <v>35</v>
      </c>
      <c r="E1178" s="0" t="s">
        <v>35</v>
      </c>
      <c r="F1178" s="0" t="s">
        <v>36</v>
      </c>
      <c r="G1178" s="0" t="s">
        <v>37</v>
      </c>
      <c r="H1178" s="0" t="s">
        <v>3987</v>
      </c>
      <c r="I1178" s="0" t="s">
        <v>3988</v>
      </c>
      <c r="J1178" s="0" t="s">
        <v>3987</v>
      </c>
      <c r="M1178" s="0" t="s">
        <v>3989</v>
      </c>
      <c r="N1178" s="0" t="n">
        <v>1963</v>
      </c>
      <c r="O1178" s="0" t="s">
        <v>3905</v>
      </c>
      <c r="P1178" s="0" t="n">
        <v>1963</v>
      </c>
      <c r="Q1178" s="0" t="s">
        <v>39</v>
      </c>
      <c r="R1178" s="0" t="s">
        <v>3990</v>
      </c>
      <c r="S1178" s="0" t="s">
        <v>3991</v>
      </c>
      <c r="V1178" s="0" t="n">
        <v>1</v>
      </c>
      <c r="W1178" s="0" t="n">
        <v>1</v>
      </c>
      <c r="X1178" s="0" t="str">
        <f aca="false">"31811010370040"</f>
        <v>31811010370040</v>
      </c>
      <c r="Y1178" s="0" t="s">
        <v>39</v>
      </c>
      <c r="Z1178" s="0" t="s">
        <v>42</v>
      </c>
      <c r="AA1178" s="0" t="s">
        <v>43</v>
      </c>
      <c r="AE1178" s="1" t="s">
        <v>52</v>
      </c>
    </row>
    <row r="1179" customFormat="false" ht="12.8" hidden="false" customHeight="false" outlineLevel="0" collapsed="false">
      <c r="A1179" s="0" t="n">
        <v>104905</v>
      </c>
      <c r="B1179" s="0" t="n">
        <v>112961</v>
      </c>
      <c r="C1179" s="0" t="n">
        <v>126162</v>
      </c>
      <c r="D1179" s="0" t="s">
        <v>35</v>
      </c>
      <c r="E1179" s="0" t="s">
        <v>35</v>
      </c>
      <c r="F1179" s="0" t="s">
        <v>36</v>
      </c>
      <c r="G1179" s="0" t="s">
        <v>37</v>
      </c>
      <c r="H1179" s="0" t="s">
        <v>3992</v>
      </c>
      <c r="I1179" s="0" t="s">
        <v>3993</v>
      </c>
      <c r="J1179" s="0" t="s">
        <v>3992</v>
      </c>
      <c r="M1179" s="0" t="s">
        <v>3994</v>
      </c>
      <c r="N1179" s="0" t="n">
        <v>1964</v>
      </c>
      <c r="O1179" s="0" t="s">
        <v>3905</v>
      </c>
      <c r="P1179" s="0" t="n">
        <v>1964</v>
      </c>
      <c r="Q1179" s="0" t="s">
        <v>39</v>
      </c>
      <c r="R1179" s="0" t="s">
        <v>3995</v>
      </c>
      <c r="S1179" s="0" t="s">
        <v>3996</v>
      </c>
      <c r="V1179" s="0" t="n">
        <v>1</v>
      </c>
      <c r="W1179" s="0" t="n">
        <v>1</v>
      </c>
      <c r="X1179" s="0" t="str">
        <f aca="false">"31811010370081"</f>
        <v>31811010370081</v>
      </c>
      <c r="Y1179" s="0" t="s">
        <v>39</v>
      </c>
      <c r="Z1179" s="0" t="s">
        <v>42</v>
      </c>
      <c r="AA1179" s="0" t="s">
        <v>43</v>
      </c>
      <c r="AE1179" s="1" t="s">
        <v>52</v>
      </c>
    </row>
    <row r="1180" customFormat="false" ht="12.8" hidden="false" customHeight="false" outlineLevel="0" collapsed="false">
      <c r="A1180" s="0" t="n">
        <v>349827</v>
      </c>
      <c r="B1180" s="0" t="n">
        <v>379032</v>
      </c>
      <c r="C1180" s="0" t="n">
        <v>421836</v>
      </c>
      <c r="D1180" s="0" t="s">
        <v>35</v>
      </c>
      <c r="E1180" s="0" t="s">
        <v>35</v>
      </c>
      <c r="F1180" s="0" t="s">
        <v>36</v>
      </c>
      <c r="G1180" s="0" t="s">
        <v>37</v>
      </c>
      <c r="H1180" s="0" t="s">
        <v>3997</v>
      </c>
      <c r="I1180" s="0" t="s">
        <v>3998</v>
      </c>
      <c r="J1180" s="0" t="s">
        <v>3997</v>
      </c>
      <c r="M1180" s="0" t="s">
        <v>3999</v>
      </c>
      <c r="N1180" s="0" t="n">
        <v>1964</v>
      </c>
      <c r="O1180" s="0" t="s">
        <v>3905</v>
      </c>
      <c r="P1180" s="0" t="n">
        <v>1964</v>
      </c>
      <c r="Q1180" s="0" t="s">
        <v>39</v>
      </c>
      <c r="R1180" s="0" t="s">
        <v>4000</v>
      </c>
      <c r="S1180" s="0" t="s">
        <v>4001</v>
      </c>
      <c r="V1180" s="0" t="n">
        <v>1</v>
      </c>
      <c r="W1180" s="0" t="n">
        <v>1</v>
      </c>
      <c r="X1180" s="0" t="str">
        <f aca="false">"31811010370214"</f>
        <v>31811010370214</v>
      </c>
      <c r="Y1180" s="0" t="s">
        <v>39</v>
      </c>
      <c r="Z1180" s="0" t="s">
        <v>42</v>
      </c>
      <c r="AA1180" s="0" t="s">
        <v>43</v>
      </c>
      <c r="AE1180" s="1" t="s">
        <v>52</v>
      </c>
    </row>
    <row r="1181" customFormat="false" ht="12.8" hidden="false" customHeight="false" outlineLevel="0" collapsed="false">
      <c r="A1181" s="0" t="n">
        <v>104910</v>
      </c>
      <c r="B1181" s="0" t="n">
        <v>112967</v>
      </c>
      <c r="C1181" s="0" t="n">
        <v>126168</v>
      </c>
      <c r="D1181" s="0" t="s">
        <v>35</v>
      </c>
      <c r="E1181" s="0" t="s">
        <v>35</v>
      </c>
      <c r="F1181" s="0" t="s">
        <v>36</v>
      </c>
      <c r="G1181" s="0" t="s">
        <v>37</v>
      </c>
      <c r="H1181" s="0" t="s">
        <v>4002</v>
      </c>
      <c r="I1181" s="0" t="s">
        <v>4003</v>
      </c>
      <c r="J1181" s="0" t="s">
        <v>4002</v>
      </c>
      <c r="M1181" s="0" t="s">
        <v>4004</v>
      </c>
      <c r="N1181" s="0" t="s">
        <v>952</v>
      </c>
      <c r="O1181" s="0" t="s">
        <v>3918</v>
      </c>
      <c r="P1181" s="0" t="n">
        <v>1965</v>
      </c>
      <c r="Q1181" s="0" t="s">
        <v>39</v>
      </c>
      <c r="R1181" s="0" t="s">
        <v>4005</v>
      </c>
      <c r="S1181" s="0" t="s">
        <v>4006</v>
      </c>
      <c r="V1181" s="0" t="n">
        <v>1</v>
      </c>
      <c r="W1181" s="0" t="n">
        <v>1</v>
      </c>
      <c r="X1181" s="0" t="str">
        <f aca="false">"31811010370222"</f>
        <v>31811010370222</v>
      </c>
      <c r="Y1181" s="0" t="s">
        <v>39</v>
      </c>
      <c r="Z1181" s="0" t="s">
        <v>42</v>
      </c>
      <c r="AA1181" s="0" t="s">
        <v>43</v>
      </c>
      <c r="AE1181" s="1" t="s">
        <v>52</v>
      </c>
    </row>
    <row r="1182" customFormat="false" ht="12.8" hidden="false" customHeight="false" outlineLevel="0" collapsed="false">
      <c r="A1182" s="0" t="n">
        <v>104772</v>
      </c>
      <c r="B1182" s="0" t="n">
        <v>112822</v>
      </c>
      <c r="C1182" s="0" t="n">
        <v>126023</v>
      </c>
      <c r="D1182" s="0" t="s">
        <v>35</v>
      </c>
      <c r="E1182" s="0" t="s">
        <v>35</v>
      </c>
      <c r="F1182" s="0" t="s">
        <v>36</v>
      </c>
      <c r="G1182" s="0" t="s">
        <v>227</v>
      </c>
      <c r="H1182" s="0" t="s">
        <v>4007</v>
      </c>
      <c r="I1182" s="0" t="s">
        <v>4008</v>
      </c>
      <c r="J1182" s="0" t="s">
        <v>4009</v>
      </c>
      <c r="M1182" s="0" t="s">
        <v>4010</v>
      </c>
      <c r="N1182" s="0" t="s">
        <v>4011</v>
      </c>
      <c r="O1182" s="0" t="s">
        <v>3819</v>
      </c>
      <c r="P1182" s="0" t="n">
        <v>1942</v>
      </c>
      <c r="Q1182" s="0" t="s">
        <v>39</v>
      </c>
      <c r="R1182" s="0" t="s">
        <v>4012</v>
      </c>
      <c r="S1182" s="0" t="s">
        <v>4013</v>
      </c>
      <c r="V1182" s="0" t="n">
        <v>1</v>
      </c>
      <c r="W1182" s="0" t="n">
        <v>1</v>
      </c>
      <c r="X1182" s="0" t="str">
        <f aca="false">"31811010941618"</f>
        <v>31811010941618</v>
      </c>
      <c r="Y1182" s="0" t="s">
        <v>39</v>
      </c>
      <c r="Z1182" s="0" t="s">
        <v>42</v>
      </c>
      <c r="AA1182" s="0" t="s">
        <v>43</v>
      </c>
      <c r="AE1182" s="1" t="s">
        <v>52</v>
      </c>
    </row>
    <row r="1183" customFormat="false" ht="12.8" hidden="false" customHeight="false" outlineLevel="0" collapsed="false">
      <c r="A1183" s="0" t="n">
        <v>10359</v>
      </c>
      <c r="B1183" s="0" t="n">
        <v>11981</v>
      </c>
      <c r="C1183" s="0" t="n">
        <v>13898</v>
      </c>
      <c r="D1183" s="0" t="s">
        <v>35</v>
      </c>
      <c r="E1183" s="0" t="s">
        <v>35</v>
      </c>
      <c r="F1183" s="0" t="s">
        <v>36</v>
      </c>
      <c r="G1183" s="0" t="s">
        <v>37</v>
      </c>
      <c r="H1183" s="0" t="s">
        <v>4014</v>
      </c>
      <c r="I1183" s="0" t="s">
        <v>4015</v>
      </c>
      <c r="J1183" s="0" t="s">
        <v>4014</v>
      </c>
      <c r="M1183" s="0" t="s">
        <v>4016</v>
      </c>
      <c r="N1183" s="0" t="n">
        <v>1967</v>
      </c>
      <c r="O1183" s="0" t="s">
        <v>3905</v>
      </c>
      <c r="P1183" s="0" t="n">
        <v>1967</v>
      </c>
      <c r="Q1183" s="0" t="s">
        <v>39</v>
      </c>
      <c r="R1183" s="0" t="s">
        <v>4017</v>
      </c>
      <c r="S1183" s="0" t="s">
        <v>4018</v>
      </c>
      <c r="V1183" s="0" t="n">
        <v>1</v>
      </c>
      <c r="W1183" s="0" t="n">
        <v>1</v>
      </c>
      <c r="X1183" s="0" t="str">
        <f aca="false">"31811010370230"</f>
        <v>31811010370230</v>
      </c>
      <c r="Y1183" s="0" t="s">
        <v>39</v>
      </c>
      <c r="Z1183" s="0" t="s">
        <v>42</v>
      </c>
      <c r="AA1183" s="0" t="s">
        <v>43</v>
      </c>
      <c r="AE1183" s="1" t="s">
        <v>52</v>
      </c>
    </row>
    <row r="1184" customFormat="false" ht="12.8" hidden="false" customHeight="false" outlineLevel="0" collapsed="false">
      <c r="A1184" s="0" t="n">
        <v>104911</v>
      </c>
      <c r="B1184" s="0" t="n">
        <v>112968</v>
      </c>
      <c r="C1184" s="0" t="n">
        <v>126169</v>
      </c>
      <c r="D1184" s="0" t="s">
        <v>35</v>
      </c>
      <c r="E1184" s="0" t="s">
        <v>35</v>
      </c>
      <c r="F1184" s="0" t="s">
        <v>36</v>
      </c>
      <c r="G1184" s="0" t="s">
        <v>37</v>
      </c>
      <c r="H1184" s="0" t="s">
        <v>4019</v>
      </c>
      <c r="I1184" s="0" t="s">
        <v>4020</v>
      </c>
      <c r="J1184" s="0" t="s">
        <v>4021</v>
      </c>
      <c r="M1184" s="0" t="s">
        <v>4022</v>
      </c>
      <c r="N1184" s="0" t="s">
        <v>365</v>
      </c>
      <c r="O1184" s="0" t="s">
        <v>3918</v>
      </c>
      <c r="P1184" s="0" t="n">
        <v>1966</v>
      </c>
      <c r="Q1184" s="0" t="s">
        <v>39</v>
      </c>
      <c r="R1184" s="0" t="s">
        <v>4023</v>
      </c>
      <c r="S1184" s="0" t="s">
        <v>4024</v>
      </c>
      <c r="V1184" s="0" t="n">
        <v>1</v>
      </c>
      <c r="W1184" s="0" t="n">
        <v>1</v>
      </c>
      <c r="X1184" s="0" t="str">
        <f aca="false">"31811010370248"</f>
        <v>31811010370248</v>
      </c>
      <c r="Y1184" s="0" t="s">
        <v>39</v>
      </c>
      <c r="Z1184" s="0" t="s">
        <v>42</v>
      </c>
      <c r="AA1184" s="0" t="s">
        <v>43</v>
      </c>
      <c r="AE1184" s="1" t="s">
        <v>52</v>
      </c>
    </row>
    <row r="1185" customFormat="false" ht="12.8" hidden="false" customHeight="false" outlineLevel="0" collapsed="false">
      <c r="A1185" s="0" t="n">
        <v>104889</v>
      </c>
      <c r="B1185" s="0" t="n">
        <v>112945</v>
      </c>
      <c r="C1185" s="0" t="n">
        <v>126146</v>
      </c>
      <c r="D1185" s="0" t="s">
        <v>35</v>
      </c>
      <c r="E1185" s="0" t="s">
        <v>35</v>
      </c>
      <c r="F1185" s="0" t="s">
        <v>36</v>
      </c>
      <c r="G1185" s="0" t="s">
        <v>37</v>
      </c>
      <c r="H1185" s="0" t="s">
        <v>4025</v>
      </c>
      <c r="I1185" s="0" t="s">
        <v>4026</v>
      </c>
      <c r="J1185" s="0" t="s">
        <v>4027</v>
      </c>
      <c r="M1185" s="0" t="s">
        <v>4028</v>
      </c>
      <c r="N1185" s="0" t="n">
        <v>1966</v>
      </c>
      <c r="O1185" s="0" t="s">
        <v>3905</v>
      </c>
      <c r="P1185" s="0" t="n">
        <v>1966</v>
      </c>
      <c r="Q1185" s="0" t="s">
        <v>39</v>
      </c>
      <c r="R1185" s="0" t="s">
        <v>4029</v>
      </c>
      <c r="S1185" s="0" t="s">
        <v>4030</v>
      </c>
      <c r="V1185" s="0" t="n">
        <v>1</v>
      </c>
      <c r="W1185" s="0" t="n">
        <v>1</v>
      </c>
      <c r="X1185" s="0" t="str">
        <f aca="false">"31811010370206"</f>
        <v>31811010370206</v>
      </c>
      <c r="Y1185" s="0" t="s">
        <v>39</v>
      </c>
      <c r="Z1185" s="0" t="s">
        <v>42</v>
      </c>
      <c r="AA1185" s="0" t="s">
        <v>43</v>
      </c>
      <c r="AE1185" s="1" t="s">
        <v>52</v>
      </c>
    </row>
    <row r="1186" customFormat="false" ht="12.8" hidden="false" customHeight="false" outlineLevel="0" collapsed="false">
      <c r="A1186" s="0" t="n">
        <v>104939</v>
      </c>
      <c r="B1186" s="0" t="n">
        <v>113000</v>
      </c>
      <c r="C1186" s="0" t="n">
        <v>126201</v>
      </c>
      <c r="D1186" s="0" t="s">
        <v>35</v>
      </c>
      <c r="E1186" s="0" t="s">
        <v>35</v>
      </c>
      <c r="F1186" s="0" t="s">
        <v>36</v>
      </c>
      <c r="G1186" s="0" t="s">
        <v>37</v>
      </c>
      <c r="H1186" s="0" t="s">
        <v>4031</v>
      </c>
      <c r="I1186" s="0" t="s">
        <v>4032</v>
      </c>
      <c r="J1186" s="0" t="s">
        <v>4033</v>
      </c>
      <c r="M1186" s="0" t="s">
        <v>4034</v>
      </c>
      <c r="N1186" s="0" t="n">
        <v>1967</v>
      </c>
      <c r="O1186" s="0" t="s">
        <v>3905</v>
      </c>
      <c r="P1186" s="0" t="n">
        <v>1967</v>
      </c>
      <c r="Q1186" s="0" t="s">
        <v>39</v>
      </c>
      <c r="R1186" s="0" t="s">
        <v>4035</v>
      </c>
      <c r="S1186" s="0" t="s">
        <v>4036</v>
      </c>
      <c r="V1186" s="0" t="n">
        <v>1</v>
      </c>
      <c r="W1186" s="0" t="n">
        <v>1</v>
      </c>
      <c r="X1186" s="0" t="str">
        <f aca="false">"31811010370198"</f>
        <v>31811010370198</v>
      </c>
      <c r="Y1186" s="0" t="s">
        <v>39</v>
      </c>
      <c r="Z1186" s="0" t="s">
        <v>42</v>
      </c>
      <c r="AA1186" s="0" t="s">
        <v>43</v>
      </c>
      <c r="AE1186" s="1" t="s">
        <v>52</v>
      </c>
    </row>
    <row r="1187" customFormat="false" ht="12.8" hidden="false" customHeight="false" outlineLevel="0" collapsed="false">
      <c r="A1187" s="0" t="n">
        <v>104871</v>
      </c>
      <c r="B1187" s="0" t="n">
        <v>112925</v>
      </c>
      <c r="C1187" s="0" t="n">
        <v>126126</v>
      </c>
      <c r="D1187" s="0" t="s">
        <v>35</v>
      </c>
      <c r="E1187" s="0" t="s">
        <v>35</v>
      </c>
      <c r="F1187" s="0" t="s">
        <v>36</v>
      </c>
      <c r="G1187" s="0" t="s">
        <v>37</v>
      </c>
      <c r="H1187" s="0" t="s">
        <v>4037</v>
      </c>
      <c r="I1187" s="0" t="s">
        <v>4038</v>
      </c>
      <c r="J1187" s="0" t="s">
        <v>4039</v>
      </c>
      <c r="M1187" s="0" t="s">
        <v>4040</v>
      </c>
      <c r="N1187" s="0" t="s">
        <v>333</v>
      </c>
      <c r="O1187" s="0" t="s">
        <v>3918</v>
      </c>
      <c r="P1187" s="0" t="n">
        <v>1968</v>
      </c>
      <c r="Q1187" s="0" t="s">
        <v>39</v>
      </c>
      <c r="R1187" s="0" t="s">
        <v>4041</v>
      </c>
      <c r="S1187" s="0" t="s">
        <v>4042</v>
      </c>
      <c r="V1187" s="0" t="n">
        <v>1</v>
      </c>
      <c r="W1187" s="0" t="n">
        <v>1</v>
      </c>
      <c r="X1187" s="0" t="str">
        <f aca="false">"31811010370180"</f>
        <v>31811010370180</v>
      </c>
      <c r="Y1187" s="0" t="s">
        <v>39</v>
      </c>
      <c r="Z1187" s="0" t="s">
        <v>42</v>
      </c>
      <c r="AA1187" s="0" t="s">
        <v>43</v>
      </c>
      <c r="AE1187" s="1" t="s">
        <v>52</v>
      </c>
      <c r="AH1187" s="1" t="s">
        <v>4043</v>
      </c>
    </row>
    <row r="1188" customFormat="false" ht="12.8" hidden="false" customHeight="false" outlineLevel="0" collapsed="false">
      <c r="A1188" s="0" t="n">
        <v>104871</v>
      </c>
      <c r="B1188" s="0" t="n">
        <v>112926</v>
      </c>
      <c r="C1188" s="0" t="n">
        <v>126127</v>
      </c>
      <c r="D1188" s="0" t="s">
        <v>35</v>
      </c>
      <c r="E1188" s="0" t="s">
        <v>35</v>
      </c>
      <c r="F1188" s="0" t="s">
        <v>36</v>
      </c>
      <c r="G1188" s="0" t="s">
        <v>37</v>
      </c>
      <c r="H1188" s="0" t="s">
        <v>4037</v>
      </c>
      <c r="I1188" s="0" t="s">
        <v>4038</v>
      </c>
      <c r="J1188" s="0" t="s">
        <v>4039</v>
      </c>
      <c r="M1188" s="0" t="s">
        <v>4040</v>
      </c>
      <c r="N1188" s="0" t="s">
        <v>333</v>
      </c>
      <c r="O1188" s="0" t="s">
        <v>3918</v>
      </c>
      <c r="P1188" s="0" t="n">
        <v>1968</v>
      </c>
      <c r="Q1188" s="0" t="s">
        <v>39</v>
      </c>
      <c r="R1188" s="0" t="s">
        <v>4041</v>
      </c>
      <c r="S1188" s="0" t="s">
        <v>4042</v>
      </c>
      <c r="V1188" s="0" t="n">
        <v>2</v>
      </c>
      <c r="W1188" s="0" t="n">
        <v>1</v>
      </c>
      <c r="X1188" s="0" t="str">
        <f aca="false">"31811010370172"</f>
        <v>31811010370172</v>
      </c>
      <c r="Y1188" s="0" t="s">
        <v>39</v>
      </c>
      <c r="Z1188" s="0" t="s">
        <v>42</v>
      </c>
      <c r="AA1188" s="0" t="s">
        <v>43</v>
      </c>
      <c r="AE1188" s="1" t="s">
        <v>52</v>
      </c>
      <c r="AH1188" s="1" t="s">
        <v>4044</v>
      </c>
    </row>
    <row r="1189" customFormat="false" ht="12.8" hidden="false" customHeight="false" outlineLevel="0" collapsed="false">
      <c r="A1189" s="0" t="n">
        <v>104969</v>
      </c>
      <c r="B1189" s="0" t="n">
        <v>113035</v>
      </c>
      <c r="C1189" s="0" t="n">
        <v>126236</v>
      </c>
      <c r="D1189" s="0" t="s">
        <v>35</v>
      </c>
      <c r="E1189" s="0" t="s">
        <v>35</v>
      </c>
      <c r="F1189" s="0" t="s">
        <v>36</v>
      </c>
      <c r="G1189" s="0" t="s">
        <v>37</v>
      </c>
      <c r="H1189" s="0" t="s">
        <v>4045</v>
      </c>
      <c r="I1189" s="0" t="s">
        <v>4046</v>
      </c>
      <c r="J1189" s="0" t="s">
        <v>4045</v>
      </c>
      <c r="M1189" s="0" t="s">
        <v>4047</v>
      </c>
      <c r="N1189" s="0" t="n">
        <v>1968</v>
      </c>
      <c r="O1189" s="0" t="s">
        <v>3905</v>
      </c>
      <c r="P1189" s="0" t="n">
        <v>1968</v>
      </c>
      <c r="Q1189" s="0" t="s">
        <v>39</v>
      </c>
      <c r="R1189" s="0" t="s">
        <v>4048</v>
      </c>
      <c r="S1189" s="0" t="s">
        <v>4049</v>
      </c>
      <c r="V1189" s="0" t="n">
        <v>1</v>
      </c>
      <c r="W1189" s="0" t="n">
        <v>1</v>
      </c>
      <c r="X1189" s="0" t="str">
        <f aca="false">"31811010370131"</f>
        <v>31811010370131</v>
      </c>
      <c r="Y1189" s="0" t="s">
        <v>39</v>
      </c>
      <c r="Z1189" s="0" t="s">
        <v>42</v>
      </c>
      <c r="AA1189" s="0" t="s">
        <v>43</v>
      </c>
      <c r="AE1189" s="1" t="s">
        <v>52</v>
      </c>
    </row>
    <row r="1190" customFormat="false" ht="12.8" hidden="false" customHeight="false" outlineLevel="0" collapsed="false">
      <c r="A1190" s="0" t="n">
        <v>324645</v>
      </c>
      <c r="B1190" s="0" t="n">
        <v>353031</v>
      </c>
      <c r="C1190" s="0" t="n">
        <v>393972</v>
      </c>
      <c r="D1190" s="0" t="s">
        <v>35</v>
      </c>
      <c r="E1190" s="0" t="s">
        <v>35</v>
      </c>
      <c r="F1190" s="0" t="s">
        <v>36</v>
      </c>
      <c r="G1190" s="0" t="s">
        <v>37</v>
      </c>
      <c r="H1190" s="0" t="s">
        <v>4050</v>
      </c>
      <c r="I1190" s="0" t="s">
        <v>4051</v>
      </c>
      <c r="J1190" s="0" t="s">
        <v>4052</v>
      </c>
      <c r="M1190" s="0" t="s">
        <v>4053</v>
      </c>
      <c r="N1190" s="0" t="n">
        <v>1969</v>
      </c>
      <c r="O1190" s="0" t="s">
        <v>3905</v>
      </c>
      <c r="P1190" s="0" t="n">
        <v>1969</v>
      </c>
      <c r="Q1190" s="0" t="s">
        <v>39</v>
      </c>
      <c r="R1190" s="0" t="s">
        <v>4054</v>
      </c>
      <c r="S1190" s="0" t="s">
        <v>4055</v>
      </c>
      <c r="V1190" s="0" t="n">
        <v>1</v>
      </c>
      <c r="W1190" s="0" t="n">
        <v>1</v>
      </c>
      <c r="X1190" s="0" t="str">
        <f aca="false">"31811010370149"</f>
        <v>31811010370149</v>
      </c>
      <c r="Y1190" s="0" t="s">
        <v>39</v>
      </c>
      <c r="Z1190" s="0" t="s">
        <v>42</v>
      </c>
      <c r="AA1190" s="0" t="s">
        <v>43</v>
      </c>
      <c r="AE1190" s="1" t="s">
        <v>52</v>
      </c>
    </row>
    <row r="1191" customFormat="false" ht="12.8" hidden="false" customHeight="false" outlineLevel="0" collapsed="false">
      <c r="A1191" s="0" t="n">
        <v>104883</v>
      </c>
      <c r="B1191" s="0" t="n">
        <v>112939</v>
      </c>
      <c r="C1191" s="0" t="n">
        <v>126140</v>
      </c>
      <c r="D1191" s="0" t="s">
        <v>35</v>
      </c>
      <c r="E1191" s="0" t="s">
        <v>35</v>
      </c>
      <c r="F1191" s="0" t="s">
        <v>36</v>
      </c>
      <c r="G1191" s="0" t="s">
        <v>37</v>
      </c>
      <c r="H1191" s="0" t="s">
        <v>4056</v>
      </c>
      <c r="I1191" s="0" t="s">
        <v>4057</v>
      </c>
      <c r="J1191" s="0" t="s">
        <v>4056</v>
      </c>
      <c r="L1191" s="0" t="n">
        <v>253386675</v>
      </c>
      <c r="M1191" s="0" t="s">
        <v>4058</v>
      </c>
      <c r="N1191" s="0" t="s">
        <v>296</v>
      </c>
      <c r="O1191" s="0" t="s">
        <v>3918</v>
      </c>
      <c r="P1191" s="0" t="n">
        <v>1970</v>
      </c>
      <c r="Q1191" s="0" t="s">
        <v>39</v>
      </c>
      <c r="R1191" s="0" t="s">
        <v>4059</v>
      </c>
      <c r="S1191" s="0" t="s">
        <v>4060</v>
      </c>
      <c r="V1191" s="0" t="n">
        <v>1</v>
      </c>
      <c r="W1191" s="0" t="n">
        <v>1</v>
      </c>
      <c r="X1191" s="0" t="str">
        <f aca="false">"31811010370156"</f>
        <v>31811010370156</v>
      </c>
      <c r="Y1191" s="0" t="s">
        <v>39</v>
      </c>
      <c r="Z1191" s="0" t="s">
        <v>42</v>
      </c>
      <c r="AA1191" s="0" t="s">
        <v>43</v>
      </c>
      <c r="AE1191" s="1" t="s">
        <v>52</v>
      </c>
    </row>
    <row r="1192" customFormat="false" ht="12.8" hidden="false" customHeight="false" outlineLevel="0" collapsed="false">
      <c r="A1192" s="0" t="n">
        <v>71719</v>
      </c>
      <c r="B1192" s="0" t="n">
        <v>77753</v>
      </c>
      <c r="C1192" s="0" t="n">
        <v>86400</v>
      </c>
      <c r="D1192" s="0" t="s">
        <v>35</v>
      </c>
      <c r="E1192" s="0" t="s">
        <v>35</v>
      </c>
      <c r="F1192" s="0" t="s">
        <v>36</v>
      </c>
      <c r="G1192" s="0" t="s">
        <v>37</v>
      </c>
      <c r="H1192" s="0" t="s">
        <v>4061</v>
      </c>
      <c r="I1192" s="0" t="s">
        <v>4062</v>
      </c>
      <c r="J1192" s="0" t="s">
        <v>4061</v>
      </c>
      <c r="L1192" s="0" t="n">
        <v>253386683</v>
      </c>
      <c r="M1192" s="0" t="s">
        <v>4063</v>
      </c>
      <c r="N1192" s="0" t="n">
        <v>1971</v>
      </c>
      <c r="O1192" s="0" t="s">
        <v>3905</v>
      </c>
      <c r="P1192" s="0" t="n">
        <v>1971</v>
      </c>
      <c r="Q1192" s="0" t="s">
        <v>39</v>
      </c>
      <c r="R1192" s="0" t="s">
        <v>4064</v>
      </c>
      <c r="S1192" s="0" t="s">
        <v>4065</v>
      </c>
      <c r="V1192" s="0" t="n">
        <v>1</v>
      </c>
      <c r="W1192" s="0" t="n">
        <v>1</v>
      </c>
      <c r="X1192" s="0" t="str">
        <f aca="false">"31811010370164"</f>
        <v>31811010370164</v>
      </c>
      <c r="Y1192" s="0" t="s">
        <v>39</v>
      </c>
      <c r="Z1192" s="0" t="s">
        <v>42</v>
      </c>
      <c r="AA1192" s="0" t="s">
        <v>43</v>
      </c>
      <c r="AE1192" s="1" t="s">
        <v>52</v>
      </c>
    </row>
    <row r="1193" customFormat="false" ht="12.8" hidden="false" customHeight="false" outlineLevel="0" collapsed="false">
      <c r="A1193" s="0" t="n">
        <v>71719</v>
      </c>
      <c r="B1193" s="0" t="n">
        <v>77754</v>
      </c>
      <c r="C1193" s="0" t="n">
        <v>86401</v>
      </c>
      <c r="D1193" s="0" t="s">
        <v>35</v>
      </c>
      <c r="E1193" s="0" t="s">
        <v>35</v>
      </c>
      <c r="F1193" s="0" t="s">
        <v>36</v>
      </c>
      <c r="G1193" s="0" t="s">
        <v>37</v>
      </c>
      <c r="H1193" s="0" t="s">
        <v>4061</v>
      </c>
      <c r="I1193" s="0" t="s">
        <v>4062</v>
      </c>
      <c r="J1193" s="0" t="s">
        <v>4061</v>
      </c>
      <c r="L1193" s="0" t="n">
        <v>253386683</v>
      </c>
      <c r="M1193" s="0" t="s">
        <v>4063</v>
      </c>
      <c r="N1193" s="0" t="n">
        <v>1971</v>
      </c>
      <c r="O1193" s="0" t="s">
        <v>3905</v>
      </c>
      <c r="P1193" s="0" t="n">
        <v>1971</v>
      </c>
      <c r="Q1193" s="0" t="s">
        <v>39</v>
      </c>
      <c r="R1193" s="0" t="s">
        <v>4064</v>
      </c>
      <c r="S1193" s="0" t="s">
        <v>4065</v>
      </c>
      <c r="V1193" s="0" t="n">
        <v>2</v>
      </c>
      <c r="W1193" s="0" t="n">
        <v>1</v>
      </c>
      <c r="X1193" s="0" t="str">
        <f aca="false">"31811003178855"</f>
        <v>31811003178855</v>
      </c>
      <c r="Y1193" s="0" t="s">
        <v>39</v>
      </c>
      <c r="Z1193" s="0" t="s">
        <v>42</v>
      </c>
      <c r="AA1193" s="0" t="s">
        <v>43</v>
      </c>
      <c r="AE1193" s="1" t="s">
        <v>52</v>
      </c>
    </row>
    <row r="1194" customFormat="false" ht="12.8" hidden="false" customHeight="false" outlineLevel="0" collapsed="false">
      <c r="A1194" s="0" t="n">
        <v>3453</v>
      </c>
      <c r="B1194" s="0" t="n">
        <v>3904</v>
      </c>
      <c r="C1194" s="0" t="n">
        <v>4468</v>
      </c>
      <c r="D1194" s="0" t="s">
        <v>35</v>
      </c>
      <c r="E1194" s="0" t="s">
        <v>35</v>
      </c>
      <c r="F1194" s="0" t="s">
        <v>36</v>
      </c>
      <c r="G1194" s="0" t="s">
        <v>37</v>
      </c>
      <c r="H1194" s="0" t="s">
        <v>4066</v>
      </c>
      <c r="I1194" s="0" t="s">
        <v>4067</v>
      </c>
      <c r="J1194" s="0" t="s">
        <v>4068</v>
      </c>
      <c r="L1194" s="0" t="n">
        <v>253386691</v>
      </c>
      <c r="M1194" s="0" t="s">
        <v>4069</v>
      </c>
      <c r="N1194" s="0" t="s">
        <v>4070</v>
      </c>
      <c r="O1194" s="0" t="s">
        <v>3918</v>
      </c>
      <c r="P1194" s="0" t="n">
        <v>1972</v>
      </c>
      <c r="Q1194" s="0" t="s">
        <v>39</v>
      </c>
      <c r="R1194" s="0" t="s">
        <v>4071</v>
      </c>
      <c r="S1194" s="0" t="s">
        <v>4072</v>
      </c>
      <c r="V1194" s="0" t="n">
        <v>1</v>
      </c>
      <c r="W1194" s="0" t="n">
        <v>1</v>
      </c>
      <c r="X1194" s="0" t="str">
        <f aca="false">"31811010370016"</f>
        <v>31811010370016</v>
      </c>
      <c r="Y1194" s="0" t="s">
        <v>39</v>
      </c>
      <c r="Z1194" s="0" t="s">
        <v>42</v>
      </c>
      <c r="AA1194" s="0" t="s">
        <v>43</v>
      </c>
      <c r="AE1194" s="1" t="s">
        <v>52</v>
      </c>
    </row>
    <row r="1195" customFormat="false" ht="12.8" hidden="false" customHeight="false" outlineLevel="0" collapsed="false">
      <c r="A1195" s="0" t="n">
        <v>41660</v>
      </c>
      <c r="B1195" s="0" t="n">
        <v>45259</v>
      </c>
      <c r="C1195" s="0" t="n">
        <v>49983</v>
      </c>
      <c r="D1195" s="0" t="s">
        <v>35</v>
      </c>
      <c r="E1195" s="0" t="s">
        <v>35</v>
      </c>
      <c r="F1195" s="0" t="s">
        <v>36</v>
      </c>
      <c r="G1195" s="0" t="s">
        <v>37</v>
      </c>
      <c r="H1195" s="0" t="s">
        <v>4073</v>
      </c>
      <c r="I1195" s="0" t="s">
        <v>4015</v>
      </c>
      <c r="J1195" s="0" t="s">
        <v>4074</v>
      </c>
      <c r="L1195" s="0" t="s">
        <v>4075</v>
      </c>
      <c r="M1195" s="0" t="s">
        <v>4076</v>
      </c>
      <c r="N1195" s="0" t="n">
        <v>1975</v>
      </c>
      <c r="O1195" s="0" t="s">
        <v>3905</v>
      </c>
      <c r="P1195" s="0" t="n">
        <v>1975</v>
      </c>
      <c r="Q1195" s="0" t="s">
        <v>39</v>
      </c>
      <c r="R1195" s="0" t="s">
        <v>4077</v>
      </c>
      <c r="S1195" s="0" t="s">
        <v>4078</v>
      </c>
      <c r="V1195" s="0" t="n">
        <v>1</v>
      </c>
      <c r="W1195" s="0" t="n">
        <v>1</v>
      </c>
      <c r="X1195" s="0" t="str">
        <f aca="false">"31811010370057"</f>
        <v>31811010370057</v>
      </c>
      <c r="Y1195" s="0" t="s">
        <v>39</v>
      </c>
      <c r="Z1195" s="0" t="s">
        <v>42</v>
      </c>
      <c r="AA1195" s="0" t="s">
        <v>43</v>
      </c>
      <c r="AE1195" s="1" t="s">
        <v>52</v>
      </c>
    </row>
    <row r="1196" customFormat="false" ht="12.8" hidden="false" customHeight="false" outlineLevel="0" collapsed="false">
      <c r="A1196" s="0" t="n">
        <v>104966</v>
      </c>
      <c r="B1196" s="0" t="n">
        <v>113031</v>
      </c>
      <c r="C1196" s="0" t="n">
        <v>126232</v>
      </c>
      <c r="D1196" s="0" t="s">
        <v>35</v>
      </c>
      <c r="E1196" s="0" t="s">
        <v>35</v>
      </c>
      <c r="F1196" s="0" t="s">
        <v>36</v>
      </c>
      <c r="G1196" s="0" t="s">
        <v>37</v>
      </c>
      <c r="H1196" s="0" t="s">
        <v>4079</v>
      </c>
      <c r="I1196" s="0" t="s">
        <v>4080</v>
      </c>
      <c r="J1196" s="0" t="s">
        <v>4081</v>
      </c>
      <c r="L1196" s="0" t="n">
        <v>253327407</v>
      </c>
      <c r="M1196" s="0" t="s">
        <v>4082</v>
      </c>
      <c r="N1196" s="0" t="n">
        <v>1974</v>
      </c>
      <c r="O1196" s="0" t="s">
        <v>3905</v>
      </c>
      <c r="P1196" s="0" t="n">
        <v>1974</v>
      </c>
      <c r="Q1196" s="0" t="s">
        <v>39</v>
      </c>
      <c r="R1196" s="0" t="s">
        <v>4083</v>
      </c>
      <c r="S1196" s="0" t="s">
        <v>4084</v>
      </c>
      <c r="V1196" s="0" t="n">
        <v>1</v>
      </c>
      <c r="W1196" s="0" t="n">
        <v>1</v>
      </c>
      <c r="X1196" s="0" t="str">
        <f aca="false">"31811010378928"</f>
        <v>31811010378928</v>
      </c>
      <c r="Y1196" s="0" t="s">
        <v>39</v>
      </c>
      <c r="Z1196" s="0" t="s">
        <v>42</v>
      </c>
      <c r="AA1196" s="0" t="s">
        <v>43</v>
      </c>
      <c r="AE1196" s="1" t="s">
        <v>52</v>
      </c>
      <c r="AH1196" s="1" t="s">
        <v>4085</v>
      </c>
    </row>
    <row r="1197" customFormat="false" ht="12.8" hidden="false" customHeight="false" outlineLevel="0" collapsed="false">
      <c r="A1197" s="0" t="n">
        <v>29387</v>
      </c>
      <c r="B1197" s="0" t="n">
        <v>32313</v>
      </c>
      <c r="C1197" s="0" t="n">
        <v>36230</v>
      </c>
      <c r="D1197" s="0" t="s">
        <v>35</v>
      </c>
      <c r="E1197" s="0" t="s">
        <v>35</v>
      </c>
      <c r="F1197" s="0" t="s">
        <v>36</v>
      </c>
      <c r="G1197" s="0" t="s">
        <v>37</v>
      </c>
      <c r="H1197" s="0" t="s">
        <v>4086</v>
      </c>
      <c r="I1197" s="0" t="s">
        <v>4087</v>
      </c>
      <c r="J1197" s="0" t="s">
        <v>4086</v>
      </c>
      <c r="L1197" s="0" t="n">
        <v>253342465</v>
      </c>
      <c r="M1197" s="0" t="s">
        <v>4088</v>
      </c>
      <c r="N1197" s="0" t="n">
        <v>1973</v>
      </c>
      <c r="O1197" s="0" t="s">
        <v>3905</v>
      </c>
      <c r="P1197" s="0" t="n">
        <v>1973</v>
      </c>
      <c r="Q1197" s="0" t="s">
        <v>39</v>
      </c>
      <c r="R1197" s="0" t="s">
        <v>4089</v>
      </c>
      <c r="S1197" s="0" t="s">
        <v>4090</v>
      </c>
      <c r="V1197" s="0" t="n">
        <v>1</v>
      </c>
      <c r="W1197" s="0" t="n">
        <v>1</v>
      </c>
      <c r="X1197" s="0" t="str">
        <f aca="false">"31811010378910"</f>
        <v>31811010378910</v>
      </c>
      <c r="Y1197" s="0" t="s">
        <v>39</v>
      </c>
      <c r="Z1197" s="0" t="s">
        <v>42</v>
      </c>
      <c r="AA1197" s="0" t="s">
        <v>43</v>
      </c>
      <c r="AE1197" s="1" t="s">
        <v>52</v>
      </c>
    </row>
    <row r="1198" customFormat="false" ht="12.8" hidden="false" customHeight="false" outlineLevel="0" collapsed="false">
      <c r="A1198" s="0" t="n">
        <v>104968</v>
      </c>
      <c r="B1198" s="0" t="n">
        <v>113033</v>
      </c>
      <c r="C1198" s="0" t="n">
        <v>126234</v>
      </c>
      <c r="D1198" s="0" t="s">
        <v>35</v>
      </c>
      <c r="E1198" s="0" t="s">
        <v>35</v>
      </c>
      <c r="F1198" s="0" t="s">
        <v>36</v>
      </c>
      <c r="G1198" s="0" t="s">
        <v>37</v>
      </c>
      <c r="H1198" s="0" t="s">
        <v>4091</v>
      </c>
      <c r="I1198" s="0" t="s">
        <v>4092</v>
      </c>
      <c r="J1198" s="0" t="s">
        <v>4091</v>
      </c>
      <c r="L1198" s="0" t="n">
        <v>253339804</v>
      </c>
      <c r="M1198" s="0" t="s">
        <v>4093</v>
      </c>
      <c r="N1198" s="0" t="s">
        <v>4094</v>
      </c>
      <c r="O1198" s="0" t="s">
        <v>3918</v>
      </c>
      <c r="P1198" s="0" t="n">
        <v>1974</v>
      </c>
      <c r="Q1198" s="0" t="s">
        <v>39</v>
      </c>
      <c r="R1198" s="0" t="s">
        <v>4095</v>
      </c>
      <c r="S1198" s="0" t="s">
        <v>4096</v>
      </c>
      <c r="V1198" s="0" t="n">
        <v>1</v>
      </c>
      <c r="W1198" s="0" t="n">
        <v>1</v>
      </c>
      <c r="X1198" s="0" t="str">
        <f aca="false">"31811010378902"</f>
        <v>31811010378902</v>
      </c>
      <c r="Y1198" s="0" t="s">
        <v>39</v>
      </c>
      <c r="Z1198" s="0" t="s">
        <v>42</v>
      </c>
      <c r="AA1198" s="0" t="s">
        <v>43</v>
      </c>
      <c r="AE1198" s="1" t="s">
        <v>52</v>
      </c>
    </row>
    <row r="1199" customFormat="false" ht="12.8" hidden="false" customHeight="false" outlineLevel="0" collapsed="false">
      <c r="A1199" s="0" t="n">
        <v>104795</v>
      </c>
      <c r="B1199" s="0" t="n">
        <v>112847</v>
      </c>
      <c r="C1199" s="0" t="n">
        <v>126046</v>
      </c>
      <c r="D1199" s="0" t="s">
        <v>35</v>
      </c>
      <c r="E1199" s="0" t="s">
        <v>35</v>
      </c>
      <c r="F1199" s="0" t="s">
        <v>36</v>
      </c>
      <c r="G1199" s="0" t="s">
        <v>37</v>
      </c>
      <c r="H1199" s="0" t="s">
        <v>4097</v>
      </c>
      <c r="I1199" s="0" t="s">
        <v>3955</v>
      </c>
      <c r="J1199" s="0" t="s">
        <v>4098</v>
      </c>
      <c r="M1199" s="0" t="s">
        <v>4099</v>
      </c>
      <c r="N1199" s="0" t="s">
        <v>3809</v>
      </c>
      <c r="O1199" s="0" t="s">
        <v>3857</v>
      </c>
      <c r="P1199" s="0" t="n">
        <v>1943</v>
      </c>
      <c r="Q1199" s="0" t="s">
        <v>39</v>
      </c>
      <c r="R1199" s="0" t="s">
        <v>4100</v>
      </c>
      <c r="S1199" s="0" t="s">
        <v>4101</v>
      </c>
      <c r="V1199" s="0" t="n">
        <v>1</v>
      </c>
      <c r="W1199" s="0" t="n">
        <v>1</v>
      </c>
      <c r="X1199" s="0" t="str">
        <f aca="false">"31811010378407"</f>
        <v>31811010378407</v>
      </c>
      <c r="Y1199" s="0" t="s">
        <v>39</v>
      </c>
      <c r="Z1199" s="0" t="s">
        <v>42</v>
      </c>
      <c r="AA1199" s="0" t="s">
        <v>43</v>
      </c>
      <c r="AE1199" s="1" t="s">
        <v>52</v>
      </c>
    </row>
    <row r="1200" customFormat="false" ht="12.8" hidden="false" customHeight="false" outlineLevel="0" collapsed="false">
      <c r="A1200" s="0" t="n">
        <v>60140</v>
      </c>
      <c r="B1200" s="0" t="n">
        <v>65328</v>
      </c>
      <c r="C1200" s="0" t="n">
        <v>72080</v>
      </c>
      <c r="D1200" s="0" t="s">
        <v>35</v>
      </c>
      <c r="E1200" s="0" t="s">
        <v>35</v>
      </c>
      <c r="F1200" s="0" t="s">
        <v>36</v>
      </c>
      <c r="G1200" s="0" t="s">
        <v>37</v>
      </c>
      <c r="H1200" s="0" t="s">
        <v>4102</v>
      </c>
      <c r="I1200" s="0" t="s">
        <v>4103</v>
      </c>
      <c r="J1200" s="0" t="s">
        <v>4104</v>
      </c>
      <c r="M1200" s="0" t="s">
        <v>4105</v>
      </c>
      <c r="N1200" s="0" t="n">
        <v>1905</v>
      </c>
      <c r="O1200" s="0" t="s">
        <v>4106</v>
      </c>
      <c r="P1200" s="0" t="n">
        <v>1905</v>
      </c>
      <c r="Q1200" s="0" t="s">
        <v>39</v>
      </c>
      <c r="R1200" s="0" t="s">
        <v>4107</v>
      </c>
      <c r="S1200" s="0" t="s">
        <v>4108</v>
      </c>
      <c r="V1200" s="0" t="n">
        <v>1</v>
      </c>
      <c r="W1200" s="0" t="n">
        <v>1</v>
      </c>
      <c r="X1200" s="0" t="str">
        <f aca="false">"31811010378597"</f>
        <v>31811010378597</v>
      </c>
      <c r="Y1200" s="0" t="s">
        <v>39</v>
      </c>
      <c r="Z1200" s="0" t="s">
        <v>42</v>
      </c>
      <c r="AA1200" s="0" t="s">
        <v>43</v>
      </c>
      <c r="AE1200" s="1" t="s">
        <v>52</v>
      </c>
    </row>
    <row r="1201" customFormat="false" ht="12.8" hidden="false" customHeight="false" outlineLevel="0" collapsed="false">
      <c r="A1201" s="0" t="n">
        <v>172573</v>
      </c>
      <c r="B1201" s="0" t="n">
        <v>188478</v>
      </c>
      <c r="C1201" s="0" t="n">
        <v>211549</v>
      </c>
      <c r="D1201" s="0" t="s">
        <v>35</v>
      </c>
      <c r="E1201" s="0" t="s">
        <v>35</v>
      </c>
      <c r="F1201" s="0" t="s">
        <v>36</v>
      </c>
      <c r="G1201" s="0" t="s">
        <v>37</v>
      </c>
      <c r="H1201" s="0" t="s">
        <v>4109</v>
      </c>
      <c r="I1201" s="0" t="s">
        <v>4110</v>
      </c>
      <c r="J1201" s="0" t="s">
        <v>4111</v>
      </c>
      <c r="M1201" s="0" t="s">
        <v>4112</v>
      </c>
      <c r="N1201" s="0" t="s">
        <v>4113</v>
      </c>
      <c r="O1201" s="0" t="s">
        <v>4114</v>
      </c>
      <c r="P1201" s="0" t="n">
        <v>1906</v>
      </c>
      <c r="Q1201" s="0" t="s">
        <v>39</v>
      </c>
      <c r="R1201" s="0" t="s">
        <v>4115</v>
      </c>
      <c r="S1201" s="0" t="s">
        <v>4116</v>
      </c>
      <c r="V1201" s="0" t="n">
        <v>1</v>
      </c>
      <c r="W1201" s="0" t="n">
        <v>1</v>
      </c>
      <c r="X1201" s="0" t="str">
        <f aca="false">"31811010378605"</f>
        <v>31811010378605</v>
      </c>
      <c r="Y1201" s="0" t="s">
        <v>39</v>
      </c>
      <c r="Z1201" s="0" t="s">
        <v>42</v>
      </c>
      <c r="AA1201" s="0" t="s">
        <v>43</v>
      </c>
      <c r="AE1201" s="1" t="s">
        <v>52</v>
      </c>
    </row>
    <row r="1202" customFormat="false" ht="12.8" hidden="false" customHeight="false" outlineLevel="0" collapsed="false">
      <c r="A1202" s="0" t="n">
        <v>198055</v>
      </c>
      <c r="B1202" s="0" t="n">
        <v>217262</v>
      </c>
      <c r="C1202" s="0" t="n">
        <v>244170</v>
      </c>
      <c r="D1202" s="0" t="s">
        <v>35</v>
      </c>
      <c r="E1202" s="0" t="s">
        <v>35</v>
      </c>
      <c r="F1202" s="0" t="s">
        <v>36</v>
      </c>
      <c r="G1202" s="0" t="s">
        <v>37</v>
      </c>
      <c r="H1202" s="0" t="s">
        <v>4117</v>
      </c>
      <c r="I1202" s="0" t="s">
        <v>4118</v>
      </c>
      <c r="J1202" s="0" t="s">
        <v>4117</v>
      </c>
      <c r="M1202" s="0" t="s">
        <v>4119</v>
      </c>
      <c r="N1202" s="0" t="s">
        <v>4120</v>
      </c>
      <c r="O1202" s="0" t="s">
        <v>4121</v>
      </c>
      <c r="P1202" s="0" t="n">
        <v>1909</v>
      </c>
      <c r="Q1202" s="0" t="s">
        <v>39</v>
      </c>
      <c r="R1202" s="0" t="s">
        <v>4122</v>
      </c>
      <c r="S1202" s="0" t="s">
        <v>4123</v>
      </c>
      <c r="V1202" s="0" t="n">
        <v>1</v>
      </c>
      <c r="W1202" s="0" t="n">
        <v>1</v>
      </c>
      <c r="X1202" s="0" t="str">
        <f aca="false">"31811010369703"</f>
        <v>31811010369703</v>
      </c>
      <c r="Y1202" s="0" t="s">
        <v>39</v>
      </c>
      <c r="Z1202" s="0" t="s">
        <v>42</v>
      </c>
      <c r="AA1202" s="0" t="s">
        <v>43</v>
      </c>
      <c r="AE1202" s="1" t="s">
        <v>52</v>
      </c>
    </row>
    <row r="1203" customFormat="false" ht="12.8" hidden="false" customHeight="false" outlineLevel="0" collapsed="false">
      <c r="A1203" s="0" t="n">
        <v>198054</v>
      </c>
      <c r="B1203" s="0" t="n">
        <v>217261</v>
      </c>
      <c r="C1203" s="0" t="n">
        <v>244169</v>
      </c>
      <c r="D1203" s="0" t="s">
        <v>35</v>
      </c>
      <c r="E1203" s="0" t="s">
        <v>35</v>
      </c>
      <c r="F1203" s="0" t="s">
        <v>36</v>
      </c>
      <c r="G1203" s="0" t="s">
        <v>37</v>
      </c>
      <c r="H1203" s="0" t="s">
        <v>4124</v>
      </c>
      <c r="I1203" s="0" t="s">
        <v>4125</v>
      </c>
      <c r="J1203" s="0" t="s">
        <v>4126</v>
      </c>
      <c r="M1203" s="0" t="s">
        <v>4127</v>
      </c>
      <c r="N1203" s="0" t="s">
        <v>4128</v>
      </c>
      <c r="O1203" s="0" t="s">
        <v>4121</v>
      </c>
      <c r="P1203" s="0" t="n">
        <v>1910</v>
      </c>
      <c r="Q1203" s="0" t="s">
        <v>39</v>
      </c>
      <c r="R1203" s="0" t="s">
        <v>4129</v>
      </c>
      <c r="S1203" s="0" t="s">
        <v>4130</v>
      </c>
      <c r="V1203" s="0" t="n">
        <v>1</v>
      </c>
      <c r="W1203" s="0" t="n">
        <v>1</v>
      </c>
      <c r="X1203" s="0" t="str">
        <f aca="false">"31811010369661"</f>
        <v>31811010369661</v>
      </c>
      <c r="Y1203" s="0" t="s">
        <v>39</v>
      </c>
      <c r="Z1203" s="0" t="s">
        <v>42</v>
      </c>
      <c r="AA1203" s="0" t="s">
        <v>43</v>
      </c>
      <c r="AE1203" s="1" t="s">
        <v>52</v>
      </c>
    </row>
    <row r="1204" customFormat="false" ht="12.8" hidden="false" customHeight="false" outlineLevel="0" collapsed="false">
      <c r="A1204" s="0" t="n">
        <v>407037</v>
      </c>
      <c r="B1204" s="0" t="n">
        <v>439286</v>
      </c>
      <c r="C1204" s="0" t="n">
        <v>489787</v>
      </c>
      <c r="D1204" s="0" t="s">
        <v>35</v>
      </c>
      <c r="E1204" s="0" t="s">
        <v>35</v>
      </c>
      <c r="F1204" s="0" t="s">
        <v>36</v>
      </c>
      <c r="G1204" s="0" t="s">
        <v>412</v>
      </c>
      <c r="H1204" s="0" t="s">
        <v>4131</v>
      </c>
      <c r="I1204" s="0" t="s">
        <v>4132</v>
      </c>
      <c r="J1204" s="0" t="s">
        <v>4131</v>
      </c>
      <c r="M1204" s="0" t="s">
        <v>4133</v>
      </c>
      <c r="N1204" s="0" t="n">
        <v>1910</v>
      </c>
      <c r="P1204" s="0" t="n">
        <v>1910</v>
      </c>
      <c r="Q1204" s="0" t="s">
        <v>39</v>
      </c>
      <c r="R1204" s="0" t="s">
        <v>4134</v>
      </c>
      <c r="S1204" s="0" t="s">
        <v>4135</v>
      </c>
      <c r="V1204" s="0" t="n">
        <v>1</v>
      </c>
      <c r="W1204" s="0" t="n">
        <v>1</v>
      </c>
      <c r="X1204" s="0" t="str">
        <f aca="false">"31811010369620"</f>
        <v>31811010369620</v>
      </c>
      <c r="Y1204" s="0" t="s">
        <v>39</v>
      </c>
      <c r="Z1204" s="0" t="s">
        <v>42</v>
      </c>
      <c r="AA1204" s="0" t="s">
        <v>43</v>
      </c>
      <c r="AE1204" s="1" t="s">
        <v>52</v>
      </c>
    </row>
    <row r="1205" customFormat="false" ht="12.8" hidden="false" customHeight="false" outlineLevel="0" collapsed="false">
      <c r="A1205" s="0" t="n">
        <v>459227</v>
      </c>
      <c r="B1205" s="0" t="n">
        <v>545886</v>
      </c>
      <c r="C1205" s="0" t="n">
        <v>615508</v>
      </c>
      <c r="D1205" s="0" t="s">
        <v>35</v>
      </c>
      <c r="E1205" s="0" t="s">
        <v>35</v>
      </c>
      <c r="F1205" s="0" t="s">
        <v>36</v>
      </c>
      <c r="G1205" s="0" t="s">
        <v>37</v>
      </c>
      <c r="H1205" s="0" t="s">
        <v>4136</v>
      </c>
      <c r="I1205" s="0" t="s">
        <v>4137</v>
      </c>
      <c r="J1205" s="0" t="s">
        <v>4138</v>
      </c>
      <c r="M1205" s="0" t="s">
        <v>4139</v>
      </c>
      <c r="N1205" s="0" t="s">
        <v>4140</v>
      </c>
      <c r="P1205" s="0" t="n">
        <v>1930</v>
      </c>
      <c r="Q1205" s="0" t="s">
        <v>39</v>
      </c>
      <c r="R1205" s="0" t="s">
        <v>4141</v>
      </c>
      <c r="S1205" s="0" t="s">
        <v>4142</v>
      </c>
      <c r="V1205" s="0" t="n">
        <v>1</v>
      </c>
      <c r="W1205" s="0" t="n">
        <v>1</v>
      </c>
      <c r="X1205" s="0" t="str">
        <f aca="false">"31811003178871"</f>
        <v>31811003178871</v>
      </c>
      <c r="Y1205" s="0" t="s">
        <v>39</v>
      </c>
      <c r="Z1205" s="0" t="s">
        <v>42</v>
      </c>
      <c r="AA1205" s="0" t="s">
        <v>43</v>
      </c>
      <c r="AE1205" s="1" t="s">
        <v>52</v>
      </c>
    </row>
    <row r="1206" customFormat="false" ht="12.8" hidden="false" customHeight="false" outlineLevel="0" collapsed="false">
      <c r="A1206" s="0" t="n">
        <v>149334</v>
      </c>
      <c r="B1206" s="0" t="n">
        <v>161914</v>
      </c>
      <c r="C1206" s="0" t="n">
        <v>181755</v>
      </c>
      <c r="D1206" s="0" t="s">
        <v>35</v>
      </c>
      <c r="E1206" s="0" t="s">
        <v>35</v>
      </c>
      <c r="F1206" s="0" t="s">
        <v>36</v>
      </c>
      <c r="G1206" s="0" t="s">
        <v>37</v>
      </c>
      <c r="H1206" s="0" t="s">
        <v>4143</v>
      </c>
      <c r="J1206" s="0" t="s">
        <v>4144</v>
      </c>
      <c r="M1206" s="0" t="s">
        <v>4145</v>
      </c>
      <c r="N1206" s="0" t="s">
        <v>4146</v>
      </c>
      <c r="O1206" s="0" t="s">
        <v>4147</v>
      </c>
      <c r="P1206" s="0" t="n">
        <v>1959</v>
      </c>
      <c r="Q1206" s="0" t="s">
        <v>39</v>
      </c>
      <c r="R1206" s="0" t="s">
        <v>4148</v>
      </c>
      <c r="S1206" s="0" t="s">
        <v>4149</v>
      </c>
      <c r="V1206" s="0" t="n">
        <v>1</v>
      </c>
      <c r="W1206" s="0" t="n">
        <v>1</v>
      </c>
      <c r="X1206" s="0" t="str">
        <f aca="false">"31811010378944"</f>
        <v>31811010378944</v>
      </c>
      <c r="Y1206" s="0" t="s">
        <v>39</v>
      </c>
      <c r="Z1206" s="0" t="s">
        <v>42</v>
      </c>
      <c r="AA1206" s="0" t="s">
        <v>43</v>
      </c>
      <c r="AE1206" s="1" t="s">
        <v>52</v>
      </c>
    </row>
    <row r="1207" customFormat="false" ht="12.8" hidden="false" customHeight="false" outlineLevel="0" collapsed="false">
      <c r="A1207" s="0" t="n">
        <v>218859</v>
      </c>
      <c r="B1207" s="0" t="n">
        <v>240069</v>
      </c>
      <c r="C1207" s="0" t="n">
        <v>270490</v>
      </c>
      <c r="D1207" s="0" t="s">
        <v>35</v>
      </c>
      <c r="E1207" s="0" t="s">
        <v>35</v>
      </c>
      <c r="F1207" s="0" t="s">
        <v>36</v>
      </c>
      <c r="G1207" s="0" t="s">
        <v>37</v>
      </c>
      <c r="H1207" s="0" t="s">
        <v>4150</v>
      </c>
      <c r="I1207" s="0" t="s">
        <v>4151</v>
      </c>
      <c r="J1207" s="0" t="s">
        <v>4150</v>
      </c>
      <c r="M1207" s="0" t="s">
        <v>4152</v>
      </c>
      <c r="N1207" s="0" t="n">
        <v>1959</v>
      </c>
      <c r="O1207" s="0" t="s">
        <v>3491</v>
      </c>
      <c r="P1207" s="0" t="n">
        <v>1959</v>
      </c>
      <c r="Q1207" s="0" t="s">
        <v>39</v>
      </c>
      <c r="R1207" s="0" t="s">
        <v>4153</v>
      </c>
      <c r="S1207" s="0" t="s">
        <v>4154</v>
      </c>
      <c r="V1207" s="0" t="n">
        <v>1</v>
      </c>
      <c r="W1207" s="0" t="n">
        <v>1</v>
      </c>
      <c r="X1207" s="0" t="str">
        <f aca="false">"31811010378951"</f>
        <v>31811010378951</v>
      </c>
      <c r="Y1207" s="0" t="s">
        <v>39</v>
      </c>
      <c r="Z1207" s="0" t="s">
        <v>42</v>
      </c>
      <c r="AA1207" s="0" t="s">
        <v>43</v>
      </c>
      <c r="AE1207" s="1" t="s">
        <v>52</v>
      </c>
    </row>
    <row r="1208" customFormat="false" ht="12.8" hidden="false" customHeight="false" outlineLevel="0" collapsed="false">
      <c r="A1208" s="0" t="n">
        <v>210495</v>
      </c>
      <c r="B1208" s="0" t="n">
        <v>230933</v>
      </c>
      <c r="C1208" s="0" t="n">
        <v>259938</v>
      </c>
      <c r="D1208" s="0" t="s">
        <v>35</v>
      </c>
      <c r="E1208" s="0" t="s">
        <v>35</v>
      </c>
      <c r="F1208" s="0" t="s">
        <v>36</v>
      </c>
      <c r="G1208" s="0" t="s">
        <v>37</v>
      </c>
      <c r="H1208" s="0" t="s">
        <v>4155</v>
      </c>
      <c r="I1208" s="0" t="s">
        <v>4156</v>
      </c>
      <c r="J1208" s="0" t="s">
        <v>4157</v>
      </c>
      <c r="M1208" s="0" t="s">
        <v>4158</v>
      </c>
      <c r="N1208" s="0" t="s">
        <v>4159</v>
      </c>
      <c r="O1208" s="0" t="s">
        <v>3491</v>
      </c>
      <c r="P1208" s="0" t="n">
        <v>1961</v>
      </c>
      <c r="Q1208" s="0" t="s">
        <v>39</v>
      </c>
      <c r="R1208" s="0" t="s">
        <v>4160</v>
      </c>
      <c r="S1208" s="0" t="s">
        <v>4161</v>
      </c>
      <c r="V1208" s="0" t="n">
        <v>1</v>
      </c>
      <c r="W1208" s="0" t="n">
        <v>1</v>
      </c>
      <c r="X1208" s="0" t="str">
        <f aca="false">"31811010378969"</f>
        <v>31811010378969</v>
      </c>
      <c r="Y1208" s="0" t="s">
        <v>39</v>
      </c>
      <c r="Z1208" s="0" t="s">
        <v>42</v>
      </c>
      <c r="AA1208" s="0" t="s">
        <v>43</v>
      </c>
      <c r="AE1208" s="1" t="s">
        <v>52</v>
      </c>
    </row>
    <row r="1209" customFormat="false" ht="12.8" hidden="false" customHeight="false" outlineLevel="0" collapsed="false">
      <c r="A1209" s="0" t="n">
        <v>351331</v>
      </c>
      <c r="B1209" s="0" t="n">
        <v>380594</v>
      </c>
      <c r="C1209" s="0" t="n">
        <v>423571</v>
      </c>
      <c r="D1209" s="0" t="s">
        <v>35</v>
      </c>
      <c r="E1209" s="0" t="s">
        <v>35</v>
      </c>
      <c r="F1209" s="0" t="s">
        <v>36</v>
      </c>
      <c r="G1209" s="0" t="s">
        <v>37</v>
      </c>
      <c r="H1209" s="0" t="s">
        <v>4162</v>
      </c>
      <c r="I1209" s="0" t="s">
        <v>4163</v>
      </c>
      <c r="J1209" s="0" t="s">
        <v>4162</v>
      </c>
      <c r="M1209" s="0" t="s">
        <v>4164</v>
      </c>
      <c r="N1209" s="0" t="n">
        <v>1950</v>
      </c>
      <c r="O1209" s="0" t="s">
        <v>3491</v>
      </c>
      <c r="P1209" s="0" t="n">
        <v>1950</v>
      </c>
      <c r="Q1209" s="0" t="s">
        <v>39</v>
      </c>
      <c r="R1209" s="0" t="s">
        <v>4165</v>
      </c>
      <c r="S1209" s="0" t="s">
        <v>4166</v>
      </c>
      <c r="V1209" s="0" t="n">
        <v>1</v>
      </c>
      <c r="W1209" s="0" t="n">
        <v>1</v>
      </c>
      <c r="X1209" s="0" t="str">
        <f aca="false">"31811010378936"</f>
        <v>31811010378936</v>
      </c>
      <c r="Y1209" s="0" t="s">
        <v>39</v>
      </c>
      <c r="Z1209" s="0" t="s">
        <v>42</v>
      </c>
      <c r="AA1209" s="0" t="s">
        <v>43</v>
      </c>
      <c r="AE1209" s="1" t="s">
        <v>52</v>
      </c>
    </row>
    <row r="1210" customFormat="false" ht="12.8" hidden="false" customHeight="false" outlineLevel="0" collapsed="false">
      <c r="A1210" s="0" t="n">
        <v>433277</v>
      </c>
      <c r="B1210" s="0" t="n">
        <v>466667</v>
      </c>
      <c r="C1210" s="0" t="n">
        <v>521068</v>
      </c>
      <c r="D1210" s="0" t="s">
        <v>35</v>
      </c>
      <c r="E1210" s="0" t="s">
        <v>35</v>
      </c>
      <c r="F1210" s="0" t="s">
        <v>36</v>
      </c>
      <c r="G1210" s="0" t="s">
        <v>37</v>
      </c>
      <c r="H1210" s="0" t="s">
        <v>4167</v>
      </c>
      <c r="I1210" s="0" t="s">
        <v>4168</v>
      </c>
      <c r="J1210" s="0" t="s">
        <v>4169</v>
      </c>
      <c r="M1210" s="0" t="s">
        <v>4170</v>
      </c>
      <c r="N1210" s="0" t="s">
        <v>667</v>
      </c>
      <c r="O1210" s="0" t="s">
        <v>4171</v>
      </c>
      <c r="P1210" s="0" t="n">
        <v>1954</v>
      </c>
      <c r="Q1210" s="0" t="s">
        <v>39</v>
      </c>
      <c r="R1210" s="0" t="s">
        <v>4172</v>
      </c>
      <c r="S1210" s="0" t="s">
        <v>4173</v>
      </c>
      <c r="V1210" s="0" t="n">
        <v>1</v>
      </c>
      <c r="W1210" s="0" t="n">
        <v>1</v>
      </c>
      <c r="X1210" s="0" t="str">
        <f aca="false">"31811010379009"</f>
        <v>31811010379009</v>
      </c>
      <c r="Y1210" s="0" t="s">
        <v>39</v>
      </c>
      <c r="Z1210" s="0" t="s">
        <v>42</v>
      </c>
      <c r="AA1210" s="0" t="s">
        <v>43</v>
      </c>
      <c r="AE1210" s="1" t="s">
        <v>52</v>
      </c>
    </row>
    <row r="1211" customFormat="false" ht="12.8" hidden="false" customHeight="false" outlineLevel="0" collapsed="false">
      <c r="A1211" s="0" t="n">
        <v>137189</v>
      </c>
      <c r="B1211" s="0" t="n">
        <v>147943</v>
      </c>
      <c r="C1211" s="0" t="n">
        <v>164969</v>
      </c>
      <c r="D1211" s="0" t="s">
        <v>35</v>
      </c>
      <c r="E1211" s="0" t="s">
        <v>35</v>
      </c>
      <c r="F1211" s="0" t="s">
        <v>36</v>
      </c>
      <c r="G1211" s="0" t="s">
        <v>37</v>
      </c>
      <c r="H1211" s="0" t="s">
        <v>4174</v>
      </c>
      <c r="I1211" s="0" t="s">
        <v>4175</v>
      </c>
      <c r="J1211" s="0" t="s">
        <v>4174</v>
      </c>
      <c r="M1211" s="0" t="s">
        <v>4176</v>
      </c>
      <c r="N1211" s="0" t="n">
        <v>1956</v>
      </c>
      <c r="O1211" s="0" t="s">
        <v>3491</v>
      </c>
      <c r="P1211" s="0" t="n">
        <v>1956</v>
      </c>
      <c r="Q1211" s="0" t="s">
        <v>39</v>
      </c>
      <c r="R1211" s="0" t="s">
        <v>4177</v>
      </c>
      <c r="S1211" s="0" t="s">
        <v>4178</v>
      </c>
      <c r="V1211" s="0" t="n">
        <v>1</v>
      </c>
      <c r="W1211" s="0" t="n">
        <v>1</v>
      </c>
      <c r="X1211" s="0" t="str">
        <f aca="false">"31811010378993"</f>
        <v>31811010378993</v>
      </c>
      <c r="Y1211" s="0" t="s">
        <v>39</v>
      </c>
      <c r="Z1211" s="0" t="s">
        <v>42</v>
      </c>
      <c r="AA1211" s="0" t="s">
        <v>43</v>
      </c>
      <c r="AE1211" s="1" t="s">
        <v>52</v>
      </c>
    </row>
    <row r="1212" customFormat="false" ht="12.8" hidden="false" customHeight="false" outlineLevel="0" collapsed="false">
      <c r="A1212" s="0" t="n">
        <v>263645</v>
      </c>
      <c r="B1212" s="0" t="n">
        <v>288714</v>
      </c>
      <c r="C1212" s="0" t="n">
        <v>324309</v>
      </c>
      <c r="D1212" s="0" t="s">
        <v>35</v>
      </c>
      <c r="E1212" s="0" t="s">
        <v>35</v>
      </c>
      <c r="F1212" s="0" t="s">
        <v>36</v>
      </c>
      <c r="G1212" s="0" t="s">
        <v>37</v>
      </c>
      <c r="H1212" s="0" t="s">
        <v>4179</v>
      </c>
      <c r="I1212" s="0" t="s">
        <v>4180</v>
      </c>
      <c r="J1212" s="0" t="s">
        <v>4179</v>
      </c>
      <c r="M1212" s="0" t="s">
        <v>4181</v>
      </c>
      <c r="N1212" s="0" t="n">
        <v>1960</v>
      </c>
      <c r="O1212" s="0" t="s">
        <v>3491</v>
      </c>
      <c r="P1212" s="0" t="n">
        <v>1960</v>
      </c>
      <c r="Q1212" s="0" t="s">
        <v>39</v>
      </c>
      <c r="R1212" s="0" t="s">
        <v>4182</v>
      </c>
      <c r="S1212" s="0" t="s">
        <v>4183</v>
      </c>
      <c r="V1212" s="0" t="n">
        <v>1</v>
      </c>
      <c r="W1212" s="0" t="n">
        <v>1</v>
      </c>
      <c r="X1212" s="0" t="str">
        <f aca="false">"31811010378985"</f>
        <v>31811010378985</v>
      </c>
      <c r="Y1212" s="0" t="s">
        <v>39</v>
      </c>
      <c r="Z1212" s="0" t="s">
        <v>42</v>
      </c>
      <c r="AA1212" s="0" t="s">
        <v>43</v>
      </c>
      <c r="AE1212" s="1" t="s">
        <v>52</v>
      </c>
      <c r="AH1212" s="1" t="s">
        <v>4184</v>
      </c>
    </row>
    <row r="1213" customFormat="false" ht="12.8" hidden="false" customHeight="false" outlineLevel="0" collapsed="false">
      <c r="A1213" s="0" t="n">
        <v>3642</v>
      </c>
      <c r="B1213" s="0" t="n">
        <v>4112</v>
      </c>
      <c r="C1213" s="0" t="n">
        <v>4699</v>
      </c>
      <c r="D1213" s="0" t="s">
        <v>35</v>
      </c>
      <c r="E1213" s="0" t="s">
        <v>35</v>
      </c>
      <c r="F1213" s="0" t="s">
        <v>36</v>
      </c>
      <c r="G1213" s="0" t="s">
        <v>37</v>
      </c>
      <c r="H1213" s="0" t="s">
        <v>4185</v>
      </c>
      <c r="I1213" s="0" t="s">
        <v>4186</v>
      </c>
      <c r="J1213" s="0" t="s">
        <v>4187</v>
      </c>
      <c r="M1213" s="0" t="s">
        <v>4188</v>
      </c>
      <c r="N1213" s="0" t="s">
        <v>4189</v>
      </c>
      <c r="O1213" s="0" t="s">
        <v>4190</v>
      </c>
      <c r="P1213" s="0" t="n">
        <v>1962</v>
      </c>
      <c r="Q1213" s="0" t="s">
        <v>39</v>
      </c>
      <c r="R1213" s="0" t="s">
        <v>4191</v>
      </c>
      <c r="S1213" s="0" t="s">
        <v>4192</v>
      </c>
      <c r="V1213" s="0" t="n">
        <v>1</v>
      </c>
      <c r="W1213" s="0" t="n">
        <v>1</v>
      </c>
      <c r="X1213" s="0" t="str">
        <f aca="false">"31811010378977"</f>
        <v>31811010378977</v>
      </c>
      <c r="Y1213" s="0" t="s">
        <v>39</v>
      </c>
      <c r="Z1213" s="0" t="s">
        <v>42</v>
      </c>
      <c r="AA1213" s="0" t="s">
        <v>43</v>
      </c>
      <c r="AE1213" s="1" t="s">
        <v>52</v>
      </c>
    </row>
    <row r="1214" customFormat="false" ht="12.8" hidden="false" customHeight="false" outlineLevel="0" collapsed="false">
      <c r="A1214" s="0" t="n">
        <v>242791</v>
      </c>
      <c r="B1214" s="0" t="n">
        <v>266150</v>
      </c>
      <c r="C1214" s="0" t="n">
        <v>299125</v>
      </c>
      <c r="D1214" s="0" t="s">
        <v>35</v>
      </c>
      <c r="E1214" s="0" t="s">
        <v>35</v>
      </c>
      <c r="F1214" s="0" t="s">
        <v>36</v>
      </c>
      <c r="G1214" s="0" t="s">
        <v>37</v>
      </c>
      <c r="H1214" s="0" t="s">
        <v>4193</v>
      </c>
      <c r="I1214" s="0" t="s">
        <v>4194</v>
      </c>
      <c r="J1214" s="0" t="s">
        <v>4195</v>
      </c>
      <c r="M1214" s="0" t="s">
        <v>4196</v>
      </c>
      <c r="N1214" s="0" t="n">
        <v>1926</v>
      </c>
      <c r="O1214" s="0" t="s">
        <v>4197</v>
      </c>
      <c r="P1214" s="0" t="n">
        <v>1926</v>
      </c>
      <c r="Q1214" s="0" t="s">
        <v>39</v>
      </c>
      <c r="R1214" s="0" t="s">
        <v>4198</v>
      </c>
      <c r="S1214" s="0" t="s">
        <v>4199</v>
      </c>
      <c r="V1214" s="0" t="n">
        <v>1</v>
      </c>
      <c r="W1214" s="0" t="n">
        <v>1</v>
      </c>
      <c r="X1214" s="0" t="str">
        <f aca="false">"31811010385790"</f>
        <v>31811010385790</v>
      </c>
      <c r="Y1214" s="0" t="s">
        <v>39</v>
      </c>
      <c r="Z1214" s="0" t="s">
        <v>42</v>
      </c>
      <c r="AA1214" s="0" t="s">
        <v>43</v>
      </c>
      <c r="AE1214" s="1" t="s">
        <v>52</v>
      </c>
      <c r="AH1214" s="1" t="s">
        <v>4200</v>
      </c>
    </row>
    <row r="1215" customFormat="false" ht="12.8" hidden="false" customHeight="false" outlineLevel="0" collapsed="false">
      <c r="A1215" s="0" t="n">
        <v>355215</v>
      </c>
      <c r="B1215" s="0" t="n">
        <v>266150</v>
      </c>
      <c r="C1215" s="0" t="n">
        <v>299125</v>
      </c>
      <c r="D1215" s="0" t="s">
        <v>35</v>
      </c>
      <c r="E1215" s="0" t="s">
        <v>35</v>
      </c>
      <c r="F1215" s="0" t="s">
        <v>36</v>
      </c>
      <c r="G1215" s="0" t="s">
        <v>37</v>
      </c>
      <c r="H1215" s="0" t="s">
        <v>4201</v>
      </c>
      <c r="I1215" s="0" t="s">
        <v>4202</v>
      </c>
      <c r="J1215" s="0" t="s">
        <v>4203</v>
      </c>
      <c r="M1215" s="0" t="s">
        <v>4204</v>
      </c>
      <c r="N1215" s="0" t="n">
        <v>1926</v>
      </c>
      <c r="O1215" s="0" t="s">
        <v>4197</v>
      </c>
      <c r="P1215" s="0" t="n">
        <v>1926</v>
      </c>
      <c r="Q1215" s="0" t="s">
        <v>39</v>
      </c>
      <c r="R1215" s="0" t="s">
        <v>4198</v>
      </c>
      <c r="S1215" s="0" t="s">
        <v>4199</v>
      </c>
      <c r="V1215" s="0" t="n">
        <v>1</v>
      </c>
      <c r="W1215" s="0" t="n">
        <v>1</v>
      </c>
      <c r="X1215" s="0" t="str">
        <f aca="false">"31811010385790"</f>
        <v>31811010385790</v>
      </c>
      <c r="Y1215" s="0" t="s">
        <v>39</v>
      </c>
      <c r="Z1215" s="0" t="s">
        <v>42</v>
      </c>
      <c r="AA1215" s="0" t="s">
        <v>43</v>
      </c>
      <c r="AE1215" s="1" t="s">
        <v>52</v>
      </c>
      <c r="AH1215" s="1" t="s">
        <v>4200</v>
      </c>
    </row>
    <row r="1216" customFormat="false" ht="12.8" hidden="false" customHeight="false" outlineLevel="0" collapsed="false">
      <c r="A1216" s="0" t="n">
        <v>353548</v>
      </c>
      <c r="B1216" s="0" t="n">
        <v>266150</v>
      </c>
      <c r="C1216" s="0" t="n">
        <v>299125</v>
      </c>
      <c r="D1216" s="0" t="s">
        <v>35</v>
      </c>
      <c r="E1216" s="0" t="s">
        <v>35</v>
      </c>
      <c r="F1216" s="0" t="s">
        <v>36</v>
      </c>
      <c r="G1216" s="0" t="s">
        <v>37</v>
      </c>
      <c r="H1216" s="0" t="s">
        <v>4205</v>
      </c>
      <c r="I1216" s="0" t="s">
        <v>4206</v>
      </c>
      <c r="J1216" s="0" t="s">
        <v>4207</v>
      </c>
      <c r="M1216" s="0" t="s">
        <v>4208</v>
      </c>
      <c r="N1216" s="0" t="n">
        <v>1926</v>
      </c>
      <c r="O1216" s="0" t="s">
        <v>4209</v>
      </c>
      <c r="P1216" s="0" t="n">
        <v>1926</v>
      </c>
      <c r="Q1216" s="0" t="s">
        <v>39</v>
      </c>
      <c r="R1216" s="0" t="s">
        <v>4198</v>
      </c>
      <c r="S1216" s="0" t="s">
        <v>4199</v>
      </c>
      <c r="V1216" s="0" t="n">
        <v>1</v>
      </c>
      <c r="W1216" s="0" t="n">
        <v>1</v>
      </c>
      <c r="X1216" s="0" t="str">
        <f aca="false">"31811010385790"</f>
        <v>31811010385790</v>
      </c>
      <c r="Y1216" s="0" t="s">
        <v>39</v>
      </c>
      <c r="Z1216" s="0" t="s">
        <v>42</v>
      </c>
      <c r="AA1216" s="0" t="s">
        <v>43</v>
      </c>
      <c r="AE1216" s="1" t="s">
        <v>52</v>
      </c>
      <c r="AH1216" s="1" t="s">
        <v>4200</v>
      </c>
    </row>
    <row r="1217" customFormat="false" ht="12.8" hidden="false" customHeight="false" outlineLevel="0" collapsed="false">
      <c r="A1217" s="0" t="n">
        <v>447785</v>
      </c>
      <c r="B1217" s="0" t="n">
        <v>266150</v>
      </c>
      <c r="C1217" s="0" t="n">
        <v>299125</v>
      </c>
      <c r="D1217" s="0" t="s">
        <v>35</v>
      </c>
      <c r="E1217" s="0" t="s">
        <v>35</v>
      </c>
      <c r="F1217" s="0" t="s">
        <v>36</v>
      </c>
      <c r="G1217" s="0" t="s">
        <v>37</v>
      </c>
      <c r="H1217" s="0" t="s">
        <v>4210</v>
      </c>
      <c r="I1217" s="0" t="s">
        <v>4211</v>
      </c>
      <c r="J1217" s="0" t="s">
        <v>4212</v>
      </c>
      <c r="M1217" s="0" t="s">
        <v>4213</v>
      </c>
      <c r="N1217" s="0" t="n">
        <v>1926</v>
      </c>
      <c r="O1217" s="0" t="s">
        <v>4209</v>
      </c>
      <c r="P1217" s="0" t="n">
        <v>1926</v>
      </c>
      <c r="Q1217" s="0" t="s">
        <v>39</v>
      </c>
      <c r="R1217" s="0" t="s">
        <v>4198</v>
      </c>
      <c r="S1217" s="0" t="s">
        <v>4199</v>
      </c>
      <c r="V1217" s="0" t="n">
        <v>1</v>
      </c>
      <c r="W1217" s="0" t="n">
        <v>1</v>
      </c>
      <c r="X1217" s="0" t="str">
        <f aca="false">"31811010385790"</f>
        <v>31811010385790</v>
      </c>
      <c r="Y1217" s="0" t="s">
        <v>39</v>
      </c>
      <c r="Z1217" s="0" t="s">
        <v>42</v>
      </c>
      <c r="AA1217" s="0" t="s">
        <v>43</v>
      </c>
      <c r="AE1217" s="1" t="s">
        <v>52</v>
      </c>
      <c r="AH1217" s="1" t="s">
        <v>4200</v>
      </c>
    </row>
    <row r="1218" customFormat="false" ht="12.8" hidden="false" customHeight="false" outlineLevel="0" collapsed="false">
      <c r="A1218" s="0" t="n">
        <v>149618</v>
      </c>
      <c r="B1218" s="0" t="n">
        <v>162250</v>
      </c>
      <c r="C1218" s="0" t="n">
        <v>182102</v>
      </c>
      <c r="D1218" s="0" t="s">
        <v>35</v>
      </c>
      <c r="E1218" s="0" t="s">
        <v>35</v>
      </c>
      <c r="F1218" s="0" t="s">
        <v>36</v>
      </c>
      <c r="G1218" s="0" t="s">
        <v>37</v>
      </c>
      <c r="H1218" s="0" t="s">
        <v>4214</v>
      </c>
      <c r="I1218" s="0" t="s">
        <v>4215</v>
      </c>
      <c r="J1218" s="0" t="s">
        <v>4216</v>
      </c>
      <c r="M1218" s="0" t="s">
        <v>4217</v>
      </c>
      <c r="N1218" s="0" t="n">
        <v>1936</v>
      </c>
      <c r="O1218" s="0" t="s">
        <v>4197</v>
      </c>
      <c r="P1218" s="0" t="n">
        <v>1936</v>
      </c>
      <c r="Q1218" s="0" t="s">
        <v>39</v>
      </c>
      <c r="R1218" s="0" t="s">
        <v>4218</v>
      </c>
      <c r="S1218" s="0" t="s">
        <v>4219</v>
      </c>
      <c r="V1218" s="0" t="n">
        <v>1</v>
      </c>
      <c r="W1218" s="0" t="n">
        <v>1</v>
      </c>
      <c r="X1218" s="0" t="str">
        <f aca="false">"31811010386004"</f>
        <v>31811010386004</v>
      </c>
      <c r="Y1218" s="0" t="s">
        <v>39</v>
      </c>
      <c r="Z1218" s="0" t="s">
        <v>42</v>
      </c>
      <c r="AA1218" s="0" t="s">
        <v>43</v>
      </c>
      <c r="AE1218" s="1" t="s">
        <v>52</v>
      </c>
    </row>
    <row r="1219" customFormat="false" ht="12.8" hidden="false" customHeight="false" outlineLevel="0" collapsed="false">
      <c r="A1219" s="0" t="n">
        <v>198335</v>
      </c>
      <c r="B1219" s="0" t="n">
        <v>162250</v>
      </c>
      <c r="C1219" s="0" t="n">
        <v>182102</v>
      </c>
      <c r="D1219" s="0" t="s">
        <v>35</v>
      </c>
      <c r="E1219" s="0" t="s">
        <v>35</v>
      </c>
      <c r="F1219" s="0" t="s">
        <v>36</v>
      </c>
      <c r="G1219" s="0" t="s">
        <v>37</v>
      </c>
      <c r="H1219" s="0" t="s">
        <v>4220</v>
      </c>
      <c r="I1219" s="0" t="s">
        <v>4221</v>
      </c>
      <c r="J1219" s="0" t="s">
        <v>4222</v>
      </c>
      <c r="M1219" s="0" t="s">
        <v>4223</v>
      </c>
      <c r="N1219" s="0" t="n">
        <v>1936</v>
      </c>
      <c r="O1219" s="0" t="s">
        <v>4209</v>
      </c>
      <c r="P1219" s="0" t="n">
        <v>1936</v>
      </c>
      <c r="Q1219" s="0" t="s">
        <v>39</v>
      </c>
      <c r="R1219" s="0" t="s">
        <v>4218</v>
      </c>
      <c r="S1219" s="0" t="s">
        <v>4219</v>
      </c>
      <c r="V1219" s="0" t="n">
        <v>1</v>
      </c>
      <c r="W1219" s="0" t="n">
        <v>1</v>
      </c>
      <c r="X1219" s="0" t="str">
        <f aca="false">"31811010386004"</f>
        <v>31811010386004</v>
      </c>
      <c r="Y1219" s="0" t="s">
        <v>39</v>
      </c>
      <c r="Z1219" s="0" t="s">
        <v>42</v>
      </c>
      <c r="AA1219" s="0" t="s">
        <v>43</v>
      </c>
      <c r="AE1219" s="1" t="s">
        <v>52</v>
      </c>
    </row>
    <row r="1220" customFormat="false" ht="12.8" hidden="false" customHeight="false" outlineLevel="0" collapsed="false">
      <c r="A1220" s="0" t="n">
        <v>348031</v>
      </c>
      <c r="B1220" s="0" t="n">
        <v>162250</v>
      </c>
      <c r="C1220" s="0" t="n">
        <v>182102</v>
      </c>
      <c r="D1220" s="0" t="s">
        <v>35</v>
      </c>
      <c r="E1220" s="0" t="s">
        <v>35</v>
      </c>
      <c r="F1220" s="0" t="s">
        <v>36</v>
      </c>
      <c r="G1220" s="0" t="s">
        <v>37</v>
      </c>
      <c r="H1220" s="0" t="s">
        <v>4224</v>
      </c>
      <c r="J1220" s="0" t="s">
        <v>4225</v>
      </c>
      <c r="M1220" s="0" t="s">
        <v>4226</v>
      </c>
      <c r="N1220" s="0" t="n">
        <v>1936</v>
      </c>
      <c r="O1220" s="0" t="s">
        <v>4197</v>
      </c>
      <c r="P1220" s="0" t="n">
        <v>1936</v>
      </c>
      <c r="Q1220" s="0" t="s">
        <v>39</v>
      </c>
      <c r="R1220" s="0" t="s">
        <v>4218</v>
      </c>
      <c r="S1220" s="0" t="s">
        <v>4219</v>
      </c>
      <c r="V1220" s="0" t="n">
        <v>1</v>
      </c>
      <c r="W1220" s="0" t="n">
        <v>1</v>
      </c>
      <c r="X1220" s="0" t="str">
        <f aca="false">"31811010386004"</f>
        <v>31811010386004</v>
      </c>
      <c r="Y1220" s="0" t="s">
        <v>39</v>
      </c>
      <c r="Z1220" s="0" t="s">
        <v>42</v>
      </c>
      <c r="AA1220" s="0" t="s">
        <v>43</v>
      </c>
      <c r="AE1220" s="1" t="s">
        <v>52</v>
      </c>
    </row>
    <row r="1221" customFormat="false" ht="12.8" hidden="false" customHeight="false" outlineLevel="0" collapsed="false">
      <c r="A1221" s="0" t="n">
        <v>451861</v>
      </c>
      <c r="B1221" s="0" t="n">
        <v>162250</v>
      </c>
      <c r="C1221" s="0" t="n">
        <v>182102</v>
      </c>
      <c r="D1221" s="0" t="s">
        <v>35</v>
      </c>
      <c r="E1221" s="0" t="s">
        <v>35</v>
      </c>
      <c r="F1221" s="0" t="s">
        <v>36</v>
      </c>
      <c r="G1221" s="0" t="s">
        <v>37</v>
      </c>
      <c r="H1221" s="0" t="s">
        <v>4227</v>
      </c>
      <c r="I1221" s="0" t="s">
        <v>4228</v>
      </c>
      <c r="J1221" s="0" t="s">
        <v>4229</v>
      </c>
      <c r="M1221" s="0" t="s">
        <v>4230</v>
      </c>
      <c r="N1221" s="0" t="n">
        <v>1936</v>
      </c>
      <c r="O1221" s="0" t="s">
        <v>4209</v>
      </c>
      <c r="P1221" s="0" t="n">
        <v>1936</v>
      </c>
      <c r="Q1221" s="0" t="s">
        <v>39</v>
      </c>
      <c r="R1221" s="0" t="s">
        <v>4218</v>
      </c>
      <c r="S1221" s="0" t="s">
        <v>4219</v>
      </c>
      <c r="V1221" s="0" t="n">
        <v>1</v>
      </c>
      <c r="W1221" s="0" t="n">
        <v>1</v>
      </c>
      <c r="X1221" s="0" t="str">
        <f aca="false">"31811010386004"</f>
        <v>31811010386004</v>
      </c>
      <c r="Y1221" s="0" t="s">
        <v>39</v>
      </c>
      <c r="Z1221" s="0" t="s">
        <v>42</v>
      </c>
      <c r="AA1221" s="0" t="s">
        <v>43</v>
      </c>
      <c r="AE1221" s="1" t="s">
        <v>52</v>
      </c>
    </row>
    <row r="1222" customFormat="false" ht="12.8" hidden="false" customHeight="false" outlineLevel="0" collapsed="false">
      <c r="A1222" s="0" t="n">
        <v>198338</v>
      </c>
      <c r="B1222" s="0" t="n">
        <v>264739</v>
      </c>
      <c r="C1222" s="0" t="n">
        <v>297653</v>
      </c>
      <c r="D1222" s="0" t="s">
        <v>35</v>
      </c>
      <c r="E1222" s="0" t="s">
        <v>35</v>
      </c>
      <c r="F1222" s="0" t="s">
        <v>36</v>
      </c>
      <c r="G1222" s="0" t="s">
        <v>37</v>
      </c>
      <c r="H1222" s="0" t="s">
        <v>4231</v>
      </c>
      <c r="I1222" s="0" t="s">
        <v>4232</v>
      </c>
      <c r="J1222" s="0" t="s">
        <v>4233</v>
      </c>
      <c r="M1222" s="0" t="s">
        <v>4234</v>
      </c>
      <c r="N1222" s="0" t="n">
        <v>1937</v>
      </c>
      <c r="O1222" s="0" t="s">
        <v>4209</v>
      </c>
      <c r="P1222" s="0" t="n">
        <v>1937</v>
      </c>
      <c r="Q1222" s="0" t="s">
        <v>39</v>
      </c>
      <c r="R1222" s="0" t="s">
        <v>4235</v>
      </c>
      <c r="S1222" s="0" t="s">
        <v>4236</v>
      </c>
      <c r="V1222" s="0" t="n">
        <v>1</v>
      </c>
      <c r="W1222" s="0" t="n">
        <v>1</v>
      </c>
      <c r="X1222" s="0" t="str">
        <f aca="false">"31811010385998"</f>
        <v>31811010385998</v>
      </c>
      <c r="Y1222" s="0" t="s">
        <v>39</v>
      </c>
      <c r="Z1222" s="0" t="s">
        <v>42</v>
      </c>
      <c r="AA1222" s="0" t="s">
        <v>43</v>
      </c>
      <c r="AE1222" s="1" t="s">
        <v>52</v>
      </c>
    </row>
    <row r="1223" customFormat="false" ht="12.8" hidden="false" customHeight="false" outlineLevel="0" collapsed="false">
      <c r="A1223" s="0" t="n">
        <v>241517</v>
      </c>
      <c r="B1223" s="0" t="n">
        <v>264739</v>
      </c>
      <c r="C1223" s="0" t="n">
        <v>297653</v>
      </c>
      <c r="D1223" s="0" t="s">
        <v>35</v>
      </c>
      <c r="E1223" s="0" t="s">
        <v>35</v>
      </c>
      <c r="F1223" s="0" t="s">
        <v>36</v>
      </c>
      <c r="G1223" s="0" t="s">
        <v>37</v>
      </c>
      <c r="H1223" s="0" t="s">
        <v>4237</v>
      </c>
      <c r="I1223" s="0" t="s">
        <v>4238</v>
      </c>
      <c r="J1223" s="0" t="s">
        <v>4237</v>
      </c>
      <c r="M1223" s="0" t="s">
        <v>4239</v>
      </c>
      <c r="N1223" s="0" t="n">
        <v>1937</v>
      </c>
      <c r="O1223" s="0" t="s">
        <v>4197</v>
      </c>
      <c r="P1223" s="0" t="n">
        <v>1937</v>
      </c>
      <c r="Q1223" s="0" t="s">
        <v>39</v>
      </c>
      <c r="R1223" s="0" t="s">
        <v>4235</v>
      </c>
      <c r="S1223" s="0" t="s">
        <v>4236</v>
      </c>
      <c r="V1223" s="0" t="n">
        <v>1</v>
      </c>
      <c r="W1223" s="0" t="n">
        <v>1</v>
      </c>
      <c r="X1223" s="0" t="str">
        <f aca="false">"31811010385998"</f>
        <v>31811010385998</v>
      </c>
      <c r="Y1223" s="0" t="s">
        <v>39</v>
      </c>
      <c r="Z1223" s="0" t="s">
        <v>42</v>
      </c>
      <c r="AA1223" s="0" t="s">
        <v>43</v>
      </c>
      <c r="AE1223" s="1" t="s">
        <v>52</v>
      </c>
    </row>
    <row r="1224" customFormat="false" ht="12.8" hidden="false" customHeight="false" outlineLevel="0" collapsed="false">
      <c r="A1224" s="0" t="n">
        <v>313505</v>
      </c>
      <c r="B1224" s="0" t="n">
        <v>264739</v>
      </c>
      <c r="C1224" s="0" t="n">
        <v>297653</v>
      </c>
      <c r="D1224" s="0" t="s">
        <v>35</v>
      </c>
      <c r="E1224" s="0" t="s">
        <v>35</v>
      </c>
      <c r="F1224" s="0" t="s">
        <v>36</v>
      </c>
      <c r="G1224" s="0" t="s">
        <v>37</v>
      </c>
      <c r="H1224" s="0" t="s">
        <v>4240</v>
      </c>
      <c r="I1224" s="0" t="s">
        <v>4241</v>
      </c>
      <c r="J1224" s="0" t="s">
        <v>4240</v>
      </c>
      <c r="M1224" s="0" t="s">
        <v>4242</v>
      </c>
      <c r="N1224" s="0" t="n">
        <v>1937</v>
      </c>
      <c r="O1224" s="0" t="s">
        <v>4197</v>
      </c>
      <c r="P1224" s="0" t="n">
        <v>1937</v>
      </c>
      <c r="Q1224" s="0" t="s">
        <v>39</v>
      </c>
      <c r="R1224" s="0" t="s">
        <v>4235</v>
      </c>
      <c r="S1224" s="0" t="s">
        <v>4236</v>
      </c>
      <c r="V1224" s="0" t="n">
        <v>1</v>
      </c>
      <c r="W1224" s="0" t="n">
        <v>1</v>
      </c>
      <c r="X1224" s="0" t="str">
        <f aca="false">"31811010385998"</f>
        <v>31811010385998</v>
      </c>
      <c r="Y1224" s="0" t="s">
        <v>39</v>
      </c>
      <c r="Z1224" s="0" t="s">
        <v>42</v>
      </c>
      <c r="AA1224" s="0" t="s">
        <v>43</v>
      </c>
      <c r="AE1224" s="1" t="s">
        <v>52</v>
      </c>
    </row>
    <row r="1225" customFormat="false" ht="12.8" hidden="false" customHeight="false" outlineLevel="0" collapsed="false">
      <c r="A1225" s="0" t="n">
        <v>451873</v>
      </c>
      <c r="B1225" s="0" t="n">
        <v>264739</v>
      </c>
      <c r="C1225" s="0" t="n">
        <v>297653</v>
      </c>
      <c r="D1225" s="0" t="s">
        <v>35</v>
      </c>
      <c r="E1225" s="0" t="s">
        <v>35</v>
      </c>
      <c r="F1225" s="0" t="s">
        <v>36</v>
      </c>
      <c r="G1225" s="0" t="s">
        <v>37</v>
      </c>
      <c r="H1225" s="0" t="s">
        <v>4243</v>
      </c>
      <c r="I1225" s="0" t="s">
        <v>4244</v>
      </c>
      <c r="J1225" s="0" t="s">
        <v>4245</v>
      </c>
      <c r="M1225" s="0" t="s">
        <v>4246</v>
      </c>
      <c r="N1225" s="0" t="n">
        <v>1937</v>
      </c>
      <c r="O1225" s="0" t="s">
        <v>4197</v>
      </c>
      <c r="P1225" s="0" t="n">
        <v>1937</v>
      </c>
      <c r="Q1225" s="0" t="s">
        <v>39</v>
      </c>
      <c r="R1225" s="0" t="s">
        <v>4235</v>
      </c>
      <c r="S1225" s="0" t="s">
        <v>4236</v>
      </c>
      <c r="V1225" s="0" t="n">
        <v>1</v>
      </c>
      <c r="W1225" s="0" t="n">
        <v>1</v>
      </c>
      <c r="X1225" s="0" t="str">
        <f aca="false">"31811010385998"</f>
        <v>31811010385998</v>
      </c>
      <c r="Y1225" s="0" t="s">
        <v>39</v>
      </c>
      <c r="Z1225" s="0" t="s">
        <v>42</v>
      </c>
      <c r="AA1225" s="0" t="s">
        <v>43</v>
      </c>
      <c r="AE1225" s="1" t="s">
        <v>52</v>
      </c>
    </row>
    <row r="1226" customFormat="false" ht="12.8" hidden="false" customHeight="false" outlineLevel="0" collapsed="false">
      <c r="A1226" s="0" t="n">
        <v>6877</v>
      </c>
      <c r="B1226" s="0" t="n">
        <v>7830</v>
      </c>
      <c r="C1226" s="0" t="n">
        <v>9060</v>
      </c>
      <c r="D1226" s="0" t="s">
        <v>35</v>
      </c>
      <c r="E1226" s="0" t="s">
        <v>35</v>
      </c>
      <c r="F1226" s="0" t="s">
        <v>36</v>
      </c>
      <c r="G1226" s="0" t="s">
        <v>37</v>
      </c>
      <c r="H1226" s="0" t="s">
        <v>4247</v>
      </c>
      <c r="I1226" s="0" t="s">
        <v>4248</v>
      </c>
      <c r="J1226" s="0" t="s">
        <v>4249</v>
      </c>
      <c r="M1226" s="0" t="s">
        <v>4250</v>
      </c>
      <c r="N1226" s="0" t="n">
        <v>1938</v>
      </c>
      <c r="O1226" s="0" t="s">
        <v>4197</v>
      </c>
      <c r="P1226" s="0" t="n">
        <v>1938</v>
      </c>
      <c r="Q1226" s="0" t="s">
        <v>39</v>
      </c>
      <c r="R1226" s="0" t="s">
        <v>4251</v>
      </c>
      <c r="S1226" s="0" t="s">
        <v>4252</v>
      </c>
      <c r="V1226" s="0" t="n">
        <v>1</v>
      </c>
      <c r="W1226" s="0" t="n">
        <v>1</v>
      </c>
      <c r="X1226" s="0" t="str">
        <f aca="false">"31811010385964"</f>
        <v>31811010385964</v>
      </c>
      <c r="Y1226" s="0" t="s">
        <v>39</v>
      </c>
      <c r="Z1226" s="0" t="s">
        <v>42</v>
      </c>
      <c r="AA1226" s="0" t="s">
        <v>43</v>
      </c>
      <c r="AE1226" s="1" t="s">
        <v>52</v>
      </c>
      <c r="AH1226" s="1" t="s">
        <v>4253</v>
      </c>
    </row>
    <row r="1227" customFormat="false" ht="12.8" hidden="false" customHeight="false" outlineLevel="0" collapsed="false">
      <c r="A1227" s="0" t="n">
        <v>198272</v>
      </c>
      <c r="B1227" s="0" t="n">
        <v>7830</v>
      </c>
      <c r="C1227" s="0" t="n">
        <v>9060</v>
      </c>
      <c r="D1227" s="0" t="s">
        <v>35</v>
      </c>
      <c r="E1227" s="0" t="s">
        <v>35</v>
      </c>
      <c r="F1227" s="0" t="s">
        <v>36</v>
      </c>
      <c r="G1227" s="0" t="s">
        <v>37</v>
      </c>
      <c r="H1227" s="0" t="s">
        <v>4254</v>
      </c>
      <c r="I1227" s="0" t="s">
        <v>4255</v>
      </c>
      <c r="J1227" s="0" t="s">
        <v>4256</v>
      </c>
      <c r="M1227" s="0" t="s">
        <v>4257</v>
      </c>
      <c r="N1227" s="0" t="n">
        <v>1938</v>
      </c>
      <c r="O1227" s="0" t="s">
        <v>4197</v>
      </c>
      <c r="P1227" s="0" t="n">
        <v>1938</v>
      </c>
      <c r="Q1227" s="0" t="s">
        <v>39</v>
      </c>
      <c r="R1227" s="0" t="s">
        <v>4251</v>
      </c>
      <c r="S1227" s="0" t="s">
        <v>4252</v>
      </c>
      <c r="V1227" s="0" t="n">
        <v>1</v>
      </c>
      <c r="W1227" s="0" t="n">
        <v>1</v>
      </c>
      <c r="X1227" s="0" t="str">
        <f aca="false">"31811010385964"</f>
        <v>31811010385964</v>
      </c>
      <c r="Y1227" s="0" t="s">
        <v>39</v>
      </c>
      <c r="Z1227" s="0" t="s">
        <v>42</v>
      </c>
      <c r="AA1227" s="0" t="s">
        <v>43</v>
      </c>
      <c r="AE1227" s="1" t="s">
        <v>52</v>
      </c>
      <c r="AH1227" s="1" t="s">
        <v>4253</v>
      </c>
    </row>
    <row r="1228" customFormat="false" ht="12.8" hidden="false" customHeight="false" outlineLevel="0" collapsed="false">
      <c r="A1228" s="0" t="n">
        <v>353789</v>
      </c>
      <c r="B1228" s="0" t="n">
        <v>7830</v>
      </c>
      <c r="C1228" s="0" t="n">
        <v>9060</v>
      </c>
      <c r="D1228" s="0" t="s">
        <v>35</v>
      </c>
      <c r="E1228" s="0" t="s">
        <v>35</v>
      </c>
      <c r="F1228" s="0" t="s">
        <v>36</v>
      </c>
      <c r="G1228" s="0" t="s">
        <v>37</v>
      </c>
      <c r="H1228" s="0" t="s">
        <v>4258</v>
      </c>
      <c r="I1228" s="0" t="s">
        <v>4259</v>
      </c>
      <c r="J1228" s="0" t="s">
        <v>4258</v>
      </c>
      <c r="M1228" s="0" t="s">
        <v>4260</v>
      </c>
      <c r="N1228" s="0" t="n">
        <v>1938</v>
      </c>
      <c r="O1228" s="0" t="s">
        <v>4209</v>
      </c>
      <c r="P1228" s="0" t="n">
        <v>1938</v>
      </c>
      <c r="Q1228" s="0" t="s">
        <v>39</v>
      </c>
      <c r="R1228" s="0" t="s">
        <v>4251</v>
      </c>
      <c r="S1228" s="0" t="s">
        <v>4252</v>
      </c>
      <c r="V1228" s="0" t="n">
        <v>1</v>
      </c>
      <c r="W1228" s="0" t="n">
        <v>1</v>
      </c>
      <c r="X1228" s="0" t="str">
        <f aca="false">"31811010385964"</f>
        <v>31811010385964</v>
      </c>
      <c r="Y1228" s="0" t="s">
        <v>39</v>
      </c>
      <c r="Z1228" s="0" t="s">
        <v>42</v>
      </c>
      <c r="AA1228" s="0" t="s">
        <v>43</v>
      </c>
      <c r="AE1228" s="1" t="s">
        <v>52</v>
      </c>
      <c r="AH1228" s="1" t="s">
        <v>4253</v>
      </c>
    </row>
    <row r="1229" customFormat="false" ht="12.8" hidden="false" customHeight="false" outlineLevel="0" collapsed="false">
      <c r="A1229" s="0" t="n">
        <v>198298</v>
      </c>
      <c r="B1229" s="0" t="n">
        <v>217530</v>
      </c>
      <c r="C1229" s="0" t="n">
        <v>244442</v>
      </c>
      <c r="D1229" s="0" t="s">
        <v>35</v>
      </c>
      <c r="E1229" s="0" t="s">
        <v>35</v>
      </c>
      <c r="F1229" s="0" t="s">
        <v>36</v>
      </c>
      <c r="G1229" s="0" t="s">
        <v>37</v>
      </c>
      <c r="H1229" s="0" t="s">
        <v>4261</v>
      </c>
      <c r="I1229" s="0" t="s">
        <v>4262</v>
      </c>
      <c r="J1229" s="0" t="s">
        <v>4263</v>
      </c>
      <c r="M1229" s="0" t="s">
        <v>4264</v>
      </c>
      <c r="N1229" s="0" t="s">
        <v>2675</v>
      </c>
      <c r="O1229" s="0" t="s">
        <v>4209</v>
      </c>
      <c r="P1229" s="0" t="n">
        <v>1940</v>
      </c>
      <c r="Q1229" s="0" t="s">
        <v>39</v>
      </c>
      <c r="R1229" s="0" t="s">
        <v>4265</v>
      </c>
      <c r="S1229" s="0" t="s">
        <v>4266</v>
      </c>
      <c r="V1229" s="0" t="n">
        <v>1</v>
      </c>
      <c r="W1229" s="0" t="n">
        <v>1</v>
      </c>
      <c r="X1229" s="0" t="str">
        <f aca="false">"31811010385949"</f>
        <v>31811010385949</v>
      </c>
      <c r="Y1229" s="0" t="s">
        <v>39</v>
      </c>
      <c r="Z1229" s="0" t="s">
        <v>42</v>
      </c>
      <c r="AA1229" s="0" t="s">
        <v>43</v>
      </c>
      <c r="AE1229" s="1" t="s">
        <v>52</v>
      </c>
    </row>
    <row r="1230" customFormat="false" ht="12.8" hidden="false" customHeight="false" outlineLevel="0" collapsed="false">
      <c r="A1230" s="0" t="n">
        <v>198304</v>
      </c>
      <c r="B1230" s="0" t="n">
        <v>217530</v>
      </c>
      <c r="C1230" s="0" t="n">
        <v>244442</v>
      </c>
      <c r="D1230" s="0" t="s">
        <v>35</v>
      </c>
      <c r="E1230" s="0" t="s">
        <v>35</v>
      </c>
      <c r="F1230" s="0" t="s">
        <v>36</v>
      </c>
      <c r="G1230" s="0" t="s">
        <v>37</v>
      </c>
      <c r="H1230" s="0" t="s">
        <v>4267</v>
      </c>
      <c r="I1230" s="0" t="s">
        <v>4268</v>
      </c>
      <c r="J1230" s="0" t="s">
        <v>4269</v>
      </c>
      <c r="M1230" s="0" t="s">
        <v>4270</v>
      </c>
      <c r="N1230" s="0" t="s">
        <v>2675</v>
      </c>
      <c r="O1230" s="0" t="s">
        <v>4271</v>
      </c>
      <c r="P1230" s="0" t="n">
        <v>1940</v>
      </c>
      <c r="Q1230" s="0" t="s">
        <v>39</v>
      </c>
      <c r="R1230" s="0" t="s">
        <v>4265</v>
      </c>
      <c r="S1230" s="0" t="s">
        <v>4266</v>
      </c>
      <c r="V1230" s="0" t="n">
        <v>1</v>
      </c>
      <c r="W1230" s="0" t="n">
        <v>1</v>
      </c>
      <c r="X1230" s="0" t="str">
        <f aca="false">"31811010385949"</f>
        <v>31811010385949</v>
      </c>
      <c r="Y1230" s="0" t="s">
        <v>39</v>
      </c>
      <c r="Z1230" s="0" t="s">
        <v>42</v>
      </c>
      <c r="AA1230" s="0" t="s">
        <v>43</v>
      </c>
      <c r="AE1230" s="1" t="s">
        <v>52</v>
      </c>
    </row>
    <row r="1231" customFormat="false" ht="12.8" hidden="false" customHeight="false" outlineLevel="0" collapsed="false">
      <c r="A1231" s="0" t="n">
        <v>198336</v>
      </c>
      <c r="B1231" s="0" t="n">
        <v>217530</v>
      </c>
      <c r="C1231" s="0" t="n">
        <v>244442</v>
      </c>
      <c r="D1231" s="0" t="s">
        <v>35</v>
      </c>
      <c r="E1231" s="0" t="s">
        <v>35</v>
      </c>
      <c r="F1231" s="0" t="s">
        <v>36</v>
      </c>
      <c r="G1231" s="0" t="s">
        <v>37</v>
      </c>
      <c r="H1231" s="0" t="s">
        <v>4272</v>
      </c>
      <c r="I1231" s="0" t="s">
        <v>4273</v>
      </c>
      <c r="J1231" s="0" t="s">
        <v>4274</v>
      </c>
      <c r="M1231" s="0" t="s">
        <v>4275</v>
      </c>
      <c r="N1231" s="0" t="s">
        <v>2675</v>
      </c>
      <c r="O1231" s="0" t="s">
        <v>4271</v>
      </c>
      <c r="P1231" s="0" t="n">
        <v>1940</v>
      </c>
      <c r="Q1231" s="0" t="s">
        <v>39</v>
      </c>
      <c r="R1231" s="0" t="s">
        <v>4265</v>
      </c>
      <c r="S1231" s="0" t="s">
        <v>4266</v>
      </c>
      <c r="V1231" s="0" t="n">
        <v>1</v>
      </c>
      <c r="W1231" s="0" t="n">
        <v>1</v>
      </c>
      <c r="X1231" s="0" t="str">
        <f aca="false">"31811010385949"</f>
        <v>31811010385949</v>
      </c>
      <c r="Y1231" s="0" t="s">
        <v>39</v>
      </c>
      <c r="Z1231" s="0" t="s">
        <v>42</v>
      </c>
      <c r="AA1231" s="0" t="s">
        <v>43</v>
      </c>
      <c r="AE1231" s="1" t="s">
        <v>52</v>
      </c>
    </row>
    <row r="1232" customFormat="false" ht="12.8" hidden="false" customHeight="false" outlineLevel="0" collapsed="false">
      <c r="A1232" s="0" t="n">
        <v>449078</v>
      </c>
      <c r="B1232" s="0" t="n">
        <v>217530</v>
      </c>
      <c r="C1232" s="0" t="n">
        <v>244442</v>
      </c>
      <c r="D1232" s="0" t="s">
        <v>35</v>
      </c>
      <c r="E1232" s="0" t="s">
        <v>35</v>
      </c>
      <c r="F1232" s="0" t="s">
        <v>36</v>
      </c>
      <c r="G1232" s="0" t="s">
        <v>37</v>
      </c>
      <c r="H1232" s="0" t="s">
        <v>4276</v>
      </c>
      <c r="I1232" s="0" t="s">
        <v>4277</v>
      </c>
      <c r="J1232" s="0" t="s">
        <v>4278</v>
      </c>
      <c r="M1232" s="0" t="s">
        <v>4279</v>
      </c>
      <c r="N1232" s="0" t="n">
        <v>1940</v>
      </c>
      <c r="O1232" s="0" t="s">
        <v>4197</v>
      </c>
      <c r="P1232" s="0" t="n">
        <v>1940</v>
      </c>
      <c r="Q1232" s="0" t="s">
        <v>39</v>
      </c>
      <c r="R1232" s="0" t="s">
        <v>4265</v>
      </c>
      <c r="S1232" s="0" t="s">
        <v>4266</v>
      </c>
      <c r="V1232" s="0" t="n">
        <v>1</v>
      </c>
      <c r="W1232" s="0" t="n">
        <v>1</v>
      </c>
      <c r="X1232" s="0" t="str">
        <f aca="false">"31811010385949"</f>
        <v>31811010385949</v>
      </c>
      <c r="Y1232" s="0" t="s">
        <v>39</v>
      </c>
      <c r="Z1232" s="0" t="s">
        <v>42</v>
      </c>
      <c r="AA1232" s="0" t="s">
        <v>43</v>
      </c>
      <c r="AE1232" s="1" t="s">
        <v>52</v>
      </c>
    </row>
    <row r="1233" customFormat="false" ht="12.8" hidden="false" customHeight="false" outlineLevel="0" collapsed="false">
      <c r="A1233" s="0" t="n">
        <v>295247</v>
      </c>
      <c r="B1233" s="0" t="n">
        <v>383772</v>
      </c>
      <c r="C1233" s="0" t="n">
        <v>427083</v>
      </c>
      <c r="D1233" s="0" t="s">
        <v>35</v>
      </c>
      <c r="E1233" s="0" t="s">
        <v>35</v>
      </c>
      <c r="F1233" s="0" t="s">
        <v>36</v>
      </c>
      <c r="G1233" s="0" t="s">
        <v>37</v>
      </c>
      <c r="H1233" s="0" t="s">
        <v>4280</v>
      </c>
      <c r="I1233" s="0" t="s">
        <v>4281</v>
      </c>
      <c r="J1233" s="0" t="s">
        <v>4280</v>
      </c>
      <c r="M1233" s="0" t="s">
        <v>4282</v>
      </c>
      <c r="N1233" s="0" t="n">
        <v>1928</v>
      </c>
      <c r="O1233" s="0" t="s">
        <v>4197</v>
      </c>
      <c r="P1233" s="0" t="n">
        <v>1928</v>
      </c>
      <c r="Q1233" s="0" t="s">
        <v>39</v>
      </c>
      <c r="R1233" s="0" t="s">
        <v>4283</v>
      </c>
      <c r="S1233" s="0" t="s">
        <v>4284</v>
      </c>
      <c r="V1233" s="0" t="n">
        <v>1</v>
      </c>
      <c r="W1233" s="0" t="n">
        <v>1</v>
      </c>
      <c r="X1233" s="0" t="str">
        <f aca="false">"31811010385840"</f>
        <v>31811010385840</v>
      </c>
      <c r="Y1233" s="0" t="s">
        <v>39</v>
      </c>
      <c r="Z1233" s="0" t="s">
        <v>42</v>
      </c>
      <c r="AA1233" s="0" t="s">
        <v>43</v>
      </c>
      <c r="AE1233" s="1" t="s">
        <v>52</v>
      </c>
    </row>
    <row r="1234" customFormat="false" ht="12.8" hidden="false" customHeight="false" outlineLevel="0" collapsed="false">
      <c r="A1234" s="0" t="n">
        <v>354410</v>
      </c>
      <c r="B1234" s="0" t="n">
        <v>383772</v>
      </c>
      <c r="C1234" s="0" t="n">
        <v>427083</v>
      </c>
      <c r="D1234" s="0" t="s">
        <v>35</v>
      </c>
      <c r="E1234" s="0" t="s">
        <v>35</v>
      </c>
      <c r="F1234" s="0" t="s">
        <v>36</v>
      </c>
      <c r="G1234" s="0" t="s">
        <v>37</v>
      </c>
      <c r="H1234" s="0" t="s">
        <v>4285</v>
      </c>
      <c r="I1234" s="0" t="s">
        <v>4286</v>
      </c>
      <c r="J1234" s="0" t="s">
        <v>4287</v>
      </c>
      <c r="M1234" s="0" t="s">
        <v>4288</v>
      </c>
      <c r="N1234" s="0" t="n">
        <v>1928</v>
      </c>
      <c r="O1234" s="0" t="s">
        <v>4197</v>
      </c>
      <c r="P1234" s="0" t="n">
        <v>1928</v>
      </c>
      <c r="Q1234" s="0" t="s">
        <v>39</v>
      </c>
      <c r="R1234" s="0" t="s">
        <v>4283</v>
      </c>
      <c r="S1234" s="0" t="s">
        <v>4284</v>
      </c>
      <c r="V1234" s="0" t="n">
        <v>1</v>
      </c>
      <c r="W1234" s="0" t="n">
        <v>1</v>
      </c>
      <c r="X1234" s="0" t="str">
        <f aca="false">"31811010385840"</f>
        <v>31811010385840</v>
      </c>
      <c r="Y1234" s="0" t="s">
        <v>39</v>
      </c>
      <c r="Z1234" s="0" t="s">
        <v>42</v>
      </c>
      <c r="AA1234" s="0" t="s">
        <v>43</v>
      </c>
      <c r="AE1234" s="1" t="s">
        <v>52</v>
      </c>
    </row>
    <row r="1235" customFormat="false" ht="12.8" hidden="false" customHeight="false" outlineLevel="0" collapsed="false">
      <c r="A1235" s="0" t="n">
        <v>451893</v>
      </c>
      <c r="B1235" s="0" t="n">
        <v>383772</v>
      </c>
      <c r="C1235" s="0" t="n">
        <v>427083</v>
      </c>
      <c r="D1235" s="0" t="s">
        <v>35</v>
      </c>
      <c r="E1235" s="0" t="s">
        <v>35</v>
      </c>
      <c r="F1235" s="0" t="s">
        <v>36</v>
      </c>
      <c r="G1235" s="0" t="s">
        <v>37</v>
      </c>
      <c r="H1235" s="0" t="s">
        <v>4289</v>
      </c>
      <c r="I1235" s="0" t="s">
        <v>4290</v>
      </c>
      <c r="J1235" s="0" t="s">
        <v>4291</v>
      </c>
      <c r="M1235" s="0" t="s">
        <v>4292</v>
      </c>
      <c r="N1235" s="0" t="n">
        <v>1928</v>
      </c>
      <c r="O1235" s="0" t="s">
        <v>4197</v>
      </c>
      <c r="P1235" s="0" t="n">
        <v>1928</v>
      </c>
      <c r="Q1235" s="0" t="s">
        <v>39</v>
      </c>
      <c r="R1235" s="0" t="s">
        <v>4283</v>
      </c>
      <c r="S1235" s="0" t="s">
        <v>4284</v>
      </c>
      <c r="V1235" s="0" t="n">
        <v>1</v>
      </c>
      <c r="W1235" s="0" t="n">
        <v>1</v>
      </c>
      <c r="X1235" s="0" t="str">
        <f aca="false">"31811010385840"</f>
        <v>31811010385840</v>
      </c>
      <c r="Y1235" s="0" t="s">
        <v>39</v>
      </c>
      <c r="Z1235" s="0" t="s">
        <v>42</v>
      </c>
      <c r="AA1235" s="0" t="s">
        <v>43</v>
      </c>
      <c r="AE1235" s="1" t="s">
        <v>52</v>
      </c>
    </row>
    <row r="1236" customFormat="false" ht="12.8" hidden="false" customHeight="false" outlineLevel="0" collapsed="false">
      <c r="A1236" s="0" t="n">
        <v>447784</v>
      </c>
      <c r="B1236" s="0" t="n">
        <v>383772</v>
      </c>
      <c r="C1236" s="0" t="n">
        <v>427083</v>
      </c>
      <c r="D1236" s="0" t="s">
        <v>35</v>
      </c>
      <c r="E1236" s="0" t="s">
        <v>35</v>
      </c>
      <c r="F1236" s="0" t="s">
        <v>36</v>
      </c>
      <c r="G1236" s="0" t="s">
        <v>37</v>
      </c>
      <c r="H1236" s="0" t="s">
        <v>4293</v>
      </c>
      <c r="I1236" s="0" t="s">
        <v>4294</v>
      </c>
      <c r="J1236" s="0" t="s">
        <v>4295</v>
      </c>
      <c r="M1236" s="0" t="s">
        <v>4296</v>
      </c>
      <c r="N1236" s="0" t="n">
        <v>1928</v>
      </c>
      <c r="O1236" s="0" t="s">
        <v>4209</v>
      </c>
      <c r="P1236" s="0" t="n">
        <v>1928</v>
      </c>
      <c r="Q1236" s="0" t="s">
        <v>39</v>
      </c>
      <c r="R1236" s="0" t="s">
        <v>4283</v>
      </c>
      <c r="S1236" s="0" t="s">
        <v>4284</v>
      </c>
      <c r="V1236" s="0" t="n">
        <v>1</v>
      </c>
      <c r="W1236" s="0" t="n">
        <v>1</v>
      </c>
      <c r="X1236" s="0" t="str">
        <f aca="false">"31811010385840"</f>
        <v>31811010385840</v>
      </c>
      <c r="Y1236" s="0" t="s">
        <v>39</v>
      </c>
      <c r="Z1236" s="0" t="s">
        <v>42</v>
      </c>
      <c r="AA1236" s="0" t="s">
        <v>43</v>
      </c>
      <c r="AE1236" s="1" t="s">
        <v>52</v>
      </c>
    </row>
    <row r="1237" customFormat="false" ht="12.8" hidden="false" customHeight="false" outlineLevel="0" collapsed="false">
      <c r="A1237" s="0" t="n">
        <v>262219</v>
      </c>
      <c r="B1237" s="0" t="n">
        <v>287194</v>
      </c>
      <c r="C1237" s="0" t="n">
        <v>322558</v>
      </c>
      <c r="D1237" s="0" t="s">
        <v>35</v>
      </c>
      <c r="E1237" s="0" t="s">
        <v>35</v>
      </c>
      <c r="F1237" s="0" t="s">
        <v>36</v>
      </c>
      <c r="G1237" s="0" t="s">
        <v>37</v>
      </c>
      <c r="H1237" s="0" t="s">
        <v>4297</v>
      </c>
      <c r="I1237" s="0" t="s">
        <v>4298</v>
      </c>
      <c r="J1237" s="0" t="s">
        <v>4299</v>
      </c>
      <c r="M1237" s="0" t="s">
        <v>4300</v>
      </c>
      <c r="N1237" s="0" t="n">
        <v>1930</v>
      </c>
      <c r="O1237" s="0" t="s">
        <v>4209</v>
      </c>
      <c r="P1237" s="0" t="n">
        <v>1930</v>
      </c>
      <c r="Q1237" s="0" t="s">
        <v>39</v>
      </c>
      <c r="R1237" s="0" t="s">
        <v>4301</v>
      </c>
      <c r="S1237" s="0" t="s">
        <v>4302</v>
      </c>
      <c r="V1237" s="0" t="n">
        <v>1</v>
      </c>
      <c r="W1237" s="0" t="n">
        <v>1</v>
      </c>
      <c r="X1237" s="0" t="str">
        <f aca="false">"31811010385923"</f>
        <v>31811010385923</v>
      </c>
      <c r="Y1237" s="0" t="s">
        <v>39</v>
      </c>
      <c r="Z1237" s="0" t="s">
        <v>42</v>
      </c>
      <c r="AA1237" s="0" t="s">
        <v>43</v>
      </c>
      <c r="AE1237" s="1" t="s">
        <v>52</v>
      </c>
      <c r="AH1237" s="1" t="s">
        <v>4303</v>
      </c>
    </row>
    <row r="1238" customFormat="false" ht="12.8" hidden="false" customHeight="false" outlineLevel="0" collapsed="false">
      <c r="A1238" s="0" t="n">
        <v>438613</v>
      </c>
      <c r="B1238" s="0" t="n">
        <v>287194</v>
      </c>
      <c r="C1238" s="0" t="n">
        <v>322558</v>
      </c>
      <c r="D1238" s="0" t="s">
        <v>35</v>
      </c>
      <c r="E1238" s="0" t="s">
        <v>35</v>
      </c>
      <c r="F1238" s="0" t="s">
        <v>36</v>
      </c>
      <c r="G1238" s="0" t="s">
        <v>37</v>
      </c>
      <c r="H1238" s="0" t="s">
        <v>4304</v>
      </c>
      <c r="I1238" s="0" t="s">
        <v>4305</v>
      </c>
      <c r="J1238" s="0" t="s">
        <v>4306</v>
      </c>
      <c r="M1238" s="0" t="s">
        <v>4307</v>
      </c>
      <c r="N1238" s="0" t="n">
        <v>1930</v>
      </c>
      <c r="O1238" s="0" t="s">
        <v>4209</v>
      </c>
      <c r="P1238" s="0" t="n">
        <v>1930</v>
      </c>
      <c r="Q1238" s="0" t="s">
        <v>39</v>
      </c>
      <c r="R1238" s="0" t="s">
        <v>4301</v>
      </c>
      <c r="S1238" s="0" t="s">
        <v>4302</v>
      </c>
      <c r="V1238" s="0" t="n">
        <v>1</v>
      </c>
      <c r="W1238" s="0" t="n">
        <v>1</v>
      </c>
      <c r="X1238" s="0" t="str">
        <f aca="false">"31811010385923"</f>
        <v>31811010385923</v>
      </c>
      <c r="Y1238" s="0" t="s">
        <v>39</v>
      </c>
      <c r="Z1238" s="0" t="s">
        <v>42</v>
      </c>
      <c r="AA1238" s="0" t="s">
        <v>43</v>
      </c>
      <c r="AE1238" s="1" t="s">
        <v>52</v>
      </c>
      <c r="AH1238" s="1" t="s">
        <v>4303</v>
      </c>
    </row>
    <row r="1239" customFormat="false" ht="12.8" hidden="false" customHeight="false" outlineLevel="0" collapsed="false">
      <c r="A1239" s="0" t="n">
        <v>447780</v>
      </c>
      <c r="B1239" s="0" t="n">
        <v>287194</v>
      </c>
      <c r="C1239" s="0" t="n">
        <v>322558</v>
      </c>
      <c r="D1239" s="0" t="s">
        <v>35</v>
      </c>
      <c r="E1239" s="0" t="s">
        <v>35</v>
      </c>
      <c r="F1239" s="0" t="s">
        <v>36</v>
      </c>
      <c r="G1239" s="0" t="s">
        <v>37</v>
      </c>
      <c r="H1239" s="0" t="s">
        <v>4308</v>
      </c>
      <c r="I1239" s="0" t="s">
        <v>4309</v>
      </c>
      <c r="J1239" s="0" t="s">
        <v>4310</v>
      </c>
      <c r="M1239" s="0" t="s">
        <v>4311</v>
      </c>
      <c r="N1239" s="0" t="n">
        <v>1930</v>
      </c>
      <c r="O1239" s="0" t="s">
        <v>4209</v>
      </c>
      <c r="P1239" s="0" t="n">
        <v>1930</v>
      </c>
      <c r="Q1239" s="0" t="s">
        <v>39</v>
      </c>
      <c r="R1239" s="0" t="s">
        <v>4301</v>
      </c>
      <c r="S1239" s="0" t="s">
        <v>4302</v>
      </c>
      <c r="V1239" s="0" t="n">
        <v>1</v>
      </c>
      <c r="W1239" s="0" t="n">
        <v>1</v>
      </c>
      <c r="X1239" s="0" t="str">
        <f aca="false">"31811010385923"</f>
        <v>31811010385923</v>
      </c>
      <c r="Y1239" s="0" t="s">
        <v>39</v>
      </c>
      <c r="Z1239" s="0" t="s">
        <v>42</v>
      </c>
      <c r="AA1239" s="0" t="s">
        <v>43</v>
      </c>
      <c r="AE1239" s="1" t="s">
        <v>52</v>
      </c>
      <c r="AH1239" s="1" t="s">
        <v>4303</v>
      </c>
    </row>
    <row r="1240" customFormat="false" ht="12.8" hidden="false" customHeight="false" outlineLevel="0" collapsed="false">
      <c r="A1240" s="0" t="n">
        <v>447788</v>
      </c>
      <c r="B1240" s="0" t="n">
        <v>287194</v>
      </c>
      <c r="C1240" s="0" t="n">
        <v>322558</v>
      </c>
      <c r="D1240" s="0" t="s">
        <v>35</v>
      </c>
      <c r="E1240" s="0" t="s">
        <v>35</v>
      </c>
      <c r="F1240" s="0" t="s">
        <v>36</v>
      </c>
      <c r="G1240" s="0" t="s">
        <v>37</v>
      </c>
      <c r="H1240" s="0" t="s">
        <v>4312</v>
      </c>
      <c r="I1240" s="0" t="s">
        <v>4313</v>
      </c>
      <c r="J1240" s="0" t="s">
        <v>4312</v>
      </c>
      <c r="M1240" s="0" t="s">
        <v>4314</v>
      </c>
      <c r="N1240" s="0" t="n">
        <v>1930</v>
      </c>
      <c r="O1240" s="0" t="s">
        <v>4209</v>
      </c>
      <c r="P1240" s="0" t="n">
        <v>1930</v>
      </c>
      <c r="Q1240" s="0" t="s">
        <v>39</v>
      </c>
      <c r="R1240" s="0" t="s">
        <v>4301</v>
      </c>
      <c r="S1240" s="0" t="s">
        <v>4302</v>
      </c>
      <c r="V1240" s="0" t="n">
        <v>1</v>
      </c>
      <c r="W1240" s="0" t="n">
        <v>1</v>
      </c>
      <c r="X1240" s="0" t="str">
        <f aca="false">"31811010385923"</f>
        <v>31811010385923</v>
      </c>
      <c r="Y1240" s="0" t="s">
        <v>39</v>
      </c>
      <c r="Z1240" s="0" t="s">
        <v>42</v>
      </c>
      <c r="AA1240" s="0" t="s">
        <v>43</v>
      </c>
      <c r="AE1240" s="1" t="s">
        <v>52</v>
      </c>
      <c r="AH1240" s="1" t="s">
        <v>4303</v>
      </c>
    </row>
    <row r="1241" customFormat="false" ht="12.8" hidden="false" customHeight="false" outlineLevel="0" collapsed="false">
      <c r="A1241" s="0" t="n">
        <v>352543</v>
      </c>
      <c r="B1241" s="0" t="n">
        <v>285290</v>
      </c>
      <c r="C1241" s="0" t="n">
        <v>320409</v>
      </c>
      <c r="D1241" s="0" t="s">
        <v>35</v>
      </c>
      <c r="E1241" s="0" t="s">
        <v>35</v>
      </c>
      <c r="F1241" s="0" t="s">
        <v>36</v>
      </c>
      <c r="G1241" s="0" t="s">
        <v>37</v>
      </c>
      <c r="H1241" s="0" t="s">
        <v>4315</v>
      </c>
      <c r="I1241" s="0" t="s">
        <v>4259</v>
      </c>
      <c r="J1241" s="0" t="s">
        <v>4316</v>
      </c>
      <c r="M1241" s="0" t="s">
        <v>4317</v>
      </c>
      <c r="N1241" s="1" t="s">
        <v>4318</v>
      </c>
      <c r="O1241" s="0" t="s">
        <v>4209</v>
      </c>
      <c r="P1241" s="0" t="n">
        <v>1933</v>
      </c>
      <c r="Q1241" s="0" t="s">
        <v>39</v>
      </c>
      <c r="R1241" s="0" t="s">
        <v>4319</v>
      </c>
      <c r="S1241" s="0" t="s">
        <v>4320</v>
      </c>
      <c r="V1241" s="0" t="n">
        <v>1</v>
      </c>
      <c r="W1241" s="0" t="n">
        <v>1</v>
      </c>
      <c r="X1241" s="0" t="str">
        <f aca="false">"31811010386079"</f>
        <v>31811010386079</v>
      </c>
      <c r="Y1241" s="0" t="s">
        <v>39</v>
      </c>
      <c r="Z1241" s="0" t="s">
        <v>42</v>
      </c>
      <c r="AA1241" s="0" t="s">
        <v>43</v>
      </c>
      <c r="AE1241" s="1" t="s">
        <v>52</v>
      </c>
    </row>
    <row r="1242" customFormat="false" ht="12.8" hidden="false" customHeight="false" outlineLevel="0" collapsed="false">
      <c r="A1242" s="0" t="n">
        <v>198308</v>
      </c>
      <c r="B1242" s="0" t="n">
        <v>285290</v>
      </c>
      <c r="C1242" s="0" t="n">
        <v>320409</v>
      </c>
      <c r="D1242" s="0" t="s">
        <v>35</v>
      </c>
      <c r="E1242" s="0" t="s">
        <v>35</v>
      </c>
      <c r="F1242" s="0" t="s">
        <v>36</v>
      </c>
      <c r="G1242" s="0" t="s">
        <v>37</v>
      </c>
      <c r="H1242" s="0" t="s">
        <v>4321</v>
      </c>
      <c r="I1242" s="0" t="s">
        <v>4322</v>
      </c>
      <c r="J1242" s="0" t="s">
        <v>4323</v>
      </c>
      <c r="M1242" s="0" t="s">
        <v>4324</v>
      </c>
      <c r="N1242" s="0" t="n">
        <v>1934</v>
      </c>
      <c r="O1242" s="0" t="s">
        <v>4209</v>
      </c>
      <c r="P1242" s="0" t="n">
        <v>1934</v>
      </c>
      <c r="Q1242" s="0" t="s">
        <v>39</v>
      </c>
      <c r="R1242" s="0" t="s">
        <v>4319</v>
      </c>
      <c r="S1242" s="0" t="s">
        <v>4320</v>
      </c>
      <c r="V1242" s="0" t="n">
        <v>1</v>
      </c>
      <c r="W1242" s="0" t="n">
        <v>1</v>
      </c>
      <c r="X1242" s="0" t="str">
        <f aca="false">"31811010386079"</f>
        <v>31811010386079</v>
      </c>
      <c r="Y1242" s="0" t="s">
        <v>39</v>
      </c>
      <c r="Z1242" s="0" t="s">
        <v>42</v>
      </c>
      <c r="AA1242" s="0" t="s">
        <v>43</v>
      </c>
      <c r="AE1242" s="1" t="s">
        <v>52</v>
      </c>
    </row>
    <row r="1243" customFormat="false" ht="12.8" hidden="false" customHeight="false" outlineLevel="0" collapsed="false">
      <c r="A1243" s="0" t="n">
        <v>198334</v>
      </c>
      <c r="B1243" s="0" t="n">
        <v>285290</v>
      </c>
      <c r="C1243" s="0" t="n">
        <v>320409</v>
      </c>
      <c r="D1243" s="0" t="s">
        <v>35</v>
      </c>
      <c r="E1243" s="0" t="s">
        <v>35</v>
      </c>
      <c r="F1243" s="0" t="s">
        <v>36</v>
      </c>
      <c r="G1243" s="0" t="s">
        <v>37</v>
      </c>
      <c r="H1243" s="0" t="s">
        <v>4325</v>
      </c>
      <c r="I1243" s="0" t="s">
        <v>4326</v>
      </c>
      <c r="J1243" s="0" t="s">
        <v>4327</v>
      </c>
      <c r="M1243" s="0" t="s">
        <v>4328</v>
      </c>
      <c r="N1243" s="0" t="n">
        <v>1934</v>
      </c>
      <c r="O1243" s="0" t="s">
        <v>4209</v>
      </c>
      <c r="P1243" s="0" t="n">
        <v>1934</v>
      </c>
      <c r="Q1243" s="0" t="s">
        <v>39</v>
      </c>
      <c r="R1243" s="0" t="s">
        <v>4319</v>
      </c>
      <c r="S1243" s="0" t="s">
        <v>4320</v>
      </c>
      <c r="V1243" s="0" t="n">
        <v>1</v>
      </c>
      <c r="W1243" s="0" t="n">
        <v>1</v>
      </c>
      <c r="X1243" s="0" t="str">
        <f aca="false">"31811010386079"</f>
        <v>31811010386079</v>
      </c>
      <c r="Y1243" s="0" t="s">
        <v>39</v>
      </c>
      <c r="Z1243" s="0" t="s">
        <v>42</v>
      </c>
      <c r="AA1243" s="0" t="s">
        <v>43</v>
      </c>
      <c r="AE1243" s="1" t="s">
        <v>52</v>
      </c>
    </row>
    <row r="1244" customFormat="false" ht="12.8" hidden="false" customHeight="false" outlineLevel="0" collapsed="false">
      <c r="A1244" s="0" t="n">
        <v>260473</v>
      </c>
      <c r="B1244" s="0" t="n">
        <v>285290</v>
      </c>
      <c r="C1244" s="0" t="n">
        <v>320409</v>
      </c>
      <c r="D1244" s="0" t="s">
        <v>35</v>
      </c>
      <c r="E1244" s="0" t="s">
        <v>35</v>
      </c>
      <c r="F1244" s="0" t="s">
        <v>36</v>
      </c>
      <c r="G1244" s="0" t="s">
        <v>37</v>
      </c>
      <c r="H1244" s="0" t="s">
        <v>4329</v>
      </c>
      <c r="I1244" s="0" t="s">
        <v>4330</v>
      </c>
      <c r="J1244" s="0" t="s">
        <v>4331</v>
      </c>
      <c r="M1244" s="0" t="s">
        <v>4332</v>
      </c>
      <c r="N1244" s="0" t="n">
        <v>1934</v>
      </c>
      <c r="O1244" s="0" t="s">
        <v>4209</v>
      </c>
      <c r="P1244" s="0" t="n">
        <v>1934</v>
      </c>
      <c r="Q1244" s="0" t="s">
        <v>39</v>
      </c>
      <c r="R1244" s="0" t="s">
        <v>4319</v>
      </c>
      <c r="S1244" s="0" t="s">
        <v>4320</v>
      </c>
      <c r="V1244" s="0" t="n">
        <v>1</v>
      </c>
      <c r="W1244" s="0" t="n">
        <v>1</v>
      </c>
      <c r="X1244" s="0" t="str">
        <f aca="false">"31811010386079"</f>
        <v>31811010386079</v>
      </c>
      <c r="Y1244" s="0" t="s">
        <v>39</v>
      </c>
      <c r="Z1244" s="0" t="s">
        <v>42</v>
      </c>
      <c r="AA1244" s="0" t="s">
        <v>43</v>
      </c>
      <c r="AE1244" s="1" t="s">
        <v>52</v>
      </c>
    </row>
    <row r="1245" customFormat="false" ht="12.8" hidden="false" customHeight="false" outlineLevel="0" collapsed="false">
      <c r="A1245" s="0" t="n">
        <v>350776</v>
      </c>
      <c r="B1245" s="0" t="n">
        <v>285290</v>
      </c>
      <c r="C1245" s="0" t="n">
        <v>320409</v>
      </c>
      <c r="D1245" s="0" t="s">
        <v>35</v>
      </c>
      <c r="E1245" s="0" t="s">
        <v>35</v>
      </c>
      <c r="F1245" s="0" t="s">
        <v>36</v>
      </c>
      <c r="G1245" s="0" t="s">
        <v>37</v>
      </c>
      <c r="H1245" s="0" t="s">
        <v>4333</v>
      </c>
      <c r="I1245" s="0" t="s">
        <v>4334</v>
      </c>
      <c r="J1245" s="0" t="s">
        <v>4335</v>
      </c>
      <c r="M1245" s="0" t="s">
        <v>4336</v>
      </c>
      <c r="N1245" s="0" t="n">
        <v>1934</v>
      </c>
      <c r="O1245" s="0" t="s">
        <v>4209</v>
      </c>
      <c r="P1245" s="0" t="n">
        <v>1934</v>
      </c>
      <c r="Q1245" s="0" t="s">
        <v>39</v>
      </c>
      <c r="R1245" s="0" t="s">
        <v>4319</v>
      </c>
      <c r="S1245" s="0" t="s">
        <v>4320</v>
      </c>
      <c r="V1245" s="0" t="n">
        <v>1</v>
      </c>
      <c r="W1245" s="0" t="n">
        <v>1</v>
      </c>
      <c r="X1245" s="0" t="str">
        <f aca="false">"31811010386079"</f>
        <v>31811010386079</v>
      </c>
      <c r="Y1245" s="0" t="s">
        <v>39</v>
      </c>
      <c r="Z1245" s="0" t="s">
        <v>42</v>
      </c>
      <c r="AA1245" s="0" t="s">
        <v>43</v>
      </c>
      <c r="AE1245" s="1" t="s">
        <v>52</v>
      </c>
    </row>
    <row r="1246" customFormat="false" ht="12.8" hidden="false" customHeight="false" outlineLevel="0" collapsed="false">
      <c r="A1246" s="0" t="n">
        <v>345813</v>
      </c>
      <c r="B1246" s="0" t="n">
        <v>374874</v>
      </c>
      <c r="C1246" s="0" t="n">
        <v>417234</v>
      </c>
      <c r="D1246" s="0" t="s">
        <v>35</v>
      </c>
      <c r="E1246" s="0" t="s">
        <v>35</v>
      </c>
      <c r="F1246" s="0" t="s">
        <v>36</v>
      </c>
      <c r="G1246" s="0" t="s">
        <v>37</v>
      </c>
      <c r="H1246" s="0" t="s">
        <v>4337</v>
      </c>
      <c r="I1246" s="0" t="s">
        <v>4338</v>
      </c>
      <c r="J1246" s="0" t="s">
        <v>4339</v>
      </c>
      <c r="M1246" s="0" t="s">
        <v>4340</v>
      </c>
      <c r="N1246" s="0" t="n">
        <v>1944</v>
      </c>
      <c r="O1246" s="0" t="s">
        <v>4197</v>
      </c>
      <c r="P1246" s="0" t="n">
        <v>1944</v>
      </c>
      <c r="Q1246" s="0" t="s">
        <v>39</v>
      </c>
      <c r="R1246" s="0" t="s">
        <v>4341</v>
      </c>
      <c r="S1246" s="0" t="s">
        <v>4342</v>
      </c>
      <c r="V1246" s="0" t="n">
        <v>1</v>
      </c>
      <c r="W1246" s="0" t="n">
        <v>1</v>
      </c>
      <c r="X1246" s="0" t="str">
        <f aca="false">"31811010386020"</f>
        <v>31811010386020</v>
      </c>
      <c r="Y1246" s="0" t="s">
        <v>39</v>
      </c>
      <c r="Z1246" s="0" t="s">
        <v>42</v>
      </c>
      <c r="AA1246" s="0" t="s">
        <v>43</v>
      </c>
      <c r="AE1246" s="1" t="s">
        <v>52</v>
      </c>
    </row>
    <row r="1247" customFormat="false" ht="12.8" hidden="false" customHeight="false" outlineLevel="0" collapsed="false">
      <c r="A1247" s="0" t="n">
        <v>233989</v>
      </c>
      <c r="B1247" s="0" t="n">
        <v>256501</v>
      </c>
      <c r="C1247" s="0" t="n">
        <v>288721</v>
      </c>
      <c r="D1247" s="0" t="s">
        <v>35</v>
      </c>
      <c r="E1247" s="0" t="s">
        <v>35</v>
      </c>
      <c r="F1247" s="0" t="s">
        <v>36</v>
      </c>
      <c r="G1247" s="0" t="s">
        <v>37</v>
      </c>
      <c r="H1247" s="0" t="s">
        <v>4343</v>
      </c>
      <c r="I1247" s="0" t="s">
        <v>4344</v>
      </c>
      <c r="J1247" s="0" t="s">
        <v>4345</v>
      </c>
      <c r="M1247" s="0" t="s">
        <v>4346</v>
      </c>
      <c r="N1247" s="0" t="n">
        <v>1951</v>
      </c>
      <c r="O1247" s="0" t="s">
        <v>4347</v>
      </c>
      <c r="P1247" s="0" t="n">
        <v>1951</v>
      </c>
      <c r="Q1247" s="0" t="s">
        <v>39</v>
      </c>
      <c r="R1247" s="0" t="s">
        <v>4348</v>
      </c>
      <c r="S1247" s="0" t="s">
        <v>4349</v>
      </c>
      <c r="V1247" s="0" t="n">
        <v>1</v>
      </c>
      <c r="W1247" s="0" t="n">
        <v>1</v>
      </c>
      <c r="X1247" s="0" t="str">
        <f aca="false">"31811010386061"</f>
        <v>31811010386061</v>
      </c>
      <c r="Y1247" s="0" t="s">
        <v>39</v>
      </c>
      <c r="Z1247" s="0" t="s">
        <v>42</v>
      </c>
      <c r="AA1247" s="0" t="s">
        <v>43</v>
      </c>
      <c r="AE1247" s="1" t="s">
        <v>52</v>
      </c>
    </row>
    <row r="1248" customFormat="false" ht="12.8" hidden="false" customHeight="false" outlineLevel="0" collapsed="false">
      <c r="A1248" s="0" t="n">
        <v>236826</v>
      </c>
      <c r="B1248" s="0" t="n">
        <v>259553</v>
      </c>
      <c r="C1248" s="0" t="n">
        <v>291979</v>
      </c>
      <c r="D1248" s="0" t="s">
        <v>35</v>
      </c>
      <c r="E1248" s="0" t="s">
        <v>35</v>
      </c>
      <c r="F1248" s="0" t="s">
        <v>36</v>
      </c>
      <c r="G1248" s="0" t="s">
        <v>37</v>
      </c>
      <c r="H1248" s="0" t="s">
        <v>4350</v>
      </c>
      <c r="I1248" s="0" t="s">
        <v>4351</v>
      </c>
      <c r="J1248" s="0" t="s">
        <v>4350</v>
      </c>
      <c r="M1248" s="0" t="s">
        <v>4352</v>
      </c>
      <c r="N1248" s="0" t="n">
        <v>1953</v>
      </c>
      <c r="O1248" s="0" t="s">
        <v>4347</v>
      </c>
      <c r="P1248" s="0" t="n">
        <v>1953</v>
      </c>
      <c r="Q1248" s="0" t="s">
        <v>39</v>
      </c>
      <c r="R1248" s="0" t="s">
        <v>4353</v>
      </c>
      <c r="S1248" s="0" t="s">
        <v>4354</v>
      </c>
      <c r="V1248" s="0" t="n">
        <v>1</v>
      </c>
      <c r="W1248" s="0" t="n">
        <v>1</v>
      </c>
      <c r="X1248" s="0" t="str">
        <f aca="false">"31811010386053"</f>
        <v>31811010386053</v>
      </c>
      <c r="Y1248" s="0" t="s">
        <v>39</v>
      </c>
      <c r="Z1248" s="0" t="s">
        <v>42</v>
      </c>
      <c r="AA1248" s="0" t="s">
        <v>43</v>
      </c>
      <c r="AE1248" s="1" t="s">
        <v>52</v>
      </c>
    </row>
    <row r="1249" customFormat="false" ht="12.8" hidden="false" customHeight="false" outlineLevel="0" collapsed="false">
      <c r="A1249" s="0" t="n">
        <v>3070</v>
      </c>
      <c r="B1249" s="0" t="n">
        <v>3474</v>
      </c>
      <c r="C1249" s="0" t="n">
        <v>3924</v>
      </c>
      <c r="D1249" s="0" t="s">
        <v>35</v>
      </c>
      <c r="E1249" s="0" t="s">
        <v>35</v>
      </c>
      <c r="F1249" s="0" t="s">
        <v>36</v>
      </c>
      <c r="G1249" s="0" t="s">
        <v>37</v>
      </c>
      <c r="H1249" s="0" t="s">
        <v>4355</v>
      </c>
      <c r="I1249" s="0" t="s">
        <v>4356</v>
      </c>
      <c r="J1249" s="0" t="s">
        <v>4355</v>
      </c>
      <c r="M1249" s="0" t="s">
        <v>4357</v>
      </c>
      <c r="N1249" s="0" t="n">
        <v>1954</v>
      </c>
      <c r="O1249" s="0" t="s">
        <v>4358</v>
      </c>
      <c r="P1249" s="0" t="n">
        <v>1954</v>
      </c>
      <c r="Q1249" s="0" t="s">
        <v>39</v>
      </c>
      <c r="R1249" s="0" t="s">
        <v>4359</v>
      </c>
      <c r="S1249" s="0" t="s">
        <v>4360</v>
      </c>
      <c r="V1249" s="0" t="n">
        <v>1</v>
      </c>
      <c r="W1249" s="0" t="n">
        <v>1</v>
      </c>
      <c r="X1249" s="0" t="str">
        <f aca="false">"31811010386467"</f>
        <v>31811010386467</v>
      </c>
      <c r="Y1249" s="0" t="s">
        <v>39</v>
      </c>
      <c r="Z1249" s="0" t="s">
        <v>42</v>
      </c>
      <c r="AA1249" s="0" t="s">
        <v>43</v>
      </c>
      <c r="AE1249" s="1" t="s">
        <v>52</v>
      </c>
    </row>
    <row r="1250" customFormat="false" ht="12.8" hidden="false" customHeight="false" outlineLevel="0" collapsed="false">
      <c r="A1250" s="0" t="n">
        <v>241401</v>
      </c>
      <c r="B1250" s="0" t="n">
        <v>264608</v>
      </c>
      <c r="C1250" s="0" t="n">
        <v>297500</v>
      </c>
      <c r="D1250" s="0" t="s">
        <v>35</v>
      </c>
      <c r="E1250" s="0" t="s">
        <v>35</v>
      </c>
      <c r="F1250" s="0" t="s">
        <v>36</v>
      </c>
      <c r="G1250" s="0" t="s">
        <v>37</v>
      </c>
      <c r="H1250" s="0" t="s">
        <v>4361</v>
      </c>
      <c r="I1250" s="0" t="s">
        <v>4362</v>
      </c>
      <c r="J1250" s="0" t="s">
        <v>4361</v>
      </c>
      <c r="M1250" s="0" t="s">
        <v>4363</v>
      </c>
      <c r="N1250" s="0" t="s">
        <v>180</v>
      </c>
      <c r="O1250" s="0" t="s">
        <v>4190</v>
      </c>
      <c r="P1250" s="0" t="n">
        <v>1961</v>
      </c>
      <c r="Q1250" s="0" t="s">
        <v>39</v>
      </c>
      <c r="R1250" s="0" t="s">
        <v>4364</v>
      </c>
      <c r="S1250" s="0" t="s">
        <v>4365</v>
      </c>
      <c r="V1250" s="0" t="n">
        <v>1</v>
      </c>
      <c r="W1250" s="0" t="n">
        <v>1</v>
      </c>
      <c r="X1250" s="0" t="str">
        <f aca="false">"31811010386459"</f>
        <v>31811010386459</v>
      </c>
      <c r="Y1250" s="0" t="s">
        <v>39</v>
      </c>
      <c r="Z1250" s="0" t="s">
        <v>42</v>
      </c>
      <c r="AA1250" s="0" t="s">
        <v>43</v>
      </c>
      <c r="AE1250" s="1" t="s">
        <v>52</v>
      </c>
    </row>
    <row r="1251" customFormat="false" ht="12.8" hidden="false" customHeight="false" outlineLevel="0" collapsed="false">
      <c r="A1251" s="0" t="n">
        <v>255848</v>
      </c>
      <c r="B1251" s="0" t="n">
        <v>280315</v>
      </c>
      <c r="C1251" s="0" t="n">
        <v>314873</v>
      </c>
      <c r="D1251" s="0" t="s">
        <v>35</v>
      </c>
      <c r="E1251" s="0" t="s">
        <v>35</v>
      </c>
      <c r="F1251" s="0" t="s">
        <v>36</v>
      </c>
      <c r="G1251" s="0" t="s">
        <v>37</v>
      </c>
      <c r="H1251" s="0" t="s">
        <v>4366</v>
      </c>
      <c r="I1251" s="0" t="s">
        <v>4367</v>
      </c>
      <c r="J1251" s="0" t="s">
        <v>4368</v>
      </c>
      <c r="K1251" s="0" t="s">
        <v>4369</v>
      </c>
      <c r="L1251" s="0" t="n">
        <v>826205925</v>
      </c>
      <c r="M1251" s="0" t="s">
        <v>4370</v>
      </c>
      <c r="N1251" s="0" t="s">
        <v>4371</v>
      </c>
      <c r="O1251" s="0" t="s">
        <v>4372</v>
      </c>
      <c r="P1251" s="0" t="n">
        <v>1970</v>
      </c>
      <c r="Q1251" s="0" t="s">
        <v>39</v>
      </c>
      <c r="R1251" s="0" t="s">
        <v>4373</v>
      </c>
      <c r="S1251" s="0" t="s">
        <v>4374</v>
      </c>
      <c r="V1251" s="0" t="n">
        <v>1</v>
      </c>
      <c r="W1251" s="0" t="n">
        <v>1</v>
      </c>
      <c r="X1251" s="0" t="str">
        <f aca="false">"31811010386517"</f>
        <v>31811010386517</v>
      </c>
      <c r="Y1251" s="0" t="s">
        <v>39</v>
      </c>
      <c r="Z1251" s="0" t="s">
        <v>42</v>
      </c>
      <c r="AA1251" s="0" t="s">
        <v>43</v>
      </c>
      <c r="AE1251" s="1" t="s">
        <v>52</v>
      </c>
    </row>
    <row r="1252" customFormat="false" ht="12.8" hidden="false" customHeight="false" outlineLevel="0" collapsed="false">
      <c r="A1252" s="0" t="n">
        <v>67244</v>
      </c>
      <c r="B1252" s="0" t="n">
        <v>72935</v>
      </c>
      <c r="C1252" s="0" t="n">
        <v>80658</v>
      </c>
      <c r="D1252" s="0" t="s">
        <v>35</v>
      </c>
      <c r="E1252" s="0" t="s">
        <v>35</v>
      </c>
      <c r="F1252" s="0" t="s">
        <v>36</v>
      </c>
      <c r="G1252" s="0" t="s">
        <v>37</v>
      </c>
      <c r="H1252" s="0" t="s">
        <v>4375</v>
      </c>
      <c r="I1252" s="0" t="s">
        <v>4376</v>
      </c>
      <c r="J1252" s="0" t="s">
        <v>4377</v>
      </c>
      <c r="L1252" s="0" t="s">
        <v>4378</v>
      </c>
      <c r="M1252" s="0" t="s">
        <v>4379</v>
      </c>
      <c r="N1252" s="0" t="s">
        <v>3357</v>
      </c>
      <c r="O1252" s="0" t="s">
        <v>4190</v>
      </c>
      <c r="P1252" s="0" t="n">
        <v>1971</v>
      </c>
      <c r="Q1252" s="0" t="s">
        <v>39</v>
      </c>
      <c r="R1252" s="0" t="s">
        <v>4380</v>
      </c>
      <c r="S1252" s="0" t="s">
        <v>4381</v>
      </c>
      <c r="V1252" s="0" t="n">
        <v>1</v>
      </c>
      <c r="W1252" s="0" t="n">
        <v>1</v>
      </c>
      <c r="X1252" s="0" t="str">
        <f aca="false">"31811003178897"</f>
        <v>31811003178897</v>
      </c>
      <c r="Y1252" s="0" t="s">
        <v>39</v>
      </c>
      <c r="Z1252" s="0" t="s">
        <v>42</v>
      </c>
      <c r="AA1252" s="0" t="s">
        <v>43</v>
      </c>
      <c r="AE1252" s="1" t="s">
        <v>52</v>
      </c>
    </row>
    <row r="1253" customFormat="false" ht="12.8" hidden="false" customHeight="false" outlineLevel="0" collapsed="false">
      <c r="A1253" s="0" t="n">
        <v>198319</v>
      </c>
      <c r="B1253" s="0" t="n">
        <v>518775</v>
      </c>
      <c r="C1253" s="0" t="n">
        <v>582086</v>
      </c>
      <c r="D1253" s="0" t="s">
        <v>35</v>
      </c>
      <c r="E1253" s="0" t="s">
        <v>35</v>
      </c>
      <c r="F1253" s="0" t="s">
        <v>36</v>
      </c>
      <c r="G1253" s="0" t="s">
        <v>37</v>
      </c>
      <c r="H1253" s="0" t="s">
        <v>4382</v>
      </c>
      <c r="I1253" s="0" t="s">
        <v>4221</v>
      </c>
      <c r="J1253" s="0" t="s">
        <v>4383</v>
      </c>
      <c r="M1253" s="0" t="s">
        <v>4384</v>
      </c>
      <c r="N1253" s="0" t="n">
        <v>1931</v>
      </c>
      <c r="O1253" s="0" t="s">
        <v>4209</v>
      </c>
      <c r="P1253" s="0" t="n">
        <v>1931</v>
      </c>
      <c r="Q1253" s="0" t="s">
        <v>39</v>
      </c>
      <c r="R1253" s="0" t="s">
        <v>4385</v>
      </c>
      <c r="S1253" s="0" t="s">
        <v>4386</v>
      </c>
      <c r="V1253" s="0" t="n">
        <v>1</v>
      </c>
      <c r="W1253" s="0" t="n">
        <v>1</v>
      </c>
      <c r="X1253" s="0" t="str">
        <f aca="false">"31811010386087"</f>
        <v>31811010386087</v>
      </c>
      <c r="Y1253" s="0" t="s">
        <v>39</v>
      </c>
      <c r="Z1253" s="0" t="s">
        <v>42</v>
      </c>
      <c r="AA1253" s="0" t="s">
        <v>43</v>
      </c>
      <c r="AE1253" s="1" t="s">
        <v>52</v>
      </c>
    </row>
    <row r="1254" customFormat="false" ht="12.8" hidden="false" customHeight="false" outlineLevel="0" collapsed="false">
      <c r="A1254" s="0" t="n">
        <v>447786</v>
      </c>
      <c r="B1254" s="0" t="n">
        <v>518775</v>
      </c>
      <c r="C1254" s="0" t="n">
        <v>582086</v>
      </c>
      <c r="D1254" s="0" t="s">
        <v>35</v>
      </c>
      <c r="E1254" s="0" t="s">
        <v>35</v>
      </c>
      <c r="F1254" s="0" t="s">
        <v>36</v>
      </c>
      <c r="G1254" s="0" t="s">
        <v>37</v>
      </c>
      <c r="H1254" s="0" t="s">
        <v>4387</v>
      </c>
      <c r="I1254" s="0" t="s">
        <v>4388</v>
      </c>
      <c r="J1254" s="0" t="s">
        <v>4389</v>
      </c>
      <c r="M1254" s="0" t="s">
        <v>4390</v>
      </c>
      <c r="N1254" s="0" t="n">
        <v>1931</v>
      </c>
      <c r="O1254" s="0" t="s">
        <v>4209</v>
      </c>
      <c r="P1254" s="0" t="n">
        <v>1931</v>
      </c>
      <c r="Q1254" s="0" t="s">
        <v>39</v>
      </c>
      <c r="R1254" s="0" t="s">
        <v>4385</v>
      </c>
      <c r="S1254" s="0" t="s">
        <v>4386</v>
      </c>
      <c r="V1254" s="0" t="n">
        <v>1</v>
      </c>
      <c r="W1254" s="0" t="n">
        <v>1</v>
      </c>
      <c r="X1254" s="0" t="str">
        <f aca="false">"31811010386087"</f>
        <v>31811010386087</v>
      </c>
      <c r="Y1254" s="0" t="s">
        <v>39</v>
      </c>
      <c r="Z1254" s="0" t="s">
        <v>42</v>
      </c>
      <c r="AA1254" s="0" t="s">
        <v>43</v>
      </c>
      <c r="AE1254" s="1" t="s">
        <v>52</v>
      </c>
    </row>
    <row r="1255" customFormat="false" ht="12.8" hidden="false" customHeight="false" outlineLevel="0" collapsed="false">
      <c r="A1255" s="0" t="n">
        <v>486234</v>
      </c>
      <c r="B1255" s="0" t="n">
        <v>518775</v>
      </c>
      <c r="C1255" s="0" t="n">
        <v>582086</v>
      </c>
      <c r="D1255" s="0" t="s">
        <v>35</v>
      </c>
      <c r="E1255" s="0" t="s">
        <v>35</v>
      </c>
      <c r="F1255" s="0" t="s">
        <v>36</v>
      </c>
      <c r="G1255" s="0" t="s">
        <v>37</v>
      </c>
      <c r="H1255" s="0" t="s">
        <v>4391</v>
      </c>
      <c r="I1255" s="0" t="s">
        <v>4392</v>
      </c>
      <c r="J1255" s="0" t="s">
        <v>4391</v>
      </c>
      <c r="M1255" s="0" t="s">
        <v>4393</v>
      </c>
      <c r="N1255" s="0" t="s">
        <v>4394</v>
      </c>
      <c r="O1255" s="0" t="s">
        <v>4197</v>
      </c>
      <c r="P1255" s="0" t="n">
        <v>1931</v>
      </c>
      <c r="Q1255" s="0" t="s">
        <v>39</v>
      </c>
      <c r="R1255" s="0" t="s">
        <v>4385</v>
      </c>
      <c r="S1255" s="0" t="s">
        <v>4386</v>
      </c>
      <c r="V1255" s="0" t="n">
        <v>1</v>
      </c>
      <c r="W1255" s="0" t="n">
        <v>1</v>
      </c>
      <c r="X1255" s="0" t="str">
        <f aca="false">"31811010386087"</f>
        <v>31811010386087</v>
      </c>
      <c r="Y1255" s="0" t="s">
        <v>39</v>
      </c>
      <c r="Z1255" s="0" t="s">
        <v>42</v>
      </c>
      <c r="AA1255" s="0" t="s">
        <v>43</v>
      </c>
      <c r="AE1255" s="1" t="s">
        <v>52</v>
      </c>
    </row>
    <row r="1256" customFormat="false" ht="12.8" hidden="false" customHeight="false" outlineLevel="0" collapsed="false">
      <c r="A1256" s="0" t="n">
        <v>486234</v>
      </c>
      <c r="B1256" s="0" t="n">
        <v>45845</v>
      </c>
      <c r="C1256" s="0" t="n">
        <v>50589</v>
      </c>
      <c r="D1256" s="0" t="s">
        <v>35</v>
      </c>
      <c r="E1256" s="0" t="s">
        <v>35</v>
      </c>
      <c r="F1256" s="0" t="s">
        <v>36</v>
      </c>
      <c r="G1256" s="0" t="s">
        <v>37</v>
      </c>
      <c r="H1256" s="0" t="s">
        <v>4391</v>
      </c>
      <c r="I1256" s="0" t="s">
        <v>4392</v>
      </c>
      <c r="J1256" s="0" t="s">
        <v>4391</v>
      </c>
      <c r="M1256" s="0" t="s">
        <v>4393</v>
      </c>
      <c r="N1256" s="0" t="s">
        <v>4394</v>
      </c>
      <c r="O1256" s="0" t="s">
        <v>4197</v>
      </c>
      <c r="P1256" s="0" t="n">
        <v>1931</v>
      </c>
      <c r="Q1256" s="0" t="s">
        <v>39</v>
      </c>
      <c r="R1256" s="0" t="s">
        <v>4395</v>
      </c>
      <c r="S1256" s="0" t="s">
        <v>4396</v>
      </c>
      <c r="V1256" s="0" t="n">
        <v>1</v>
      </c>
      <c r="W1256" s="0" t="n">
        <v>1</v>
      </c>
      <c r="X1256" s="0" t="str">
        <f aca="false">"31811010386046"</f>
        <v>31811010386046</v>
      </c>
      <c r="Y1256" s="0" t="s">
        <v>39</v>
      </c>
      <c r="Z1256" s="0" t="s">
        <v>42</v>
      </c>
      <c r="AA1256" s="0" t="s">
        <v>43</v>
      </c>
      <c r="AE1256" s="1" t="s">
        <v>52</v>
      </c>
    </row>
    <row r="1257" customFormat="false" ht="12.8" hidden="false" customHeight="false" outlineLevel="0" collapsed="false">
      <c r="A1257" s="0" t="n">
        <v>42205</v>
      </c>
      <c r="B1257" s="0" t="n">
        <v>45845</v>
      </c>
      <c r="C1257" s="0" t="n">
        <v>50589</v>
      </c>
      <c r="D1257" s="0" t="s">
        <v>35</v>
      </c>
      <c r="E1257" s="0" t="s">
        <v>35</v>
      </c>
      <c r="F1257" s="0" t="s">
        <v>36</v>
      </c>
      <c r="G1257" s="0" t="s">
        <v>37</v>
      </c>
      <c r="H1257" s="0" t="s">
        <v>4397</v>
      </c>
      <c r="I1257" s="0" t="s">
        <v>4232</v>
      </c>
      <c r="J1257" s="0" t="s">
        <v>4398</v>
      </c>
      <c r="M1257" s="0" t="s">
        <v>4399</v>
      </c>
      <c r="N1257" s="0" t="n">
        <v>1932</v>
      </c>
      <c r="O1257" s="0" t="s">
        <v>4209</v>
      </c>
      <c r="P1257" s="0" t="n">
        <v>1932</v>
      </c>
      <c r="Q1257" s="0" t="s">
        <v>39</v>
      </c>
      <c r="R1257" s="0" t="s">
        <v>4395</v>
      </c>
      <c r="S1257" s="0" t="s">
        <v>4396</v>
      </c>
      <c r="V1257" s="0" t="n">
        <v>1</v>
      </c>
      <c r="W1257" s="0" t="n">
        <v>1</v>
      </c>
      <c r="X1257" s="0" t="str">
        <f aca="false">"31811010386046"</f>
        <v>31811010386046</v>
      </c>
      <c r="Y1257" s="0" t="s">
        <v>39</v>
      </c>
      <c r="Z1257" s="0" t="s">
        <v>42</v>
      </c>
      <c r="AA1257" s="0" t="s">
        <v>43</v>
      </c>
      <c r="AE1257" s="1" t="s">
        <v>52</v>
      </c>
    </row>
    <row r="1258" customFormat="false" ht="12.8" hidden="false" customHeight="false" outlineLevel="0" collapsed="false">
      <c r="A1258" s="0" t="n">
        <v>320618</v>
      </c>
      <c r="B1258" s="0" t="n">
        <v>45845</v>
      </c>
      <c r="C1258" s="0" t="n">
        <v>50589</v>
      </c>
      <c r="D1258" s="0" t="s">
        <v>35</v>
      </c>
      <c r="E1258" s="0" t="s">
        <v>35</v>
      </c>
      <c r="F1258" s="0" t="s">
        <v>36</v>
      </c>
      <c r="G1258" s="0" t="s">
        <v>37</v>
      </c>
      <c r="H1258" s="0" t="s">
        <v>4400</v>
      </c>
      <c r="I1258" s="0" t="s">
        <v>4401</v>
      </c>
      <c r="J1258" s="0" t="s">
        <v>4400</v>
      </c>
      <c r="M1258" s="0" t="s">
        <v>4402</v>
      </c>
      <c r="N1258" s="0" t="n">
        <v>1932</v>
      </c>
      <c r="O1258" s="0" t="s">
        <v>4209</v>
      </c>
      <c r="P1258" s="0" t="n">
        <v>1932</v>
      </c>
      <c r="Q1258" s="0" t="s">
        <v>39</v>
      </c>
      <c r="R1258" s="0" t="s">
        <v>4395</v>
      </c>
      <c r="S1258" s="0" t="s">
        <v>4396</v>
      </c>
      <c r="V1258" s="0" t="n">
        <v>1</v>
      </c>
      <c r="W1258" s="0" t="n">
        <v>1</v>
      </c>
      <c r="X1258" s="0" t="str">
        <f aca="false">"31811010386046"</f>
        <v>31811010386046</v>
      </c>
      <c r="Y1258" s="0" t="s">
        <v>39</v>
      </c>
      <c r="Z1258" s="0" t="s">
        <v>42</v>
      </c>
      <c r="AA1258" s="0" t="s">
        <v>43</v>
      </c>
      <c r="AE1258" s="1" t="s">
        <v>52</v>
      </c>
    </row>
    <row r="1259" customFormat="false" ht="12.8" hidden="false" customHeight="false" outlineLevel="0" collapsed="false">
      <c r="A1259" s="0" t="n">
        <v>472270</v>
      </c>
      <c r="B1259" s="0" t="n">
        <v>504347</v>
      </c>
      <c r="C1259" s="0" t="n">
        <v>566341</v>
      </c>
      <c r="D1259" s="0" t="s">
        <v>35</v>
      </c>
      <c r="E1259" s="0" t="s">
        <v>35</v>
      </c>
      <c r="F1259" s="0" t="s">
        <v>36</v>
      </c>
      <c r="G1259" s="0" t="s">
        <v>37</v>
      </c>
      <c r="H1259" s="0" t="s">
        <v>4403</v>
      </c>
      <c r="I1259" s="0" t="s">
        <v>4404</v>
      </c>
      <c r="J1259" s="0" t="s">
        <v>4405</v>
      </c>
      <c r="M1259" s="0" t="s">
        <v>4406</v>
      </c>
      <c r="N1259" s="0" t="n">
        <v>1913</v>
      </c>
      <c r="P1259" s="0" t="n">
        <v>1913</v>
      </c>
      <c r="Q1259" s="0" t="s">
        <v>39</v>
      </c>
      <c r="R1259" s="0" t="s">
        <v>4407</v>
      </c>
      <c r="S1259" s="0" t="s">
        <v>4408</v>
      </c>
      <c r="V1259" s="0" t="n">
        <v>1</v>
      </c>
      <c r="W1259" s="0" t="n">
        <v>1</v>
      </c>
      <c r="X1259" s="0" t="str">
        <f aca="false">"31811010386384"</f>
        <v>31811010386384</v>
      </c>
      <c r="Y1259" s="0" t="s">
        <v>39</v>
      </c>
      <c r="Z1259" s="0" t="s">
        <v>42</v>
      </c>
      <c r="AA1259" s="0" t="s">
        <v>43</v>
      </c>
      <c r="AE1259" s="1" t="s">
        <v>52</v>
      </c>
    </row>
    <row r="1260" customFormat="false" ht="12.8" hidden="false" customHeight="false" outlineLevel="0" collapsed="false">
      <c r="A1260" s="0" t="n">
        <v>461329</v>
      </c>
      <c r="B1260" s="0" t="n">
        <v>493002</v>
      </c>
      <c r="C1260" s="0" t="n">
        <v>553755</v>
      </c>
      <c r="D1260" s="0" t="s">
        <v>35</v>
      </c>
      <c r="E1260" s="0" t="s">
        <v>35</v>
      </c>
      <c r="F1260" s="0" t="s">
        <v>36</v>
      </c>
      <c r="G1260" s="0" t="s">
        <v>37</v>
      </c>
      <c r="H1260" s="0" t="s">
        <v>4409</v>
      </c>
      <c r="I1260" s="0" t="s">
        <v>4410</v>
      </c>
      <c r="J1260" s="0" t="s">
        <v>4411</v>
      </c>
      <c r="M1260" s="0" t="s">
        <v>4412</v>
      </c>
      <c r="N1260" s="0" t="s">
        <v>4413</v>
      </c>
      <c r="O1260" s="0" t="s">
        <v>4414</v>
      </c>
      <c r="P1260" s="0" t="n">
        <v>1925</v>
      </c>
      <c r="Q1260" s="0" t="s">
        <v>39</v>
      </c>
      <c r="R1260" s="0" t="s">
        <v>4415</v>
      </c>
      <c r="S1260" s="0" t="s">
        <v>4416</v>
      </c>
      <c r="V1260" s="0" t="n">
        <v>1</v>
      </c>
      <c r="W1260" s="0" t="n">
        <v>1</v>
      </c>
      <c r="X1260" s="0" t="str">
        <f aca="false">"31811010386491"</f>
        <v>31811010386491</v>
      </c>
      <c r="Y1260" s="0" t="s">
        <v>39</v>
      </c>
      <c r="Z1260" s="0" t="s">
        <v>42</v>
      </c>
      <c r="AA1260" s="0" t="s">
        <v>43</v>
      </c>
      <c r="AE1260" s="1" t="s">
        <v>52</v>
      </c>
    </row>
    <row r="1261" customFormat="false" ht="12.8" hidden="false" customHeight="false" outlineLevel="0" collapsed="false">
      <c r="A1261" s="0" t="n">
        <v>461430</v>
      </c>
      <c r="B1261" s="0" t="n">
        <v>493112</v>
      </c>
      <c r="C1261" s="0" t="n">
        <v>553859</v>
      </c>
      <c r="D1261" s="0" t="s">
        <v>35</v>
      </c>
      <c r="E1261" s="0" t="s">
        <v>35</v>
      </c>
      <c r="F1261" s="0" t="s">
        <v>36</v>
      </c>
      <c r="G1261" s="0" t="s">
        <v>37</v>
      </c>
      <c r="H1261" s="0" t="s">
        <v>4417</v>
      </c>
      <c r="I1261" s="0" t="s">
        <v>4418</v>
      </c>
      <c r="J1261" s="0" t="s">
        <v>4419</v>
      </c>
      <c r="M1261" s="0" t="s">
        <v>4420</v>
      </c>
      <c r="N1261" s="0" t="s">
        <v>4421</v>
      </c>
      <c r="P1261" s="0" t="n">
        <v>1934</v>
      </c>
      <c r="Q1261" s="0" t="s">
        <v>39</v>
      </c>
      <c r="R1261" s="0" t="s">
        <v>4422</v>
      </c>
      <c r="S1261" s="0" t="s">
        <v>4423</v>
      </c>
      <c r="V1261" s="0" t="n">
        <v>1</v>
      </c>
      <c r="W1261" s="0" t="n">
        <v>1</v>
      </c>
      <c r="X1261" s="0" t="str">
        <f aca="false">"31811010386566"</f>
        <v>31811010386566</v>
      </c>
      <c r="Y1261" s="0" t="s">
        <v>39</v>
      </c>
      <c r="Z1261" s="0" t="s">
        <v>42</v>
      </c>
      <c r="AA1261" s="0" t="s">
        <v>43</v>
      </c>
      <c r="AE1261" s="1" t="s">
        <v>52</v>
      </c>
    </row>
    <row r="1262" customFormat="false" ht="12.8" hidden="false" customHeight="false" outlineLevel="0" collapsed="false">
      <c r="A1262" s="0" t="n">
        <v>328773</v>
      </c>
      <c r="B1262" s="0" t="n">
        <v>357272</v>
      </c>
      <c r="C1262" s="0" t="n">
        <v>398482</v>
      </c>
      <c r="D1262" s="0" t="s">
        <v>35</v>
      </c>
      <c r="E1262" s="0" t="s">
        <v>35</v>
      </c>
      <c r="F1262" s="0" t="s">
        <v>36</v>
      </c>
      <c r="G1262" s="0" t="s">
        <v>37</v>
      </c>
      <c r="H1262" s="0" t="s">
        <v>4424</v>
      </c>
      <c r="I1262" s="0" t="s">
        <v>4425</v>
      </c>
      <c r="J1262" s="0" t="s">
        <v>4426</v>
      </c>
      <c r="M1262" s="0" t="s">
        <v>4427</v>
      </c>
      <c r="N1262" s="0" t="n">
        <v>1971</v>
      </c>
      <c r="O1262" s="0" t="s">
        <v>4428</v>
      </c>
      <c r="P1262" s="0" t="n">
        <v>1971</v>
      </c>
      <c r="Q1262" s="0" t="s">
        <v>39</v>
      </c>
      <c r="R1262" s="0" t="s">
        <v>4429</v>
      </c>
      <c r="S1262" s="0" t="s">
        <v>4430</v>
      </c>
      <c r="V1262" s="0" t="n">
        <v>1</v>
      </c>
      <c r="W1262" s="0" t="n">
        <v>1</v>
      </c>
      <c r="X1262" s="0" t="str">
        <f aca="false">"31811003178913"</f>
        <v>31811003178913</v>
      </c>
      <c r="Y1262" s="0" t="s">
        <v>39</v>
      </c>
      <c r="Z1262" s="0" t="s">
        <v>42</v>
      </c>
      <c r="AA1262" s="0" t="s">
        <v>43</v>
      </c>
      <c r="AE1262" s="1" t="s">
        <v>52</v>
      </c>
    </row>
    <row r="1263" customFormat="false" ht="12.8" hidden="false" customHeight="false" outlineLevel="0" collapsed="false">
      <c r="A1263" s="0" t="n">
        <v>501667</v>
      </c>
      <c r="B1263" s="0" t="n">
        <v>482975</v>
      </c>
      <c r="C1263" s="0" t="n">
        <v>541205</v>
      </c>
      <c r="D1263" s="0" t="s">
        <v>35</v>
      </c>
      <c r="E1263" s="0" t="s">
        <v>35</v>
      </c>
      <c r="F1263" s="0" t="s">
        <v>36</v>
      </c>
      <c r="G1263" s="0" t="s">
        <v>37</v>
      </c>
      <c r="H1263" s="0" t="s">
        <v>4431</v>
      </c>
      <c r="I1263" s="0" t="s">
        <v>4432</v>
      </c>
      <c r="J1263" s="0" t="s">
        <v>4433</v>
      </c>
      <c r="M1263" s="0" t="s">
        <v>4434</v>
      </c>
      <c r="N1263" s="0" t="s">
        <v>4435</v>
      </c>
      <c r="P1263" s="0" t="n">
        <v>1901</v>
      </c>
      <c r="Q1263" s="0" t="s">
        <v>39</v>
      </c>
      <c r="R1263" s="0" t="s">
        <v>4436</v>
      </c>
      <c r="S1263" s="0" t="s">
        <v>4437</v>
      </c>
      <c r="T1263" s="0" t="s">
        <v>539</v>
      </c>
      <c r="V1263" s="0" t="n">
        <v>1</v>
      </c>
      <c r="W1263" s="0" t="n">
        <v>1</v>
      </c>
      <c r="X1263" s="0" t="str">
        <f aca="false">"31811012024256"</f>
        <v>31811012024256</v>
      </c>
      <c r="Y1263" s="0" t="s">
        <v>39</v>
      </c>
      <c r="Z1263" s="0" t="s">
        <v>42</v>
      </c>
      <c r="AA1263" s="0" t="s">
        <v>43</v>
      </c>
      <c r="AE1263" s="1" t="s">
        <v>52</v>
      </c>
    </row>
    <row r="1264" customFormat="false" ht="12.8" hidden="false" customHeight="false" outlineLevel="0" collapsed="false">
      <c r="A1264" s="0" t="n">
        <v>397751</v>
      </c>
      <c r="B1264" s="0" t="n">
        <v>429519</v>
      </c>
      <c r="C1264" s="0" t="n">
        <v>478756</v>
      </c>
      <c r="D1264" s="0" t="s">
        <v>35</v>
      </c>
      <c r="E1264" s="0" t="s">
        <v>35</v>
      </c>
      <c r="F1264" s="0" t="s">
        <v>36</v>
      </c>
      <c r="G1264" s="0" t="s">
        <v>412</v>
      </c>
      <c r="H1264" s="0" t="s">
        <v>4438</v>
      </c>
      <c r="I1264" s="0" t="s">
        <v>4439</v>
      </c>
      <c r="J1264" s="0" t="s">
        <v>4438</v>
      </c>
      <c r="M1264" s="0" t="s">
        <v>4440</v>
      </c>
      <c r="N1264" s="0" t="n">
        <v>1907</v>
      </c>
      <c r="P1264" s="0" t="n">
        <v>1907</v>
      </c>
      <c r="Q1264" s="0" t="s">
        <v>39</v>
      </c>
      <c r="R1264" s="0" t="s">
        <v>4441</v>
      </c>
      <c r="S1264" s="0" t="s">
        <v>4442</v>
      </c>
      <c r="V1264" s="0" t="n">
        <v>1</v>
      </c>
      <c r="W1264" s="0" t="n">
        <v>1</v>
      </c>
      <c r="X1264" s="0" t="str">
        <f aca="false">"31811010386343"</f>
        <v>31811010386343</v>
      </c>
      <c r="Y1264" s="0" t="s">
        <v>39</v>
      </c>
      <c r="Z1264" s="0" t="s">
        <v>42</v>
      </c>
      <c r="AA1264" s="0" t="s">
        <v>43</v>
      </c>
      <c r="AE1264" s="1" t="s">
        <v>52</v>
      </c>
    </row>
    <row r="1265" customFormat="false" ht="12.8" hidden="false" customHeight="false" outlineLevel="0" collapsed="false">
      <c r="A1265" s="0" t="n">
        <v>412811</v>
      </c>
      <c r="B1265" s="0" t="n">
        <v>445342</v>
      </c>
      <c r="C1265" s="0" t="n">
        <v>496486</v>
      </c>
      <c r="D1265" s="0" t="s">
        <v>35</v>
      </c>
      <c r="E1265" s="0" t="s">
        <v>35</v>
      </c>
      <c r="F1265" s="0" t="s">
        <v>36</v>
      </c>
      <c r="G1265" s="0" t="s">
        <v>412</v>
      </c>
      <c r="H1265" s="0" t="s">
        <v>4443</v>
      </c>
      <c r="I1265" s="0" t="s">
        <v>4444</v>
      </c>
      <c r="J1265" s="0" t="s">
        <v>4443</v>
      </c>
      <c r="M1265" s="0" t="s">
        <v>4445</v>
      </c>
      <c r="N1265" s="0" t="n">
        <v>1960</v>
      </c>
      <c r="P1265" s="0" t="n">
        <v>1960</v>
      </c>
      <c r="Q1265" s="0" t="s">
        <v>39</v>
      </c>
      <c r="R1265" s="0" t="s">
        <v>4446</v>
      </c>
      <c r="S1265" s="0" t="s">
        <v>4447</v>
      </c>
      <c r="V1265" s="0" t="n">
        <v>1</v>
      </c>
      <c r="W1265" s="0" t="n">
        <v>1</v>
      </c>
      <c r="X1265" s="0" t="str">
        <f aca="false">"31811010386350"</f>
        <v>31811010386350</v>
      </c>
      <c r="Y1265" s="0" t="s">
        <v>39</v>
      </c>
      <c r="Z1265" s="0" t="s">
        <v>42</v>
      </c>
      <c r="AA1265" s="0" t="s">
        <v>43</v>
      </c>
      <c r="AE1265" s="1" t="s">
        <v>52</v>
      </c>
    </row>
    <row r="1266" customFormat="false" ht="12.8" hidden="false" customHeight="false" outlineLevel="0" collapsed="false">
      <c r="A1266" s="0" t="n">
        <v>239042</v>
      </c>
      <c r="B1266" s="0" t="n">
        <v>262018</v>
      </c>
      <c r="C1266" s="0" t="n">
        <v>294668</v>
      </c>
      <c r="D1266" s="0" t="s">
        <v>35</v>
      </c>
      <c r="E1266" s="0" t="s">
        <v>35</v>
      </c>
      <c r="F1266" s="0" t="s">
        <v>480</v>
      </c>
      <c r="G1266" s="0" t="s">
        <v>37</v>
      </c>
      <c r="H1266" s="0" t="s">
        <v>4448</v>
      </c>
      <c r="J1266" s="0" t="s">
        <v>4448</v>
      </c>
      <c r="M1266" s="0" t="s">
        <v>4449</v>
      </c>
      <c r="N1266" s="1" t="s">
        <v>3293</v>
      </c>
      <c r="O1266" s="0" t="s">
        <v>4450</v>
      </c>
      <c r="P1266" s="0" t="n">
        <v>1950</v>
      </c>
      <c r="Q1266" s="0" t="s">
        <v>39</v>
      </c>
      <c r="R1266" s="0" t="s">
        <v>4451</v>
      </c>
      <c r="S1266" s="0" t="s">
        <v>4452</v>
      </c>
      <c r="T1266" s="0" t="s">
        <v>56</v>
      </c>
      <c r="V1266" s="0" t="n">
        <v>1</v>
      </c>
      <c r="W1266" s="0" t="n">
        <v>1</v>
      </c>
      <c r="X1266" s="0" t="str">
        <f aca="false">"31811012023936"</f>
        <v>31811012023936</v>
      </c>
      <c r="Y1266" s="0" t="s">
        <v>39</v>
      </c>
      <c r="Z1266" s="0" t="s">
        <v>42</v>
      </c>
      <c r="AA1266" s="0" t="s">
        <v>43</v>
      </c>
      <c r="AE1266" s="1" t="s">
        <v>52</v>
      </c>
    </row>
    <row r="1267" customFormat="false" ht="12.8" hidden="false" customHeight="false" outlineLevel="0" collapsed="false">
      <c r="A1267" s="0" t="n">
        <v>239042</v>
      </c>
      <c r="B1267" s="0" t="n">
        <v>262018</v>
      </c>
      <c r="C1267" s="0" t="n">
        <v>294669</v>
      </c>
      <c r="D1267" s="0" t="s">
        <v>35</v>
      </c>
      <c r="E1267" s="0" t="s">
        <v>35</v>
      </c>
      <c r="F1267" s="0" t="s">
        <v>480</v>
      </c>
      <c r="G1267" s="0" t="s">
        <v>37</v>
      </c>
      <c r="H1267" s="0" t="s">
        <v>4448</v>
      </c>
      <c r="J1267" s="0" t="s">
        <v>4448</v>
      </c>
      <c r="M1267" s="0" t="s">
        <v>4449</v>
      </c>
      <c r="N1267" s="1" t="s">
        <v>3293</v>
      </c>
      <c r="O1267" s="0" t="s">
        <v>4450</v>
      </c>
      <c r="P1267" s="0" t="n">
        <v>1950</v>
      </c>
      <c r="Q1267" s="0" t="s">
        <v>39</v>
      </c>
      <c r="R1267" s="0" t="s">
        <v>4451</v>
      </c>
      <c r="S1267" s="0" t="s">
        <v>4452</v>
      </c>
      <c r="T1267" s="0" t="s">
        <v>58</v>
      </c>
      <c r="V1267" s="0" t="n">
        <v>1</v>
      </c>
      <c r="W1267" s="0" t="n">
        <v>1</v>
      </c>
      <c r="X1267" s="0" t="str">
        <f aca="false">"31811012023944"</f>
        <v>31811012023944</v>
      </c>
      <c r="Y1267" s="0" t="s">
        <v>39</v>
      </c>
      <c r="Z1267" s="0" t="s">
        <v>42</v>
      </c>
      <c r="AA1267" s="0" t="s">
        <v>43</v>
      </c>
      <c r="AE1267" s="1" t="s">
        <v>52</v>
      </c>
    </row>
    <row r="1268" customFormat="false" ht="12.8" hidden="false" customHeight="false" outlineLevel="0" collapsed="false">
      <c r="A1268" s="0" t="n">
        <v>239042</v>
      </c>
      <c r="B1268" s="0" t="n">
        <v>262018</v>
      </c>
      <c r="C1268" s="0" t="n">
        <v>294670</v>
      </c>
      <c r="D1268" s="0" t="s">
        <v>35</v>
      </c>
      <c r="E1268" s="0" t="s">
        <v>35</v>
      </c>
      <c r="F1268" s="0" t="s">
        <v>480</v>
      </c>
      <c r="G1268" s="0" t="s">
        <v>37</v>
      </c>
      <c r="H1268" s="0" t="s">
        <v>4448</v>
      </c>
      <c r="J1268" s="0" t="s">
        <v>4448</v>
      </c>
      <c r="M1268" s="0" t="s">
        <v>4449</v>
      </c>
      <c r="N1268" s="1" t="s">
        <v>3293</v>
      </c>
      <c r="O1268" s="0" t="s">
        <v>4450</v>
      </c>
      <c r="P1268" s="0" t="n">
        <v>1950</v>
      </c>
      <c r="Q1268" s="0" t="s">
        <v>39</v>
      </c>
      <c r="R1268" s="0" t="s">
        <v>4451</v>
      </c>
      <c r="S1268" s="0" t="s">
        <v>4452</v>
      </c>
      <c r="T1268" s="0" t="s">
        <v>60</v>
      </c>
      <c r="V1268" s="0" t="n">
        <v>1</v>
      </c>
      <c r="W1268" s="0" t="n">
        <v>1</v>
      </c>
      <c r="X1268" s="0" t="str">
        <f aca="false">"31811012023951"</f>
        <v>31811012023951</v>
      </c>
      <c r="Y1268" s="0" t="s">
        <v>39</v>
      </c>
      <c r="Z1268" s="0" t="s">
        <v>42</v>
      </c>
      <c r="AA1268" s="0" t="s">
        <v>43</v>
      </c>
      <c r="AE1268" s="1" t="s">
        <v>52</v>
      </c>
    </row>
    <row r="1269" customFormat="false" ht="12.8" hidden="false" customHeight="false" outlineLevel="0" collapsed="false">
      <c r="A1269" s="0" t="n">
        <v>239042</v>
      </c>
      <c r="B1269" s="0" t="n">
        <v>262018</v>
      </c>
      <c r="C1269" s="0" t="n">
        <v>294671</v>
      </c>
      <c r="D1269" s="0" t="s">
        <v>35</v>
      </c>
      <c r="E1269" s="0" t="s">
        <v>35</v>
      </c>
      <c r="F1269" s="0" t="s">
        <v>480</v>
      </c>
      <c r="G1269" s="0" t="s">
        <v>37</v>
      </c>
      <c r="H1269" s="0" t="s">
        <v>4448</v>
      </c>
      <c r="J1269" s="0" t="s">
        <v>4448</v>
      </c>
      <c r="M1269" s="0" t="s">
        <v>4449</v>
      </c>
      <c r="N1269" s="1" t="s">
        <v>3293</v>
      </c>
      <c r="O1269" s="0" t="s">
        <v>4450</v>
      </c>
      <c r="P1269" s="0" t="n">
        <v>1950</v>
      </c>
      <c r="Q1269" s="0" t="s">
        <v>39</v>
      </c>
      <c r="R1269" s="0" t="s">
        <v>4451</v>
      </c>
      <c r="S1269" s="0" t="s">
        <v>4452</v>
      </c>
      <c r="T1269" s="0" t="s">
        <v>61</v>
      </c>
      <c r="V1269" s="0" t="n">
        <v>1</v>
      </c>
      <c r="W1269" s="0" t="n">
        <v>1</v>
      </c>
      <c r="X1269" s="0" t="str">
        <f aca="false">"31811012023969"</f>
        <v>31811012023969</v>
      </c>
      <c r="Y1269" s="0" t="s">
        <v>39</v>
      </c>
      <c r="Z1269" s="0" t="s">
        <v>42</v>
      </c>
      <c r="AA1269" s="0" t="s">
        <v>43</v>
      </c>
      <c r="AE1269" s="1" t="s">
        <v>52</v>
      </c>
    </row>
    <row r="1270" customFormat="false" ht="12.8" hidden="false" customHeight="false" outlineLevel="0" collapsed="false">
      <c r="A1270" s="0" t="n">
        <v>314307</v>
      </c>
      <c r="B1270" s="0" t="n">
        <v>342361</v>
      </c>
      <c r="C1270" s="0" t="n">
        <v>382328</v>
      </c>
      <c r="D1270" s="0" t="s">
        <v>35</v>
      </c>
      <c r="E1270" s="0" t="s">
        <v>35</v>
      </c>
      <c r="F1270" s="0" t="s">
        <v>480</v>
      </c>
      <c r="G1270" s="0" t="s">
        <v>37</v>
      </c>
      <c r="H1270" s="0" t="s">
        <v>4453</v>
      </c>
      <c r="I1270" s="0" t="s">
        <v>4454</v>
      </c>
      <c r="J1270" s="0" t="s">
        <v>4453</v>
      </c>
      <c r="M1270" s="0" t="s">
        <v>4455</v>
      </c>
      <c r="N1270" s="1" t="s">
        <v>4456</v>
      </c>
      <c r="O1270" s="0" t="s">
        <v>4457</v>
      </c>
      <c r="P1270" s="0" t="n">
        <v>1941</v>
      </c>
      <c r="Q1270" s="0" t="s">
        <v>39</v>
      </c>
      <c r="R1270" s="0" t="s">
        <v>4458</v>
      </c>
      <c r="S1270" s="0" t="s">
        <v>4459</v>
      </c>
      <c r="T1270" s="0" t="s">
        <v>4460</v>
      </c>
      <c r="V1270" s="0" t="n">
        <v>1</v>
      </c>
      <c r="W1270" s="0" t="n">
        <v>1</v>
      </c>
      <c r="X1270" s="0" t="str">
        <f aca="false">"31811012023647"</f>
        <v>31811012023647</v>
      </c>
      <c r="Y1270" s="0" t="s">
        <v>39</v>
      </c>
      <c r="Z1270" s="0" t="s">
        <v>42</v>
      </c>
      <c r="AA1270" s="0" t="s">
        <v>622</v>
      </c>
      <c r="AE1270" s="1" t="s">
        <v>52</v>
      </c>
    </row>
    <row r="1271" customFormat="false" ht="12.8" hidden="false" customHeight="false" outlineLevel="0" collapsed="false">
      <c r="A1271" s="0" t="n">
        <v>550263</v>
      </c>
      <c r="B1271" s="0" t="n">
        <v>588744</v>
      </c>
      <c r="C1271" s="0" t="n">
        <v>665123</v>
      </c>
      <c r="D1271" s="0" t="s">
        <v>35</v>
      </c>
      <c r="E1271" s="0" t="s">
        <v>35</v>
      </c>
      <c r="F1271" s="0" t="s">
        <v>36</v>
      </c>
      <c r="G1271" s="0" t="s">
        <v>37</v>
      </c>
      <c r="H1271" s="0" t="s">
        <v>4461</v>
      </c>
      <c r="I1271" s="0" t="s">
        <v>4462</v>
      </c>
      <c r="J1271" s="0" t="s">
        <v>4463</v>
      </c>
      <c r="M1271" s="0" t="s">
        <v>4464</v>
      </c>
      <c r="N1271" s="0" t="s">
        <v>4465</v>
      </c>
      <c r="O1271" s="0" t="s">
        <v>4466</v>
      </c>
      <c r="P1271" s="0" t="n">
        <v>1916</v>
      </c>
      <c r="Q1271" s="0" t="s">
        <v>39</v>
      </c>
      <c r="R1271" s="0" t="s">
        <v>4467</v>
      </c>
      <c r="S1271" s="0" t="s">
        <v>4468</v>
      </c>
      <c r="V1271" s="0" t="n">
        <v>1</v>
      </c>
      <c r="W1271" s="0" t="n">
        <v>1</v>
      </c>
      <c r="X1271" s="0" t="str">
        <f aca="false">"31811012066620"</f>
        <v>31811012066620</v>
      </c>
      <c r="Y1271" s="0" t="s">
        <v>39</v>
      </c>
      <c r="Z1271" s="0" t="s">
        <v>42</v>
      </c>
      <c r="AA1271" s="0" t="s">
        <v>43</v>
      </c>
      <c r="AE1271" s="1" t="s">
        <v>52</v>
      </c>
      <c r="AH1271" s="1" t="s">
        <v>4469</v>
      </c>
    </row>
    <row r="1272" customFormat="false" ht="12.8" hidden="false" customHeight="false" outlineLevel="0" collapsed="false">
      <c r="A1272" s="0" t="n">
        <v>466870</v>
      </c>
      <c r="B1272" s="0" t="n">
        <v>498776</v>
      </c>
      <c r="C1272" s="0" t="n">
        <v>560124</v>
      </c>
      <c r="D1272" s="0" t="s">
        <v>35</v>
      </c>
      <c r="E1272" s="0" t="s">
        <v>35</v>
      </c>
      <c r="F1272" s="0" t="s">
        <v>36</v>
      </c>
      <c r="G1272" s="0" t="s">
        <v>37</v>
      </c>
      <c r="H1272" s="0" t="s">
        <v>4470</v>
      </c>
      <c r="I1272" s="0" t="s">
        <v>4462</v>
      </c>
      <c r="J1272" s="0" t="s">
        <v>4471</v>
      </c>
      <c r="M1272" s="0" t="s">
        <v>4472</v>
      </c>
      <c r="N1272" s="0" t="n">
        <v>1916</v>
      </c>
      <c r="O1272" s="0" t="s">
        <v>4466</v>
      </c>
      <c r="P1272" s="0" t="n">
        <v>1916</v>
      </c>
      <c r="Q1272" s="0" t="s">
        <v>39</v>
      </c>
      <c r="R1272" s="0" t="s">
        <v>4473</v>
      </c>
      <c r="S1272" s="0" t="s">
        <v>4474</v>
      </c>
      <c r="V1272" s="0" t="n">
        <v>1</v>
      </c>
      <c r="W1272" s="0" t="n">
        <v>1</v>
      </c>
      <c r="X1272" s="0" t="str">
        <f aca="false">"31811003501510"</f>
        <v>31811003501510</v>
      </c>
      <c r="Y1272" s="0" t="s">
        <v>39</v>
      </c>
      <c r="Z1272" s="0" t="s">
        <v>42</v>
      </c>
      <c r="AA1272" s="0" t="s">
        <v>43</v>
      </c>
      <c r="AE1272" s="1" t="s">
        <v>52</v>
      </c>
      <c r="AH1272" s="1" t="s">
        <v>4469</v>
      </c>
    </row>
    <row r="1273" customFormat="false" ht="12.8" hidden="false" customHeight="false" outlineLevel="0" collapsed="false">
      <c r="A1273" s="0" t="n">
        <v>550266</v>
      </c>
      <c r="B1273" s="0" t="n">
        <v>588747</v>
      </c>
      <c r="C1273" s="0" t="n">
        <v>665126</v>
      </c>
      <c r="D1273" s="0" t="s">
        <v>35</v>
      </c>
      <c r="E1273" s="0" t="s">
        <v>35</v>
      </c>
      <c r="F1273" s="0" t="s">
        <v>36</v>
      </c>
      <c r="G1273" s="0" t="s">
        <v>37</v>
      </c>
      <c r="H1273" s="0" t="s">
        <v>4475</v>
      </c>
      <c r="I1273" s="0" t="s">
        <v>4462</v>
      </c>
      <c r="J1273" s="0" t="s">
        <v>4476</v>
      </c>
      <c r="M1273" s="0" t="s">
        <v>4477</v>
      </c>
      <c r="N1273" s="0" t="n">
        <v>1918</v>
      </c>
      <c r="O1273" s="0" t="s">
        <v>4466</v>
      </c>
      <c r="P1273" s="0" t="n">
        <v>1918</v>
      </c>
      <c r="Q1273" s="0" t="s">
        <v>39</v>
      </c>
      <c r="R1273" s="0" t="s">
        <v>4478</v>
      </c>
      <c r="S1273" s="0" t="s">
        <v>4479</v>
      </c>
      <c r="V1273" s="0" t="n">
        <v>1</v>
      </c>
      <c r="W1273" s="0" t="n">
        <v>1</v>
      </c>
      <c r="X1273" s="0" t="str">
        <f aca="false">"31811012066935"</f>
        <v>31811012066935</v>
      </c>
      <c r="Y1273" s="0" t="s">
        <v>39</v>
      </c>
      <c r="Z1273" s="0" t="s">
        <v>42</v>
      </c>
      <c r="AA1273" s="0" t="s">
        <v>43</v>
      </c>
      <c r="AE1273" s="1" t="s">
        <v>52</v>
      </c>
      <c r="AH1273" s="1" t="s">
        <v>4469</v>
      </c>
    </row>
    <row r="1274" customFormat="false" ht="12.8" hidden="false" customHeight="false" outlineLevel="0" collapsed="false">
      <c r="A1274" s="0" t="n">
        <v>344456</v>
      </c>
      <c r="B1274" s="0" t="n">
        <v>373464</v>
      </c>
      <c r="C1274" s="0" t="n">
        <v>415751</v>
      </c>
      <c r="D1274" s="0" t="s">
        <v>35</v>
      </c>
      <c r="E1274" s="0" t="s">
        <v>35</v>
      </c>
      <c r="F1274" s="0" t="s">
        <v>36</v>
      </c>
      <c r="G1274" s="0" t="s">
        <v>37</v>
      </c>
      <c r="H1274" s="0" t="s">
        <v>4480</v>
      </c>
      <c r="I1274" s="0" t="s">
        <v>4462</v>
      </c>
      <c r="J1274" s="0" t="s">
        <v>4481</v>
      </c>
      <c r="M1274" s="0" t="s">
        <v>4482</v>
      </c>
      <c r="N1274" s="0" t="n">
        <v>1919</v>
      </c>
      <c r="P1274" s="0" t="n">
        <v>1919</v>
      </c>
      <c r="Q1274" s="0" t="s">
        <v>39</v>
      </c>
      <c r="R1274" s="0" t="s">
        <v>4483</v>
      </c>
      <c r="S1274" s="0" t="s">
        <v>4484</v>
      </c>
      <c r="V1274" s="0" t="n">
        <v>1</v>
      </c>
      <c r="W1274" s="0" t="n">
        <v>1</v>
      </c>
      <c r="X1274" s="0" t="str">
        <f aca="false">"31811012066612"</f>
        <v>31811012066612</v>
      </c>
      <c r="Y1274" s="0" t="s">
        <v>39</v>
      </c>
      <c r="Z1274" s="0" t="s">
        <v>42</v>
      </c>
      <c r="AA1274" s="0" t="s">
        <v>43</v>
      </c>
      <c r="AE1274" s="1" t="s">
        <v>52</v>
      </c>
      <c r="AH1274" s="1" t="s">
        <v>4469</v>
      </c>
    </row>
    <row r="1275" customFormat="false" ht="12.8" hidden="false" customHeight="false" outlineLevel="0" collapsed="false">
      <c r="A1275" s="0" t="n">
        <v>247678</v>
      </c>
      <c r="B1275" s="0" t="n">
        <v>271419</v>
      </c>
      <c r="C1275" s="0" t="n">
        <v>305216</v>
      </c>
      <c r="D1275" s="0" t="s">
        <v>35</v>
      </c>
      <c r="E1275" s="0" t="s">
        <v>35</v>
      </c>
      <c r="F1275" s="0" t="s">
        <v>480</v>
      </c>
      <c r="G1275" s="0" t="s">
        <v>37</v>
      </c>
      <c r="H1275" s="0" t="s">
        <v>4485</v>
      </c>
      <c r="J1275" s="0" t="s">
        <v>4485</v>
      </c>
      <c r="M1275" s="0" t="s">
        <v>4486</v>
      </c>
      <c r="O1275" s="0" t="s">
        <v>4487</v>
      </c>
      <c r="P1275" s="0" t="n">
        <v>1968</v>
      </c>
      <c r="Q1275" s="0" t="s">
        <v>39</v>
      </c>
      <c r="R1275" s="0" t="s">
        <v>4488</v>
      </c>
      <c r="S1275" s="0" t="s">
        <v>4489</v>
      </c>
      <c r="T1275" s="0" t="n">
        <v>1968</v>
      </c>
      <c r="V1275" s="0" t="n">
        <v>1</v>
      </c>
      <c r="W1275" s="0" t="n">
        <v>1</v>
      </c>
      <c r="X1275" s="0" t="str">
        <f aca="false">"31811012046564"</f>
        <v>31811012046564</v>
      </c>
      <c r="Y1275" s="0" t="s">
        <v>39</v>
      </c>
      <c r="Z1275" s="0" t="s">
        <v>42</v>
      </c>
      <c r="AA1275" s="0" t="s">
        <v>622</v>
      </c>
      <c r="AE1275" s="1" t="s">
        <v>52</v>
      </c>
    </row>
    <row r="1276" customFormat="false" ht="12.8" hidden="false" customHeight="false" outlineLevel="0" collapsed="false">
      <c r="A1276" s="0" t="n">
        <v>247678</v>
      </c>
      <c r="B1276" s="0" t="n">
        <v>271419</v>
      </c>
      <c r="C1276" s="0" t="n">
        <v>305217</v>
      </c>
      <c r="D1276" s="0" t="s">
        <v>35</v>
      </c>
      <c r="E1276" s="0" t="s">
        <v>35</v>
      </c>
      <c r="F1276" s="0" t="s">
        <v>480</v>
      </c>
      <c r="G1276" s="0" t="s">
        <v>37</v>
      </c>
      <c r="H1276" s="0" t="s">
        <v>4485</v>
      </c>
      <c r="J1276" s="0" t="s">
        <v>4485</v>
      </c>
      <c r="M1276" s="0" t="s">
        <v>4486</v>
      </c>
      <c r="O1276" s="0" t="s">
        <v>4487</v>
      </c>
      <c r="P1276" s="0" t="n">
        <v>1968</v>
      </c>
      <c r="Q1276" s="0" t="s">
        <v>39</v>
      </c>
      <c r="R1276" s="0" t="s">
        <v>4488</v>
      </c>
      <c r="S1276" s="0" t="s">
        <v>4489</v>
      </c>
      <c r="T1276" s="0" t="n">
        <v>1970</v>
      </c>
      <c r="V1276" s="0" t="n">
        <v>1</v>
      </c>
      <c r="W1276" s="0" t="n">
        <v>1</v>
      </c>
      <c r="X1276" s="0" t="str">
        <f aca="false">"31811012046556"</f>
        <v>31811012046556</v>
      </c>
      <c r="Y1276" s="0" t="s">
        <v>39</v>
      </c>
      <c r="Z1276" s="0" t="s">
        <v>42</v>
      </c>
      <c r="AA1276" s="0" t="s">
        <v>622</v>
      </c>
      <c r="AE1276" s="1" t="s">
        <v>52</v>
      </c>
    </row>
    <row r="1277" customFormat="false" ht="12.8" hidden="false" customHeight="false" outlineLevel="0" collapsed="false">
      <c r="A1277" s="0" t="n">
        <v>247678</v>
      </c>
      <c r="B1277" s="0" t="n">
        <v>271419</v>
      </c>
      <c r="C1277" s="0" t="n">
        <v>305218</v>
      </c>
      <c r="D1277" s="0" t="s">
        <v>35</v>
      </c>
      <c r="E1277" s="0" t="s">
        <v>35</v>
      </c>
      <c r="F1277" s="0" t="s">
        <v>480</v>
      </c>
      <c r="G1277" s="0" t="s">
        <v>37</v>
      </c>
      <c r="H1277" s="0" t="s">
        <v>4485</v>
      </c>
      <c r="J1277" s="0" t="s">
        <v>4485</v>
      </c>
      <c r="M1277" s="0" t="s">
        <v>4486</v>
      </c>
      <c r="O1277" s="0" t="s">
        <v>4487</v>
      </c>
      <c r="P1277" s="0" t="n">
        <v>1968</v>
      </c>
      <c r="Q1277" s="0" t="s">
        <v>39</v>
      </c>
      <c r="R1277" s="0" t="s">
        <v>4488</v>
      </c>
      <c r="S1277" s="0" t="s">
        <v>4489</v>
      </c>
      <c r="T1277" s="0" t="n">
        <v>1971</v>
      </c>
      <c r="V1277" s="0" t="n">
        <v>1</v>
      </c>
      <c r="W1277" s="0" t="n">
        <v>1</v>
      </c>
      <c r="X1277" s="0" t="str">
        <f aca="false">"31811012046549"</f>
        <v>31811012046549</v>
      </c>
      <c r="Y1277" s="0" t="s">
        <v>39</v>
      </c>
      <c r="Z1277" s="0" t="s">
        <v>42</v>
      </c>
      <c r="AA1277" s="0" t="s">
        <v>622</v>
      </c>
      <c r="AE1277" s="1" t="s">
        <v>52</v>
      </c>
    </row>
    <row r="1278" customFormat="false" ht="12.8" hidden="false" customHeight="false" outlineLevel="0" collapsed="false">
      <c r="A1278" s="0" t="n">
        <v>247678</v>
      </c>
      <c r="B1278" s="0" t="n">
        <v>271419</v>
      </c>
      <c r="C1278" s="0" t="n">
        <v>305219</v>
      </c>
      <c r="D1278" s="0" t="s">
        <v>35</v>
      </c>
      <c r="E1278" s="0" t="s">
        <v>35</v>
      </c>
      <c r="F1278" s="0" t="s">
        <v>480</v>
      </c>
      <c r="G1278" s="0" t="s">
        <v>37</v>
      </c>
      <c r="H1278" s="0" t="s">
        <v>4485</v>
      </c>
      <c r="J1278" s="0" t="s">
        <v>4485</v>
      </c>
      <c r="M1278" s="0" t="s">
        <v>4486</v>
      </c>
      <c r="O1278" s="0" t="s">
        <v>4487</v>
      </c>
      <c r="P1278" s="0" t="n">
        <v>1968</v>
      </c>
      <c r="Q1278" s="0" t="s">
        <v>39</v>
      </c>
      <c r="R1278" s="0" t="s">
        <v>4488</v>
      </c>
      <c r="S1278" s="0" t="s">
        <v>4489</v>
      </c>
      <c r="T1278" s="0" t="n">
        <v>1972</v>
      </c>
      <c r="V1278" s="0" t="n">
        <v>1</v>
      </c>
      <c r="W1278" s="0" t="n">
        <v>1</v>
      </c>
      <c r="X1278" s="0" t="str">
        <f aca="false">"31811012046531"</f>
        <v>31811012046531</v>
      </c>
      <c r="Y1278" s="0" t="s">
        <v>39</v>
      </c>
      <c r="Z1278" s="0" t="s">
        <v>42</v>
      </c>
      <c r="AA1278" s="0" t="s">
        <v>622</v>
      </c>
      <c r="AE1278" s="1" t="s">
        <v>52</v>
      </c>
    </row>
    <row r="1279" customFormat="false" ht="12.8" hidden="false" customHeight="false" outlineLevel="0" collapsed="false">
      <c r="A1279" s="0" t="n">
        <v>247678</v>
      </c>
      <c r="B1279" s="0" t="n">
        <v>271419</v>
      </c>
      <c r="C1279" s="0" t="n">
        <v>305220</v>
      </c>
      <c r="D1279" s="0" t="s">
        <v>35</v>
      </c>
      <c r="E1279" s="0" t="s">
        <v>35</v>
      </c>
      <c r="F1279" s="0" t="s">
        <v>480</v>
      </c>
      <c r="G1279" s="0" t="s">
        <v>37</v>
      </c>
      <c r="H1279" s="0" t="s">
        <v>4485</v>
      </c>
      <c r="J1279" s="0" t="s">
        <v>4485</v>
      </c>
      <c r="M1279" s="0" t="s">
        <v>4486</v>
      </c>
      <c r="O1279" s="0" t="s">
        <v>4487</v>
      </c>
      <c r="P1279" s="0" t="n">
        <v>1968</v>
      </c>
      <c r="Q1279" s="0" t="s">
        <v>39</v>
      </c>
      <c r="R1279" s="0" t="s">
        <v>4488</v>
      </c>
      <c r="S1279" s="0" t="s">
        <v>4489</v>
      </c>
      <c r="T1279" s="0" t="n">
        <v>1973</v>
      </c>
      <c r="V1279" s="0" t="n">
        <v>1</v>
      </c>
      <c r="W1279" s="0" t="n">
        <v>1</v>
      </c>
      <c r="X1279" s="0" t="str">
        <f aca="false">"31811012047760"</f>
        <v>31811012047760</v>
      </c>
      <c r="Y1279" s="0" t="s">
        <v>39</v>
      </c>
      <c r="Z1279" s="0" t="s">
        <v>42</v>
      </c>
      <c r="AA1279" s="0" t="s">
        <v>622</v>
      </c>
      <c r="AE1279" s="1" t="s">
        <v>52</v>
      </c>
    </row>
    <row r="1280" customFormat="false" ht="12.8" hidden="false" customHeight="false" outlineLevel="0" collapsed="false">
      <c r="A1280" s="0" t="n">
        <v>247678</v>
      </c>
      <c r="B1280" s="0" t="n">
        <v>271419</v>
      </c>
      <c r="C1280" s="0" t="n">
        <v>305221</v>
      </c>
      <c r="D1280" s="0" t="s">
        <v>35</v>
      </c>
      <c r="E1280" s="0" t="s">
        <v>35</v>
      </c>
      <c r="F1280" s="0" t="s">
        <v>480</v>
      </c>
      <c r="G1280" s="0" t="s">
        <v>37</v>
      </c>
      <c r="H1280" s="0" t="s">
        <v>4485</v>
      </c>
      <c r="J1280" s="0" t="s">
        <v>4485</v>
      </c>
      <c r="M1280" s="0" t="s">
        <v>4486</v>
      </c>
      <c r="O1280" s="0" t="s">
        <v>4487</v>
      </c>
      <c r="P1280" s="0" t="n">
        <v>1968</v>
      </c>
      <c r="Q1280" s="0" t="s">
        <v>39</v>
      </c>
      <c r="R1280" s="0" t="s">
        <v>4488</v>
      </c>
      <c r="S1280" s="0" t="s">
        <v>4489</v>
      </c>
      <c r="T1280" s="0" t="n">
        <v>1975</v>
      </c>
      <c r="V1280" s="0" t="n">
        <v>1</v>
      </c>
      <c r="W1280" s="0" t="n">
        <v>1</v>
      </c>
      <c r="X1280" s="0" t="str">
        <f aca="false">"31811012047752"</f>
        <v>31811012047752</v>
      </c>
      <c r="Y1280" s="0" t="s">
        <v>39</v>
      </c>
      <c r="Z1280" s="0" t="s">
        <v>42</v>
      </c>
      <c r="AA1280" s="0" t="s">
        <v>622</v>
      </c>
      <c r="AE1280" s="1" t="s">
        <v>52</v>
      </c>
    </row>
    <row r="1281" customFormat="false" ht="12.8" hidden="false" customHeight="false" outlineLevel="0" collapsed="false">
      <c r="A1281" s="0" t="n">
        <v>247678</v>
      </c>
      <c r="B1281" s="0" t="n">
        <v>271419</v>
      </c>
      <c r="C1281" s="0" t="n">
        <v>305222</v>
      </c>
      <c r="D1281" s="0" t="s">
        <v>35</v>
      </c>
      <c r="E1281" s="0" t="s">
        <v>35</v>
      </c>
      <c r="F1281" s="0" t="s">
        <v>480</v>
      </c>
      <c r="G1281" s="0" t="s">
        <v>37</v>
      </c>
      <c r="H1281" s="0" t="s">
        <v>4485</v>
      </c>
      <c r="J1281" s="0" t="s">
        <v>4485</v>
      </c>
      <c r="M1281" s="0" t="s">
        <v>4486</v>
      </c>
      <c r="O1281" s="0" t="s">
        <v>4487</v>
      </c>
      <c r="P1281" s="0" t="n">
        <v>1968</v>
      </c>
      <c r="Q1281" s="0" t="s">
        <v>39</v>
      </c>
      <c r="R1281" s="0" t="s">
        <v>4488</v>
      </c>
      <c r="S1281" s="0" t="s">
        <v>4489</v>
      </c>
      <c r="T1281" s="0" t="n">
        <v>1977</v>
      </c>
      <c r="V1281" s="0" t="n">
        <v>1</v>
      </c>
      <c r="W1281" s="0" t="n">
        <v>1</v>
      </c>
      <c r="X1281" s="0" t="str">
        <f aca="false">"31811012047745"</f>
        <v>31811012047745</v>
      </c>
      <c r="Y1281" s="0" t="s">
        <v>39</v>
      </c>
      <c r="Z1281" s="0" t="s">
        <v>42</v>
      </c>
      <c r="AA1281" s="0" t="s">
        <v>622</v>
      </c>
      <c r="AE1281" s="1" t="s">
        <v>52</v>
      </c>
    </row>
    <row r="1282" customFormat="false" ht="12.8" hidden="false" customHeight="false" outlineLevel="0" collapsed="false">
      <c r="A1282" s="0" t="n">
        <v>247678</v>
      </c>
      <c r="B1282" s="0" t="n">
        <v>271419</v>
      </c>
      <c r="C1282" s="0" t="n">
        <v>305223</v>
      </c>
      <c r="D1282" s="0" t="s">
        <v>35</v>
      </c>
      <c r="E1282" s="0" t="s">
        <v>35</v>
      </c>
      <c r="F1282" s="0" t="s">
        <v>480</v>
      </c>
      <c r="G1282" s="0" t="s">
        <v>37</v>
      </c>
      <c r="H1282" s="0" t="s">
        <v>4485</v>
      </c>
      <c r="J1282" s="0" t="s">
        <v>4485</v>
      </c>
      <c r="M1282" s="0" t="s">
        <v>4486</v>
      </c>
      <c r="O1282" s="0" t="s">
        <v>4487</v>
      </c>
      <c r="P1282" s="0" t="n">
        <v>1968</v>
      </c>
      <c r="Q1282" s="0" t="s">
        <v>39</v>
      </c>
      <c r="R1282" s="0" t="s">
        <v>4488</v>
      </c>
      <c r="S1282" s="0" t="s">
        <v>4489</v>
      </c>
      <c r="T1282" s="0" t="n">
        <v>1978</v>
      </c>
      <c r="V1282" s="0" t="n">
        <v>1</v>
      </c>
      <c r="W1282" s="0" t="n">
        <v>1</v>
      </c>
      <c r="X1282" s="0" t="str">
        <f aca="false">"31811012047737"</f>
        <v>31811012047737</v>
      </c>
      <c r="Y1282" s="0" t="s">
        <v>39</v>
      </c>
      <c r="Z1282" s="0" t="s">
        <v>42</v>
      </c>
      <c r="AA1282" s="0" t="s">
        <v>622</v>
      </c>
      <c r="AE1282" s="1" t="s">
        <v>52</v>
      </c>
    </row>
    <row r="1283" customFormat="false" ht="12.8" hidden="false" customHeight="false" outlineLevel="0" collapsed="false">
      <c r="A1283" s="0" t="n">
        <v>247678</v>
      </c>
      <c r="B1283" s="0" t="n">
        <v>271419</v>
      </c>
      <c r="C1283" s="0" t="n">
        <v>305224</v>
      </c>
      <c r="D1283" s="0" t="s">
        <v>35</v>
      </c>
      <c r="E1283" s="0" t="s">
        <v>35</v>
      </c>
      <c r="F1283" s="0" t="s">
        <v>480</v>
      </c>
      <c r="G1283" s="0" t="s">
        <v>37</v>
      </c>
      <c r="H1283" s="0" t="s">
        <v>4485</v>
      </c>
      <c r="J1283" s="0" t="s">
        <v>4485</v>
      </c>
      <c r="M1283" s="0" t="s">
        <v>4486</v>
      </c>
      <c r="O1283" s="0" t="s">
        <v>4487</v>
      </c>
      <c r="P1283" s="0" t="n">
        <v>1968</v>
      </c>
      <c r="Q1283" s="0" t="s">
        <v>39</v>
      </c>
      <c r="R1283" s="0" t="s">
        <v>4488</v>
      </c>
      <c r="S1283" s="0" t="s">
        <v>4489</v>
      </c>
      <c r="T1283" s="0" t="n">
        <v>1979</v>
      </c>
      <c r="V1283" s="0" t="n">
        <v>1</v>
      </c>
      <c r="W1283" s="0" t="n">
        <v>1</v>
      </c>
      <c r="X1283" s="0" t="str">
        <f aca="false">"31811012047448"</f>
        <v>31811012047448</v>
      </c>
      <c r="Y1283" s="0" t="s">
        <v>39</v>
      </c>
      <c r="Z1283" s="0" t="s">
        <v>42</v>
      </c>
      <c r="AA1283" s="0" t="s">
        <v>622</v>
      </c>
      <c r="AE1283" s="1" t="s">
        <v>52</v>
      </c>
    </row>
    <row r="1284" customFormat="false" ht="12.8" hidden="false" customHeight="false" outlineLevel="0" collapsed="false">
      <c r="A1284" s="0" t="n">
        <v>295783</v>
      </c>
      <c r="B1284" s="0" t="n">
        <v>322894</v>
      </c>
      <c r="C1284" s="0" t="n">
        <v>360858</v>
      </c>
      <c r="D1284" s="0" t="s">
        <v>35</v>
      </c>
      <c r="E1284" s="0" t="s">
        <v>35</v>
      </c>
      <c r="F1284" s="0" t="s">
        <v>36</v>
      </c>
      <c r="G1284" s="0" t="s">
        <v>37</v>
      </c>
      <c r="H1284" s="0" t="s">
        <v>4490</v>
      </c>
      <c r="I1284" s="0" t="s">
        <v>4491</v>
      </c>
      <c r="J1284" s="0" t="s">
        <v>4492</v>
      </c>
      <c r="M1284" s="0" t="s">
        <v>4493</v>
      </c>
      <c r="N1284" s="0" t="n">
        <v>1942</v>
      </c>
      <c r="P1284" s="0" t="n">
        <v>1942</v>
      </c>
      <c r="Q1284" s="0" t="s">
        <v>39</v>
      </c>
      <c r="R1284" s="0" t="s">
        <v>4494</v>
      </c>
      <c r="S1284" s="0" t="s">
        <v>4495</v>
      </c>
      <c r="V1284" s="0" t="n">
        <v>1</v>
      </c>
      <c r="W1284" s="0" t="n">
        <v>1</v>
      </c>
      <c r="X1284" s="0" t="str">
        <f aca="false">"31811010386426"</f>
        <v>31811010386426</v>
      </c>
      <c r="Y1284" s="0" t="s">
        <v>39</v>
      </c>
      <c r="Z1284" s="0" t="s">
        <v>42</v>
      </c>
      <c r="AA1284" s="0" t="s">
        <v>43</v>
      </c>
      <c r="AE1284" s="1" t="s">
        <v>52</v>
      </c>
    </row>
    <row r="1285" customFormat="false" ht="12.8" hidden="false" customHeight="false" outlineLevel="0" collapsed="false">
      <c r="A1285" s="0" t="n">
        <v>247818</v>
      </c>
      <c r="B1285" s="0" t="n">
        <v>271568</v>
      </c>
      <c r="C1285" s="0" t="n">
        <v>305381</v>
      </c>
      <c r="D1285" s="0" t="s">
        <v>35</v>
      </c>
      <c r="E1285" s="0" t="s">
        <v>35</v>
      </c>
      <c r="F1285" s="0" t="s">
        <v>36</v>
      </c>
      <c r="G1285" s="0" t="s">
        <v>37</v>
      </c>
      <c r="H1285" s="0" t="s">
        <v>4490</v>
      </c>
      <c r="I1285" s="0" t="s">
        <v>4491</v>
      </c>
      <c r="J1285" s="0" t="s">
        <v>4492</v>
      </c>
      <c r="M1285" s="0" t="s">
        <v>4496</v>
      </c>
      <c r="N1285" s="0" t="s">
        <v>333</v>
      </c>
      <c r="O1285" s="0" t="s">
        <v>211</v>
      </c>
      <c r="P1285" s="0" t="n">
        <v>1968</v>
      </c>
      <c r="Q1285" s="0" t="s">
        <v>39</v>
      </c>
      <c r="R1285" s="0" t="s">
        <v>4497</v>
      </c>
      <c r="S1285" s="0" t="s">
        <v>4498</v>
      </c>
      <c r="V1285" s="0" t="n">
        <v>1</v>
      </c>
      <c r="W1285" s="0" t="n">
        <v>1</v>
      </c>
      <c r="X1285" s="0" t="str">
        <f aca="false">"31811010386434"</f>
        <v>31811010386434</v>
      </c>
      <c r="Y1285" s="0" t="s">
        <v>39</v>
      </c>
      <c r="Z1285" s="0" t="s">
        <v>42</v>
      </c>
      <c r="AA1285" s="0" t="s">
        <v>43</v>
      </c>
      <c r="AE1285" s="1" t="s">
        <v>52</v>
      </c>
    </row>
    <row r="1286" customFormat="false" ht="12.8" hidden="false" customHeight="false" outlineLevel="0" collapsed="false">
      <c r="A1286" s="0" t="n">
        <v>105348</v>
      </c>
      <c r="B1286" s="0" t="n">
        <v>113432</v>
      </c>
      <c r="C1286" s="0" t="n">
        <v>126640</v>
      </c>
      <c r="D1286" s="0" t="s">
        <v>35</v>
      </c>
      <c r="E1286" s="0" t="s">
        <v>35</v>
      </c>
      <c r="F1286" s="0" t="s">
        <v>36</v>
      </c>
      <c r="G1286" s="0" t="s">
        <v>37</v>
      </c>
      <c r="H1286" s="0" t="s">
        <v>4499</v>
      </c>
      <c r="I1286" s="0" t="s">
        <v>4500</v>
      </c>
      <c r="J1286" s="0" t="s">
        <v>4501</v>
      </c>
      <c r="M1286" s="0" t="s">
        <v>4502</v>
      </c>
      <c r="N1286" s="0" t="n">
        <v>1974</v>
      </c>
      <c r="O1286" s="0" t="s">
        <v>4503</v>
      </c>
      <c r="P1286" s="0" t="n">
        <v>1974</v>
      </c>
      <c r="Q1286" s="0" t="s">
        <v>39</v>
      </c>
      <c r="R1286" s="0" t="s">
        <v>4504</v>
      </c>
      <c r="S1286" s="0" t="s">
        <v>4505</v>
      </c>
      <c r="V1286" s="0" t="n">
        <v>1</v>
      </c>
      <c r="W1286" s="0" t="n">
        <v>1</v>
      </c>
      <c r="X1286" s="0" t="str">
        <f aca="false">"31811010386103"</f>
        <v>31811010386103</v>
      </c>
      <c r="Y1286" s="0" t="s">
        <v>39</v>
      </c>
      <c r="Z1286" s="0" t="s">
        <v>42</v>
      </c>
      <c r="AA1286" s="0" t="s">
        <v>43</v>
      </c>
      <c r="AE1286" s="1" t="s">
        <v>52</v>
      </c>
      <c r="AH1286" s="1" t="s">
        <v>4506</v>
      </c>
    </row>
    <row r="1287" customFormat="false" ht="12.8" hidden="false" customHeight="false" outlineLevel="0" collapsed="false">
      <c r="A1287" s="0" t="n">
        <v>105344</v>
      </c>
      <c r="B1287" s="0" t="n">
        <v>113428</v>
      </c>
      <c r="C1287" s="0" t="n">
        <v>126634</v>
      </c>
      <c r="D1287" s="0" t="s">
        <v>35</v>
      </c>
      <c r="E1287" s="0" t="s">
        <v>35</v>
      </c>
      <c r="F1287" s="0" t="s">
        <v>36</v>
      </c>
      <c r="G1287" s="0" t="s">
        <v>37</v>
      </c>
      <c r="H1287" s="0" t="s">
        <v>4507</v>
      </c>
      <c r="I1287" s="0" t="s">
        <v>4508</v>
      </c>
      <c r="J1287" s="0" t="s">
        <v>4509</v>
      </c>
      <c r="M1287" s="0" t="s">
        <v>4510</v>
      </c>
      <c r="N1287" s="0" t="n">
        <v>1965</v>
      </c>
      <c r="O1287" s="0" t="s">
        <v>4511</v>
      </c>
      <c r="P1287" s="0" t="n">
        <v>1965</v>
      </c>
      <c r="Q1287" s="0" t="s">
        <v>39</v>
      </c>
      <c r="R1287" s="0" t="s">
        <v>4512</v>
      </c>
      <c r="S1287" s="0" t="s">
        <v>4513</v>
      </c>
      <c r="V1287" s="0" t="n">
        <v>1</v>
      </c>
      <c r="W1287" s="0" t="n">
        <v>1</v>
      </c>
      <c r="X1287" s="0" t="str">
        <f aca="false">"31811010386111"</f>
        <v>31811010386111</v>
      </c>
      <c r="Y1287" s="0" t="s">
        <v>39</v>
      </c>
      <c r="Z1287" s="0" t="s">
        <v>42</v>
      </c>
      <c r="AA1287" s="0" t="s">
        <v>43</v>
      </c>
      <c r="AE1287" s="1" t="s">
        <v>52</v>
      </c>
      <c r="AH1287" s="1" t="s">
        <v>4514</v>
      </c>
    </row>
    <row r="1288" customFormat="false" ht="12.8" hidden="false" customHeight="false" outlineLevel="0" collapsed="false">
      <c r="A1288" s="0" t="n">
        <v>105345</v>
      </c>
      <c r="B1288" s="0" t="n">
        <v>113429</v>
      </c>
      <c r="C1288" s="0" t="n">
        <v>126635</v>
      </c>
      <c r="D1288" s="0" t="s">
        <v>35</v>
      </c>
      <c r="E1288" s="0" t="s">
        <v>35</v>
      </c>
      <c r="F1288" s="0" t="s">
        <v>36</v>
      </c>
      <c r="G1288" s="0" t="s">
        <v>37</v>
      </c>
      <c r="H1288" s="0" t="s">
        <v>4515</v>
      </c>
      <c r="I1288" s="0" t="s">
        <v>4516</v>
      </c>
      <c r="J1288" s="0" t="s">
        <v>4517</v>
      </c>
      <c r="M1288" s="0" t="s">
        <v>4518</v>
      </c>
      <c r="N1288" s="0" t="s">
        <v>4519</v>
      </c>
      <c r="O1288" s="0" t="s">
        <v>4511</v>
      </c>
      <c r="P1288" s="0" t="n">
        <v>1966</v>
      </c>
      <c r="Q1288" s="0" t="s">
        <v>39</v>
      </c>
      <c r="R1288" s="0" t="s">
        <v>4520</v>
      </c>
      <c r="S1288" s="0" t="s">
        <v>4521</v>
      </c>
      <c r="V1288" s="0" t="n">
        <v>1</v>
      </c>
      <c r="W1288" s="0" t="n">
        <v>1</v>
      </c>
      <c r="X1288" s="0" t="str">
        <f aca="false">"31811010386236"</f>
        <v>31811010386236</v>
      </c>
      <c r="Y1288" s="0" t="s">
        <v>39</v>
      </c>
      <c r="Z1288" s="0" t="s">
        <v>42</v>
      </c>
      <c r="AA1288" s="0" t="s">
        <v>43</v>
      </c>
      <c r="AE1288" s="1" t="s">
        <v>52</v>
      </c>
    </row>
    <row r="1289" customFormat="false" ht="12.8" hidden="false" customHeight="false" outlineLevel="0" collapsed="false">
      <c r="A1289" s="0" t="n">
        <v>105311</v>
      </c>
      <c r="B1289" s="0" t="n">
        <v>113394</v>
      </c>
      <c r="C1289" s="0" t="n">
        <v>126600</v>
      </c>
      <c r="D1289" s="0" t="s">
        <v>35</v>
      </c>
      <c r="E1289" s="0" t="s">
        <v>35</v>
      </c>
      <c r="F1289" s="0" t="s">
        <v>36</v>
      </c>
      <c r="G1289" s="0" t="s">
        <v>37</v>
      </c>
      <c r="H1289" s="0" t="s">
        <v>4522</v>
      </c>
      <c r="I1289" s="0" t="s">
        <v>4523</v>
      </c>
      <c r="J1289" s="0" t="s">
        <v>4524</v>
      </c>
      <c r="M1289" s="0" t="s">
        <v>4525</v>
      </c>
      <c r="N1289" s="0" t="n">
        <v>1967</v>
      </c>
      <c r="O1289" s="0" t="s">
        <v>4511</v>
      </c>
      <c r="P1289" s="0" t="n">
        <v>1967</v>
      </c>
      <c r="Q1289" s="0" t="s">
        <v>39</v>
      </c>
      <c r="R1289" s="0" t="s">
        <v>4526</v>
      </c>
      <c r="S1289" s="0" t="s">
        <v>4527</v>
      </c>
      <c r="V1289" s="0" t="n">
        <v>1</v>
      </c>
      <c r="W1289" s="0" t="n">
        <v>1</v>
      </c>
      <c r="X1289" s="0" t="str">
        <f aca="false">"31811010386178"</f>
        <v>31811010386178</v>
      </c>
      <c r="Y1289" s="0" t="s">
        <v>39</v>
      </c>
      <c r="Z1289" s="0" t="s">
        <v>42</v>
      </c>
      <c r="AA1289" s="0" t="s">
        <v>43</v>
      </c>
      <c r="AE1289" s="1" t="s">
        <v>52</v>
      </c>
    </row>
    <row r="1290" customFormat="false" ht="12.8" hidden="false" customHeight="false" outlineLevel="0" collapsed="false">
      <c r="A1290" s="0" t="n">
        <v>105296</v>
      </c>
      <c r="B1290" s="0" t="n">
        <v>113377</v>
      </c>
      <c r="C1290" s="0" t="n">
        <v>126581</v>
      </c>
      <c r="D1290" s="0" t="s">
        <v>35</v>
      </c>
      <c r="E1290" s="0" t="s">
        <v>35</v>
      </c>
      <c r="F1290" s="0" t="s">
        <v>36</v>
      </c>
      <c r="G1290" s="0" t="s">
        <v>37</v>
      </c>
      <c r="H1290" s="0" t="s">
        <v>4528</v>
      </c>
      <c r="I1290" s="0" t="s">
        <v>4529</v>
      </c>
      <c r="J1290" s="0" t="s">
        <v>4530</v>
      </c>
      <c r="M1290" s="0" t="s">
        <v>4531</v>
      </c>
      <c r="N1290" s="0" t="n">
        <v>1967</v>
      </c>
      <c r="O1290" s="0" t="s">
        <v>4511</v>
      </c>
      <c r="P1290" s="0" t="n">
        <v>1967</v>
      </c>
      <c r="Q1290" s="0" t="s">
        <v>39</v>
      </c>
      <c r="R1290" s="0" t="s">
        <v>4532</v>
      </c>
      <c r="S1290" s="0" t="s">
        <v>4533</v>
      </c>
      <c r="V1290" s="0" t="n">
        <v>1</v>
      </c>
      <c r="W1290" s="0" t="n">
        <v>1</v>
      </c>
      <c r="X1290" s="0" t="str">
        <f aca="false">"31811010386186"</f>
        <v>31811010386186</v>
      </c>
      <c r="Y1290" s="0" t="s">
        <v>39</v>
      </c>
      <c r="Z1290" s="0" t="s">
        <v>42</v>
      </c>
      <c r="AA1290" s="0" t="s">
        <v>43</v>
      </c>
      <c r="AE1290" s="1" t="s">
        <v>52</v>
      </c>
    </row>
    <row r="1291" customFormat="false" ht="12.8" hidden="false" customHeight="false" outlineLevel="0" collapsed="false">
      <c r="A1291" s="0" t="n">
        <v>105313</v>
      </c>
      <c r="B1291" s="0" t="n">
        <v>113396</v>
      </c>
      <c r="C1291" s="0" t="n">
        <v>126602</v>
      </c>
      <c r="D1291" s="0" t="s">
        <v>35</v>
      </c>
      <c r="E1291" s="0" t="s">
        <v>35</v>
      </c>
      <c r="F1291" s="0" t="s">
        <v>36</v>
      </c>
      <c r="G1291" s="0" t="s">
        <v>37</v>
      </c>
      <c r="H1291" s="0" t="s">
        <v>4534</v>
      </c>
      <c r="I1291" s="0" t="s">
        <v>4535</v>
      </c>
      <c r="J1291" s="0" t="s">
        <v>4534</v>
      </c>
      <c r="M1291" s="0" t="s">
        <v>4536</v>
      </c>
      <c r="N1291" s="0" t="n">
        <v>1967</v>
      </c>
      <c r="O1291" s="0" t="s">
        <v>4511</v>
      </c>
      <c r="P1291" s="0" t="n">
        <v>1967</v>
      </c>
      <c r="Q1291" s="0" t="s">
        <v>39</v>
      </c>
      <c r="R1291" s="0" t="s">
        <v>4537</v>
      </c>
      <c r="S1291" s="0" t="s">
        <v>4538</v>
      </c>
      <c r="V1291" s="0" t="n">
        <v>1</v>
      </c>
      <c r="W1291" s="0" t="n">
        <v>1</v>
      </c>
      <c r="X1291" s="0" t="str">
        <f aca="false">"31811010386194"</f>
        <v>31811010386194</v>
      </c>
      <c r="Y1291" s="0" t="s">
        <v>39</v>
      </c>
      <c r="Z1291" s="0" t="s">
        <v>42</v>
      </c>
      <c r="AA1291" s="0" t="s">
        <v>43</v>
      </c>
      <c r="AE1291" s="1" t="s">
        <v>52</v>
      </c>
    </row>
    <row r="1292" customFormat="false" ht="12.8" hidden="false" customHeight="false" outlineLevel="0" collapsed="false">
      <c r="A1292" s="0" t="n">
        <v>105301</v>
      </c>
      <c r="B1292" s="0" t="n">
        <v>113383</v>
      </c>
      <c r="C1292" s="0" t="n">
        <v>126589</v>
      </c>
      <c r="D1292" s="0" t="s">
        <v>35</v>
      </c>
      <c r="E1292" s="0" t="s">
        <v>35</v>
      </c>
      <c r="F1292" s="0" t="s">
        <v>36</v>
      </c>
      <c r="G1292" s="0" t="s">
        <v>37</v>
      </c>
      <c r="H1292" s="0" t="s">
        <v>4539</v>
      </c>
      <c r="I1292" s="0" t="s">
        <v>4540</v>
      </c>
      <c r="J1292" s="0" t="s">
        <v>4541</v>
      </c>
      <c r="M1292" s="0" t="s">
        <v>4542</v>
      </c>
      <c r="N1292" s="0" t="n">
        <v>1967</v>
      </c>
      <c r="O1292" s="0" t="s">
        <v>4511</v>
      </c>
      <c r="P1292" s="0" t="n">
        <v>1967</v>
      </c>
      <c r="Q1292" s="0" t="s">
        <v>39</v>
      </c>
      <c r="R1292" s="0" t="s">
        <v>4543</v>
      </c>
      <c r="S1292" s="0" t="s">
        <v>4544</v>
      </c>
      <c r="V1292" s="0" t="n">
        <v>1</v>
      </c>
      <c r="W1292" s="0" t="n">
        <v>1</v>
      </c>
      <c r="X1292" s="0" t="str">
        <f aca="false">"31811010386202"</f>
        <v>31811010386202</v>
      </c>
      <c r="Y1292" s="0" t="s">
        <v>39</v>
      </c>
      <c r="Z1292" s="0" t="s">
        <v>42</v>
      </c>
      <c r="AA1292" s="0" t="s">
        <v>43</v>
      </c>
      <c r="AE1292" s="1" t="s">
        <v>52</v>
      </c>
    </row>
    <row r="1293" customFormat="false" ht="12.8" hidden="false" customHeight="false" outlineLevel="0" collapsed="false">
      <c r="A1293" s="0" t="n">
        <v>105295</v>
      </c>
      <c r="B1293" s="0" t="n">
        <v>113376</v>
      </c>
      <c r="C1293" s="0" t="n">
        <v>126580</v>
      </c>
      <c r="D1293" s="0" t="s">
        <v>35</v>
      </c>
      <c r="E1293" s="0" t="s">
        <v>35</v>
      </c>
      <c r="F1293" s="0" t="s">
        <v>36</v>
      </c>
      <c r="G1293" s="0" t="s">
        <v>37</v>
      </c>
      <c r="H1293" s="0" t="s">
        <v>4545</v>
      </c>
      <c r="I1293" s="0" t="s">
        <v>4546</v>
      </c>
      <c r="J1293" s="0" t="s">
        <v>4547</v>
      </c>
      <c r="M1293" s="0" t="s">
        <v>4548</v>
      </c>
      <c r="N1293" s="0" t="n">
        <v>1968</v>
      </c>
      <c r="O1293" s="0" t="s">
        <v>4511</v>
      </c>
      <c r="P1293" s="0" t="n">
        <v>1968</v>
      </c>
      <c r="Q1293" s="0" t="s">
        <v>39</v>
      </c>
      <c r="R1293" s="0" t="s">
        <v>4549</v>
      </c>
      <c r="S1293" s="0" t="s">
        <v>4550</v>
      </c>
      <c r="V1293" s="0" t="n">
        <v>1</v>
      </c>
      <c r="W1293" s="0" t="n">
        <v>1</v>
      </c>
      <c r="X1293" s="0" t="str">
        <f aca="false">"31811010386137"</f>
        <v>31811010386137</v>
      </c>
      <c r="Y1293" s="0" t="s">
        <v>39</v>
      </c>
      <c r="Z1293" s="0" t="s">
        <v>42</v>
      </c>
      <c r="AA1293" s="0" t="s">
        <v>43</v>
      </c>
      <c r="AE1293" s="1" t="s">
        <v>52</v>
      </c>
    </row>
    <row r="1294" customFormat="false" ht="12.8" hidden="false" customHeight="false" outlineLevel="0" collapsed="false">
      <c r="A1294" s="0" t="n">
        <v>105342</v>
      </c>
      <c r="B1294" s="0" t="n">
        <v>113426</v>
      </c>
      <c r="C1294" s="0" t="n">
        <v>126632</v>
      </c>
      <c r="D1294" s="0" t="s">
        <v>35</v>
      </c>
      <c r="E1294" s="0" t="s">
        <v>35</v>
      </c>
      <c r="F1294" s="0" t="s">
        <v>36</v>
      </c>
      <c r="G1294" s="0" t="s">
        <v>37</v>
      </c>
      <c r="H1294" s="0" t="s">
        <v>4551</v>
      </c>
      <c r="I1294" s="0" t="s">
        <v>4552</v>
      </c>
      <c r="J1294" s="0" t="s">
        <v>4553</v>
      </c>
      <c r="M1294" s="0" t="s">
        <v>4554</v>
      </c>
      <c r="N1294" s="0" t="n">
        <v>1968</v>
      </c>
      <c r="O1294" s="0" t="s">
        <v>4511</v>
      </c>
      <c r="P1294" s="0" t="n">
        <v>1968</v>
      </c>
      <c r="Q1294" s="0" t="s">
        <v>39</v>
      </c>
      <c r="R1294" s="0" t="s">
        <v>4555</v>
      </c>
      <c r="S1294" s="0" t="s">
        <v>4556</v>
      </c>
      <c r="V1294" s="0" t="n">
        <v>1</v>
      </c>
      <c r="W1294" s="0" t="n">
        <v>1</v>
      </c>
      <c r="X1294" s="0" t="str">
        <f aca="false">"31811010386145"</f>
        <v>31811010386145</v>
      </c>
      <c r="Y1294" s="0" t="s">
        <v>39</v>
      </c>
      <c r="Z1294" s="0" t="s">
        <v>42</v>
      </c>
      <c r="AA1294" s="0" t="s">
        <v>43</v>
      </c>
      <c r="AE1294" s="1" t="s">
        <v>52</v>
      </c>
    </row>
    <row r="1295" customFormat="false" ht="12.8" hidden="false" customHeight="false" outlineLevel="0" collapsed="false">
      <c r="A1295" s="0" t="n">
        <v>105346</v>
      </c>
      <c r="B1295" s="0" t="n">
        <v>113430</v>
      </c>
      <c r="C1295" s="0" t="n">
        <v>126636</v>
      </c>
      <c r="D1295" s="0" t="s">
        <v>35</v>
      </c>
      <c r="E1295" s="0" t="s">
        <v>35</v>
      </c>
      <c r="F1295" s="0" t="s">
        <v>36</v>
      </c>
      <c r="G1295" s="0" t="s">
        <v>37</v>
      </c>
      <c r="H1295" s="0" t="s">
        <v>4557</v>
      </c>
      <c r="I1295" s="0" t="s">
        <v>4558</v>
      </c>
      <c r="J1295" s="0" t="s">
        <v>4559</v>
      </c>
      <c r="M1295" s="0" t="s">
        <v>4560</v>
      </c>
      <c r="N1295" s="0" t="n">
        <v>1968</v>
      </c>
      <c r="O1295" s="0" t="s">
        <v>4511</v>
      </c>
      <c r="P1295" s="0" t="n">
        <v>1968</v>
      </c>
      <c r="Q1295" s="0" t="s">
        <v>39</v>
      </c>
      <c r="R1295" s="0" t="s">
        <v>4561</v>
      </c>
      <c r="S1295" s="0" t="s">
        <v>4562</v>
      </c>
      <c r="V1295" s="0" t="n">
        <v>1</v>
      </c>
      <c r="W1295" s="0" t="n">
        <v>1</v>
      </c>
      <c r="X1295" s="0" t="str">
        <f aca="false">"31811010386152"</f>
        <v>31811010386152</v>
      </c>
      <c r="Y1295" s="0" t="s">
        <v>39</v>
      </c>
      <c r="Z1295" s="0" t="s">
        <v>42</v>
      </c>
      <c r="AA1295" s="0" t="s">
        <v>43</v>
      </c>
      <c r="AE1295" s="1" t="s">
        <v>52</v>
      </c>
    </row>
    <row r="1296" customFormat="false" ht="12.8" hidden="false" customHeight="false" outlineLevel="0" collapsed="false">
      <c r="A1296" s="0" t="n">
        <v>105297</v>
      </c>
      <c r="B1296" s="0" t="n">
        <v>113378</v>
      </c>
      <c r="C1296" s="0" t="n">
        <v>126582</v>
      </c>
      <c r="D1296" s="0" t="s">
        <v>35</v>
      </c>
      <c r="E1296" s="0" t="s">
        <v>35</v>
      </c>
      <c r="F1296" s="0" t="s">
        <v>36</v>
      </c>
      <c r="G1296" s="0" t="s">
        <v>37</v>
      </c>
      <c r="H1296" s="0" t="s">
        <v>4563</v>
      </c>
      <c r="I1296" s="0" t="s">
        <v>4564</v>
      </c>
      <c r="J1296" s="0" t="s">
        <v>4565</v>
      </c>
      <c r="M1296" s="0" t="s">
        <v>4566</v>
      </c>
      <c r="N1296" s="0" t="n">
        <v>1969</v>
      </c>
      <c r="O1296" s="0" t="s">
        <v>4511</v>
      </c>
      <c r="P1296" s="0" t="n">
        <v>1969</v>
      </c>
      <c r="Q1296" s="0" t="s">
        <v>39</v>
      </c>
      <c r="R1296" s="0" t="s">
        <v>4567</v>
      </c>
      <c r="S1296" s="0" t="s">
        <v>4568</v>
      </c>
      <c r="V1296" s="0" t="n">
        <v>1</v>
      </c>
      <c r="W1296" s="0" t="n">
        <v>1</v>
      </c>
      <c r="X1296" s="0" t="str">
        <f aca="false">"31811010386160"</f>
        <v>31811010386160</v>
      </c>
      <c r="Y1296" s="0" t="s">
        <v>39</v>
      </c>
      <c r="Z1296" s="0" t="s">
        <v>42</v>
      </c>
      <c r="AA1296" s="0" t="s">
        <v>43</v>
      </c>
      <c r="AE1296" s="1" t="s">
        <v>52</v>
      </c>
    </row>
    <row r="1297" customFormat="false" ht="12.8" hidden="false" customHeight="false" outlineLevel="0" collapsed="false">
      <c r="A1297" s="0" t="n">
        <v>105303</v>
      </c>
      <c r="B1297" s="0" t="n">
        <v>113385</v>
      </c>
      <c r="C1297" s="0" t="n">
        <v>126591</v>
      </c>
      <c r="D1297" s="0" t="s">
        <v>35</v>
      </c>
      <c r="E1297" s="0" t="s">
        <v>35</v>
      </c>
      <c r="F1297" s="0" t="s">
        <v>36</v>
      </c>
      <c r="G1297" s="0" t="s">
        <v>37</v>
      </c>
      <c r="H1297" s="0" t="s">
        <v>4569</v>
      </c>
      <c r="I1297" s="0" t="s">
        <v>4570</v>
      </c>
      <c r="J1297" s="0" t="s">
        <v>4571</v>
      </c>
      <c r="M1297" s="0" t="s">
        <v>4572</v>
      </c>
      <c r="N1297" s="0" t="n">
        <v>1970</v>
      </c>
      <c r="O1297" s="0" t="s">
        <v>4511</v>
      </c>
      <c r="P1297" s="0" t="n">
        <v>1970</v>
      </c>
      <c r="Q1297" s="0" t="s">
        <v>39</v>
      </c>
      <c r="R1297" s="0" t="s">
        <v>4573</v>
      </c>
      <c r="S1297" s="0" t="s">
        <v>4574</v>
      </c>
      <c r="V1297" s="0" t="n">
        <v>1</v>
      </c>
      <c r="W1297" s="0" t="n">
        <v>1</v>
      </c>
      <c r="X1297" s="0" t="str">
        <f aca="false">"31811010369133"</f>
        <v>31811010369133</v>
      </c>
      <c r="Y1297" s="0" t="s">
        <v>39</v>
      </c>
      <c r="Z1297" s="0" t="s">
        <v>42</v>
      </c>
      <c r="AA1297" s="0" t="s">
        <v>43</v>
      </c>
      <c r="AE1297" s="1" t="s">
        <v>52</v>
      </c>
    </row>
    <row r="1298" customFormat="false" ht="12.8" hidden="false" customHeight="false" outlineLevel="0" collapsed="false">
      <c r="A1298" s="0" t="n">
        <v>105300</v>
      </c>
      <c r="B1298" s="0" t="n">
        <v>113381</v>
      </c>
      <c r="C1298" s="0" t="n">
        <v>126587</v>
      </c>
      <c r="D1298" s="0" t="s">
        <v>35</v>
      </c>
      <c r="E1298" s="0" t="s">
        <v>35</v>
      </c>
      <c r="F1298" s="0" t="s">
        <v>36</v>
      </c>
      <c r="G1298" s="0" t="s">
        <v>37</v>
      </c>
      <c r="H1298" s="0" t="s">
        <v>4575</v>
      </c>
      <c r="I1298" s="0" t="s">
        <v>4576</v>
      </c>
      <c r="J1298" s="0" t="s">
        <v>4577</v>
      </c>
      <c r="M1298" s="0" t="s">
        <v>4578</v>
      </c>
      <c r="N1298" s="0" t="n">
        <v>1970</v>
      </c>
      <c r="O1298" s="0" t="s">
        <v>4511</v>
      </c>
      <c r="P1298" s="0" t="n">
        <v>1970</v>
      </c>
      <c r="Q1298" s="0" t="s">
        <v>39</v>
      </c>
      <c r="R1298" s="0" t="s">
        <v>4579</v>
      </c>
      <c r="S1298" s="0" t="s">
        <v>4580</v>
      </c>
      <c r="V1298" s="0" t="n">
        <v>1</v>
      </c>
      <c r="W1298" s="0" t="n">
        <v>1</v>
      </c>
      <c r="X1298" s="0" t="str">
        <f aca="false">"31811010386095"</f>
        <v>31811010386095</v>
      </c>
      <c r="Y1298" s="0" t="s">
        <v>39</v>
      </c>
      <c r="Z1298" s="0" t="s">
        <v>42</v>
      </c>
      <c r="AA1298" s="0" t="s">
        <v>43</v>
      </c>
      <c r="AE1298" s="1" t="s">
        <v>52</v>
      </c>
    </row>
    <row r="1299" customFormat="false" ht="12.8" hidden="false" customHeight="false" outlineLevel="0" collapsed="false">
      <c r="A1299" s="0" t="n">
        <v>105300</v>
      </c>
      <c r="B1299" s="0" t="n">
        <v>113382</v>
      </c>
      <c r="C1299" s="0" t="n">
        <v>126588</v>
      </c>
      <c r="D1299" s="0" t="s">
        <v>35</v>
      </c>
      <c r="E1299" s="0" t="s">
        <v>35</v>
      </c>
      <c r="F1299" s="0" t="s">
        <v>36</v>
      </c>
      <c r="G1299" s="0" t="s">
        <v>37</v>
      </c>
      <c r="H1299" s="0" t="s">
        <v>4575</v>
      </c>
      <c r="I1299" s="0" t="s">
        <v>4576</v>
      </c>
      <c r="J1299" s="0" t="s">
        <v>4577</v>
      </c>
      <c r="M1299" s="0" t="s">
        <v>4578</v>
      </c>
      <c r="N1299" s="0" t="n">
        <v>1970</v>
      </c>
      <c r="O1299" s="0" t="s">
        <v>4511</v>
      </c>
      <c r="P1299" s="0" t="n">
        <v>1970</v>
      </c>
      <c r="Q1299" s="0" t="s">
        <v>39</v>
      </c>
      <c r="R1299" s="0" t="s">
        <v>4579</v>
      </c>
      <c r="S1299" s="0" t="s">
        <v>4580</v>
      </c>
      <c r="V1299" s="0" t="n">
        <v>2</v>
      </c>
      <c r="W1299" s="0" t="n">
        <v>1</v>
      </c>
      <c r="X1299" s="0" t="str">
        <f aca="false">"31811010386210"</f>
        <v>31811010386210</v>
      </c>
      <c r="Y1299" s="0" t="s">
        <v>39</v>
      </c>
      <c r="Z1299" s="0" t="s">
        <v>42</v>
      </c>
      <c r="AA1299" s="0" t="s">
        <v>43</v>
      </c>
      <c r="AE1299" s="1" t="s">
        <v>52</v>
      </c>
    </row>
    <row r="1300" customFormat="false" ht="12.8" hidden="false" customHeight="false" outlineLevel="0" collapsed="false">
      <c r="A1300" s="0" t="n">
        <v>105302</v>
      </c>
      <c r="B1300" s="0" t="n">
        <v>113384</v>
      </c>
      <c r="C1300" s="0" t="n">
        <v>126590</v>
      </c>
      <c r="D1300" s="0" t="s">
        <v>35</v>
      </c>
      <c r="E1300" s="0" t="s">
        <v>35</v>
      </c>
      <c r="F1300" s="0" t="s">
        <v>36</v>
      </c>
      <c r="G1300" s="0" t="s">
        <v>37</v>
      </c>
      <c r="H1300" s="0" t="s">
        <v>4581</v>
      </c>
      <c r="I1300" s="0" t="s">
        <v>4582</v>
      </c>
      <c r="J1300" s="0" t="s">
        <v>4583</v>
      </c>
      <c r="M1300" s="0" t="s">
        <v>4584</v>
      </c>
      <c r="N1300" s="0" t="n">
        <v>1971</v>
      </c>
      <c r="O1300" s="0" t="s">
        <v>4511</v>
      </c>
      <c r="P1300" s="0" t="n">
        <v>1971</v>
      </c>
      <c r="Q1300" s="0" t="s">
        <v>39</v>
      </c>
      <c r="R1300" s="0" t="s">
        <v>4585</v>
      </c>
      <c r="S1300" s="0" t="s">
        <v>4586</v>
      </c>
      <c r="V1300" s="0" t="n">
        <v>1</v>
      </c>
      <c r="W1300" s="0" t="n">
        <v>1</v>
      </c>
      <c r="X1300" s="0" t="str">
        <f aca="false">"31811010386228"</f>
        <v>31811010386228</v>
      </c>
      <c r="Y1300" s="0" t="s">
        <v>39</v>
      </c>
      <c r="Z1300" s="0" t="s">
        <v>42</v>
      </c>
      <c r="AA1300" s="0" t="s">
        <v>43</v>
      </c>
      <c r="AE1300" s="1" t="s">
        <v>52</v>
      </c>
      <c r="AH1300" s="1" t="s">
        <v>4587</v>
      </c>
    </row>
    <row r="1301" customFormat="false" ht="12.8" hidden="false" customHeight="false" outlineLevel="0" collapsed="false">
      <c r="A1301" s="0" t="n">
        <v>289785</v>
      </c>
      <c r="B1301" s="0" t="n">
        <v>316544</v>
      </c>
      <c r="C1301" s="0" t="n">
        <v>354151</v>
      </c>
      <c r="D1301" s="0" t="s">
        <v>35</v>
      </c>
      <c r="E1301" s="0" t="s">
        <v>35</v>
      </c>
      <c r="F1301" s="0" t="s">
        <v>36</v>
      </c>
      <c r="G1301" s="0" t="s">
        <v>37</v>
      </c>
      <c r="H1301" s="0" t="s">
        <v>4588</v>
      </c>
      <c r="J1301" s="0" t="s">
        <v>4589</v>
      </c>
      <c r="L1301" s="0" t="n">
        <v>892632461</v>
      </c>
      <c r="M1301" s="0" t="s">
        <v>4590</v>
      </c>
      <c r="N1301" s="0" t="n">
        <v>1980</v>
      </c>
      <c r="O1301" s="0" t="s">
        <v>4591</v>
      </c>
      <c r="P1301" s="0" t="n">
        <v>1980</v>
      </c>
      <c r="Q1301" s="0" t="s">
        <v>39</v>
      </c>
      <c r="R1301" s="0" t="s">
        <v>4592</v>
      </c>
      <c r="S1301" s="0" t="s">
        <v>4593</v>
      </c>
      <c r="V1301" s="0" t="n">
        <v>1</v>
      </c>
      <c r="W1301" s="0" t="n">
        <v>1</v>
      </c>
      <c r="X1301" s="0" t="str">
        <f aca="false">"31811002802083"</f>
        <v>31811002802083</v>
      </c>
      <c r="Y1301" s="0" t="s">
        <v>39</v>
      </c>
      <c r="Z1301" s="0" t="s">
        <v>42</v>
      </c>
      <c r="AA1301" s="0" t="s">
        <v>43</v>
      </c>
      <c r="AE1301" s="1" t="s">
        <v>52</v>
      </c>
    </row>
    <row r="1302" customFormat="false" ht="12.8" hidden="false" customHeight="false" outlineLevel="0" collapsed="false">
      <c r="A1302" s="0" t="n">
        <v>364611</v>
      </c>
      <c r="B1302" s="0" t="n">
        <v>394322</v>
      </c>
      <c r="C1302" s="0" t="n">
        <v>438374</v>
      </c>
      <c r="D1302" s="0" t="s">
        <v>35</v>
      </c>
      <c r="E1302" s="0" t="s">
        <v>35</v>
      </c>
      <c r="F1302" s="0" t="s">
        <v>36</v>
      </c>
      <c r="G1302" s="0" t="s">
        <v>37</v>
      </c>
      <c r="H1302" s="0" t="s">
        <v>4594</v>
      </c>
      <c r="I1302" s="0" t="s">
        <v>4595</v>
      </c>
      <c r="J1302" s="0" t="s">
        <v>4596</v>
      </c>
      <c r="M1302" s="0" t="s">
        <v>4597</v>
      </c>
      <c r="N1302" s="0" t="n">
        <v>1968</v>
      </c>
      <c r="O1302" s="0" t="s">
        <v>4591</v>
      </c>
      <c r="P1302" s="0" t="n">
        <v>1968</v>
      </c>
      <c r="Q1302" s="0" t="s">
        <v>39</v>
      </c>
      <c r="R1302" s="0" t="s">
        <v>4598</v>
      </c>
      <c r="S1302" s="0" t="s">
        <v>4599</v>
      </c>
      <c r="V1302" s="0" t="n">
        <v>1</v>
      </c>
      <c r="W1302" s="0" t="n">
        <v>1</v>
      </c>
      <c r="X1302" s="0" t="str">
        <f aca="false">"31811010386129"</f>
        <v>31811010386129</v>
      </c>
      <c r="Y1302" s="0" t="s">
        <v>39</v>
      </c>
      <c r="Z1302" s="0" t="s">
        <v>42</v>
      </c>
      <c r="AA1302" s="0" t="s">
        <v>43</v>
      </c>
      <c r="AE1302" s="1" t="s">
        <v>52</v>
      </c>
    </row>
    <row r="1303" customFormat="false" ht="12.8" hidden="false" customHeight="false" outlineLevel="0" collapsed="false">
      <c r="A1303" s="0" t="n">
        <v>292993</v>
      </c>
      <c r="B1303" s="0" t="n">
        <v>319932</v>
      </c>
      <c r="C1303" s="0" t="n">
        <v>357695</v>
      </c>
      <c r="D1303" s="0" t="s">
        <v>35</v>
      </c>
      <c r="E1303" s="0" t="s">
        <v>35</v>
      </c>
      <c r="F1303" s="0" t="s">
        <v>36</v>
      </c>
      <c r="G1303" s="0" t="s">
        <v>37</v>
      </c>
      <c r="H1303" s="0" t="s">
        <v>4600</v>
      </c>
      <c r="I1303" s="0" t="s">
        <v>4601</v>
      </c>
      <c r="J1303" s="0" t="s">
        <v>4602</v>
      </c>
      <c r="M1303" s="0" t="s">
        <v>4603</v>
      </c>
      <c r="N1303" s="0" t="s">
        <v>4604</v>
      </c>
      <c r="O1303" s="0" t="s">
        <v>4591</v>
      </c>
      <c r="P1303" s="0" t="n">
        <v>1970</v>
      </c>
      <c r="Q1303" s="0" t="s">
        <v>39</v>
      </c>
      <c r="R1303" s="0" t="s">
        <v>4605</v>
      </c>
      <c r="S1303" s="0" t="s">
        <v>4606</v>
      </c>
      <c r="V1303" s="0" t="n">
        <v>1</v>
      </c>
      <c r="W1303" s="0" t="n">
        <v>1</v>
      </c>
      <c r="X1303" s="0" t="str">
        <f aca="false">"31811010385931"</f>
        <v>31811010385931</v>
      </c>
      <c r="Y1303" s="0" t="s">
        <v>39</v>
      </c>
      <c r="Z1303" s="0" t="s">
        <v>42</v>
      </c>
      <c r="AA1303" s="0" t="s">
        <v>43</v>
      </c>
      <c r="AE1303" s="1" t="s">
        <v>52</v>
      </c>
    </row>
    <row r="1304" customFormat="false" ht="12.8" hidden="false" customHeight="false" outlineLevel="0" collapsed="false">
      <c r="A1304" s="0" t="n">
        <v>163441</v>
      </c>
      <c r="B1304" s="0" t="n">
        <v>177923</v>
      </c>
      <c r="C1304" s="0" t="n">
        <v>199551</v>
      </c>
      <c r="D1304" s="0" t="s">
        <v>35</v>
      </c>
      <c r="E1304" s="0" t="s">
        <v>35</v>
      </c>
      <c r="F1304" s="0" t="s">
        <v>480</v>
      </c>
      <c r="G1304" s="0" t="s">
        <v>37</v>
      </c>
      <c r="H1304" s="0" t="s">
        <v>4607</v>
      </c>
      <c r="I1304" s="0" t="s">
        <v>4608</v>
      </c>
      <c r="J1304" s="0" t="s">
        <v>4607</v>
      </c>
      <c r="M1304" s="0" t="s">
        <v>4609</v>
      </c>
      <c r="N1304" s="0" t="s">
        <v>4610</v>
      </c>
      <c r="O1304" s="0" t="s">
        <v>4611</v>
      </c>
      <c r="P1304" s="0" t="n">
        <v>1872</v>
      </c>
      <c r="Q1304" s="0" t="s">
        <v>39</v>
      </c>
      <c r="R1304" s="0" t="s">
        <v>4612</v>
      </c>
      <c r="S1304" s="0" t="s">
        <v>4613</v>
      </c>
      <c r="T1304" s="0" t="s">
        <v>4614</v>
      </c>
      <c r="V1304" s="0" t="n">
        <v>1</v>
      </c>
      <c r="W1304" s="0" t="n">
        <v>1</v>
      </c>
      <c r="X1304" s="0" t="str">
        <f aca="false">"31811011589549"</f>
        <v>31811011589549</v>
      </c>
      <c r="Y1304" s="0" t="s">
        <v>39</v>
      </c>
      <c r="Z1304" s="0" t="s">
        <v>42</v>
      </c>
      <c r="AA1304" s="0" t="s">
        <v>43</v>
      </c>
      <c r="AE1304" s="1" t="s">
        <v>52</v>
      </c>
    </row>
    <row r="1305" customFormat="false" ht="12.8" hidden="false" customHeight="false" outlineLevel="0" collapsed="false">
      <c r="A1305" s="0" t="n">
        <v>163441</v>
      </c>
      <c r="B1305" s="0" t="n">
        <v>177923</v>
      </c>
      <c r="C1305" s="0" t="n">
        <v>199552</v>
      </c>
      <c r="D1305" s="0" t="s">
        <v>35</v>
      </c>
      <c r="E1305" s="0" t="s">
        <v>35</v>
      </c>
      <c r="F1305" s="0" t="s">
        <v>480</v>
      </c>
      <c r="G1305" s="0" t="s">
        <v>37</v>
      </c>
      <c r="H1305" s="0" t="s">
        <v>4607</v>
      </c>
      <c r="I1305" s="0" t="s">
        <v>4608</v>
      </c>
      <c r="J1305" s="0" t="s">
        <v>4607</v>
      </c>
      <c r="M1305" s="0" t="s">
        <v>4609</v>
      </c>
      <c r="N1305" s="0" t="s">
        <v>4610</v>
      </c>
      <c r="O1305" s="0" t="s">
        <v>4611</v>
      </c>
      <c r="P1305" s="0" t="n">
        <v>1872</v>
      </c>
      <c r="Q1305" s="0" t="s">
        <v>39</v>
      </c>
      <c r="R1305" s="0" t="s">
        <v>4612</v>
      </c>
      <c r="S1305" s="0" t="s">
        <v>4613</v>
      </c>
      <c r="T1305" s="0" t="s">
        <v>4615</v>
      </c>
      <c r="V1305" s="0" t="n">
        <v>1</v>
      </c>
      <c r="W1305" s="0" t="n">
        <v>1</v>
      </c>
      <c r="X1305" s="0" t="str">
        <f aca="false">"31811011628909"</f>
        <v>31811011628909</v>
      </c>
      <c r="Y1305" s="0" t="s">
        <v>39</v>
      </c>
      <c r="Z1305" s="0" t="s">
        <v>42</v>
      </c>
      <c r="AA1305" s="0" t="s">
        <v>43</v>
      </c>
      <c r="AE1305" s="1" t="s">
        <v>52</v>
      </c>
    </row>
    <row r="1306" customFormat="false" ht="12.8" hidden="false" customHeight="false" outlineLevel="0" collapsed="false">
      <c r="A1306" s="0" t="n">
        <v>163441</v>
      </c>
      <c r="B1306" s="0" t="n">
        <v>177923</v>
      </c>
      <c r="C1306" s="0" t="n">
        <v>199553</v>
      </c>
      <c r="D1306" s="0" t="s">
        <v>35</v>
      </c>
      <c r="E1306" s="0" t="s">
        <v>35</v>
      </c>
      <c r="F1306" s="0" t="s">
        <v>480</v>
      </c>
      <c r="G1306" s="0" t="s">
        <v>37</v>
      </c>
      <c r="H1306" s="0" t="s">
        <v>4607</v>
      </c>
      <c r="I1306" s="0" t="s">
        <v>4608</v>
      </c>
      <c r="J1306" s="0" t="s">
        <v>4607</v>
      </c>
      <c r="M1306" s="0" t="s">
        <v>4609</v>
      </c>
      <c r="N1306" s="0" t="s">
        <v>4610</v>
      </c>
      <c r="O1306" s="0" t="s">
        <v>4611</v>
      </c>
      <c r="P1306" s="0" t="n">
        <v>1872</v>
      </c>
      <c r="Q1306" s="0" t="s">
        <v>39</v>
      </c>
      <c r="R1306" s="0" t="s">
        <v>4612</v>
      </c>
      <c r="S1306" s="0" t="s">
        <v>4613</v>
      </c>
      <c r="T1306" s="0" t="s">
        <v>4616</v>
      </c>
      <c r="V1306" s="0" t="n">
        <v>1</v>
      </c>
      <c r="W1306" s="0" t="n">
        <v>1</v>
      </c>
      <c r="X1306" s="0" t="str">
        <f aca="false">"31811011628891"</f>
        <v>31811011628891</v>
      </c>
      <c r="Y1306" s="0" t="s">
        <v>39</v>
      </c>
      <c r="Z1306" s="0" t="s">
        <v>42</v>
      </c>
      <c r="AA1306" s="0" t="s">
        <v>43</v>
      </c>
      <c r="AE1306" s="1" t="s">
        <v>52</v>
      </c>
    </row>
    <row r="1307" customFormat="false" ht="12.8" hidden="false" customHeight="false" outlineLevel="0" collapsed="false">
      <c r="A1307" s="0" t="n">
        <v>163441</v>
      </c>
      <c r="B1307" s="0" t="n">
        <v>177923</v>
      </c>
      <c r="C1307" s="0" t="n">
        <v>199554</v>
      </c>
      <c r="D1307" s="0" t="s">
        <v>35</v>
      </c>
      <c r="E1307" s="0" t="s">
        <v>35</v>
      </c>
      <c r="F1307" s="0" t="s">
        <v>480</v>
      </c>
      <c r="G1307" s="0" t="s">
        <v>37</v>
      </c>
      <c r="H1307" s="0" t="s">
        <v>4607</v>
      </c>
      <c r="I1307" s="0" t="s">
        <v>4608</v>
      </c>
      <c r="J1307" s="0" t="s">
        <v>4607</v>
      </c>
      <c r="M1307" s="0" t="s">
        <v>4609</v>
      </c>
      <c r="N1307" s="0" t="s">
        <v>4610</v>
      </c>
      <c r="O1307" s="0" t="s">
        <v>4611</v>
      </c>
      <c r="P1307" s="0" t="n">
        <v>1872</v>
      </c>
      <c r="Q1307" s="0" t="s">
        <v>39</v>
      </c>
      <c r="R1307" s="0" t="s">
        <v>4612</v>
      </c>
      <c r="S1307" s="0" t="s">
        <v>4613</v>
      </c>
      <c r="T1307" s="0" t="s">
        <v>4617</v>
      </c>
      <c r="V1307" s="0" t="n">
        <v>1</v>
      </c>
      <c r="W1307" s="0" t="n">
        <v>1</v>
      </c>
      <c r="X1307" s="0" t="str">
        <f aca="false">"31811011628933"</f>
        <v>31811011628933</v>
      </c>
      <c r="Y1307" s="0" t="s">
        <v>39</v>
      </c>
      <c r="Z1307" s="0" t="s">
        <v>42</v>
      </c>
      <c r="AA1307" s="0" t="s">
        <v>43</v>
      </c>
      <c r="AE1307" s="1" t="s">
        <v>52</v>
      </c>
    </row>
    <row r="1308" customFormat="false" ht="12.8" hidden="false" customHeight="false" outlineLevel="0" collapsed="false">
      <c r="A1308" s="0" t="n">
        <v>163441</v>
      </c>
      <c r="B1308" s="0" t="n">
        <v>177923</v>
      </c>
      <c r="C1308" s="0" t="n">
        <v>199555</v>
      </c>
      <c r="D1308" s="0" t="s">
        <v>35</v>
      </c>
      <c r="E1308" s="0" t="s">
        <v>35</v>
      </c>
      <c r="F1308" s="0" t="s">
        <v>480</v>
      </c>
      <c r="G1308" s="0" t="s">
        <v>37</v>
      </c>
      <c r="H1308" s="0" t="s">
        <v>4607</v>
      </c>
      <c r="I1308" s="0" t="s">
        <v>4608</v>
      </c>
      <c r="J1308" s="0" t="s">
        <v>4607</v>
      </c>
      <c r="M1308" s="0" t="s">
        <v>4609</v>
      </c>
      <c r="N1308" s="0" t="s">
        <v>4610</v>
      </c>
      <c r="O1308" s="0" t="s">
        <v>4611</v>
      </c>
      <c r="P1308" s="0" t="n">
        <v>1872</v>
      </c>
      <c r="Q1308" s="0" t="s">
        <v>39</v>
      </c>
      <c r="R1308" s="0" t="s">
        <v>4612</v>
      </c>
      <c r="S1308" s="0" t="s">
        <v>4613</v>
      </c>
      <c r="T1308" s="0" t="s">
        <v>4618</v>
      </c>
      <c r="V1308" s="0" t="n">
        <v>1</v>
      </c>
      <c r="W1308" s="0" t="n">
        <v>1</v>
      </c>
      <c r="X1308" s="0" t="str">
        <f aca="false">"31811011628941"</f>
        <v>31811011628941</v>
      </c>
      <c r="Y1308" s="0" t="s">
        <v>39</v>
      </c>
      <c r="Z1308" s="0" t="s">
        <v>42</v>
      </c>
      <c r="AA1308" s="0" t="s">
        <v>43</v>
      </c>
      <c r="AE1308" s="1" t="s">
        <v>52</v>
      </c>
    </row>
    <row r="1309" customFormat="false" ht="12.8" hidden="false" customHeight="false" outlineLevel="0" collapsed="false">
      <c r="A1309" s="0" t="n">
        <v>163441</v>
      </c>
      <c r="B1309" s="0" t="n">
        <v>177923</v>
      </c>
      <c r="C1309" s="0" t="n">
        <v>199556</v>
      </c>
      <c r="D1309" s="0" t="s">
        <v>35</v>
      </c>
      <c r="E1309" s="0" t="s">
        <v>35</v>
      </c>
      <c r="F1309" s="0" t="s">
        <v>480</v>
      </c>
      <c r="G1309" s="0" t="s">
        <v>37</v>
      </c>
      <c r="H1309" s="0" t="s">
        <v>4607</v>
      </c>
      <c r="I1309" s="0" t="s">
        <v>4608</v>
      </c>
      <c r="J1309" s="0" t="s">
        <v>4607</v>
      </c>
      <c r="M1309" s="0" t="s">
        <v>4609</v>
      </c>
      <c r="N1309" s="0" t="s">
        <v>4610</v>
      </c>
      <c r="O1309" s="0" t="s">
        <v>4611</v>
      </c>
      <c r="P1309" s="0" t="n">
        <v>1872</v>
      </c>
      <c r="Q1309" s="0" t="s">
        <v>39</v>
      </c>
      <c r="R1309" s="0" t="s">
        <v>4612</v>
      </c>
      <c r="S1309" s="0" t="s">
        <v>4613</v>
      </c>
      <c r="T1309" s="0" t="s">
        <v>4619</v>
      </c>
      <c r="V1309" s="0" t="n">
        <v>1</v>
      </c>
      <c r="W1309" s="0" t="n">
        <v>1</v>
      </c>
      <c r="X1309" s="0" t="str">
        <f aca="false">"31811011628974"</f>
        <v>31811011628974</v>
      </c>
      <c r="Y1309" s="0" t="s">
        <v>39</v>
      </c>
      <c r="Z1309" s="0" t="s">
        <v>42</v>
      </c>
      <c r="AA1309" s="0" t="s">
        <v>43</v>
      </c>
      <c r="AE1309" s="1" t="s">
        <v>52</v>
      </c>
    </row>
    <row r="1310" customFormat="false" ht="12.8" hidden="false" customHeight="false" outlineLevel="0" collapsed="false">
      <c r="A1310" s="0" t="n">
        <v>163441</v>
      </c>
      <c r="B1310" s="0" t="n">
        <v>177923</v>
      </c>
      <c r="C1310" s="0" t="n">
        <v>199557</v>
      </c>
      <c r="D1310" s="0" t="s">
        <v>35</v>
      </c>
      <c r="E1310" s="0" t="s">
        <v>35</v>
      </c>
      <c r="F1310" s="0" t="s">
        <v>480</v>
      </c>
      <c r="G1310" s="0" t="s">
        <v>37</v>
      </c>
      <c r="H1310" s="0" t="s">
        <v>4607</v>
      </c>
      <c r="I1310" s="0" t="s">
        <v>4608</v>
      </c>
      <c r="J1310" s="0" t="s">
        <v>4607</v>
      </c>
      <c r="M1310" s="0" t="s">
        <v>4609</v>
      </c>
      <c r="N1310" s="0" t="s">
        <v>4610</v>
      </c>
      <c r="O1310" s="0" t="s">
        <v>4611</v>
      </c>
      <c r="P1310" s="0" t="n">
        <v>1872</v>
      </c>
      <c r="Q1310" s="0" t="s">
        <v>39</v>
      </c>
      <c r="R1310" s="0" t="s">
        <v>4612</v>
      </c>
      <c r="S1310" s="0" t="s">
        <v>4613</v>
      </c>
      <c r="T1310" s="0" t="s">
        <v>4620</v>
      </c>
      <c r="V1310" s="0" t="n">
        <v>1</v>
      </c>
      <c r="W1310" s="0" t="n">
        <v>1</v>
      </c>
      <c r="X1310" s="0" t="str">
        <f aca="false">"31811011628982"</f>
        <v>31811011628982</v>
      </c>
      <c r="Y1310" s="0" t="s">
        <v>39</v>
      </c>
      <c r="Z1310" s="0" t="s">
        <v>42</v>
      </c>
      <c r="AA1310" s="0" t="s">
        <v>43</v>
      </c>
      <c r="AE1310" s="1" t="s">
        <v>52</v>
      </c>
    </row>
    <row r="1311" customFormat="false" ht="12.8" hidden="false" customHeight="false" outlineLevel="0" collapsed="false">
      <c r="A1311" s="0" t="n">
        <v>163441</v>
      </c>
      <c r="B1311" s="0" t="n">
        <v>177923</v>
      </c>
      <c r="C1311" s="0" t="n">
        <v>199558</v>
      </c>
      <c r="D1311" s="0" t="s">
        <v>35</v>
      </c>
      <c r="E1311" s="0" t="s">
        <v>35</v>
      </c>
      <c r="F1311" s="0" t="s">
        <v>480</v>
      </c>
      <c r="G1311" s="0" t="s">
        <v>37</v>
      </c>
      <c r="H1311" s="0" t="s">
        <v>4607</v>
      </c>
      <c r="I1311" s="0" t="s">
        <v>4608</v>
      </c>
      <c r="J1311" s="0" t="s">
        <v>4607</v>
      </c>
      <c r="M1311" s="0" t="s">
        <v>4609</v>
      </c>
      <c r="N1311" s="0" t="s">
        <v>4610</v>
      </c>
      <c r="O1311" s="0" t="s">
        <v>4611</v>
      </c>
      <c r="P1311" s="0" t="n">
        <v>1872</v>
      </c>
      <c r="Q1311" s="0" t="s">
        <v>39</v>
      </c>
      <c r="R1311" s="0" t="s">
        <v>4612</v>
      </c>
      <c r="S1311" s="0" t="s">
        <v>4613</v>
      </c>
      <c r="T1311" s="0" t="s">
        <v>4621</v>
      </c>
      <c r="V1311" s="0" t="n">
        <v>1</v>
      </c>
      <c r="W1311" s="0" t="n">
        <v>1</v>
      </c>
      <c r="X1311" s="0" t="str">
        <f aca="false">"31811011629022"</f>
        <v>31811011629022</v>
      </c>
      <c r="Y1311" s="0" t="s">
        <v>39</v>
      </c>
      <c r="Z1311" s="0" t="s">
        <v>42</v>
      </c>
      <c r="AA1311" s="0" t="s">
        <v>43</v>
      </c>
      <c r="AE1311" s="1" t="s">
        <v>52</v>
      </c>
    </row>
    <row r="1312" customFormat="false" ht="12.8" hidden="false" customHeight="false" outlineLevel="0" collapsed="false">
      <c r="A1312" s="0" t="n">
        <v>163441</v>
      </c>
      <c r="B1312" s="0" t="n">
        <v>177923</v>
      </c>
      <c r="C1312" s="0" t="n">
        <v>199559</v>
      </c>
      <c r="D1312" s="0" t="s">
        <v>35</v>
      </c>
      <c r="E1312" s="0" t="s">
        <v>35</v>
      </c>
      <c r="F1312" s="0" t="s">
        <v>480</v>
      </c>
      <c r="G1312" s="0" t="s">
        <v>37</v>
      </c>
      <c r="H1312" s="0" t="s">
        <v>4607</v>
      </c>
      <c r="I1312" s="0" t="s">
        <v>4608</v>
      </c>
      <c r="J1312" s="0" t="s">
        <v>4607</v>
      </c>
      <c r="M1312" s="0" t="s">
        <v>4609</v>
      </c>
      <c r="N1312" s="0" t="s">
        <v>4610</v>
      </c>
      <c r="O1312" s="0" t="s">
        <v>4611</v>
      </c>
      <c r="P1312" s="0" t="n">
        <v>1872</v>
      </c>
      <c r="Q1312" s="0" t="s">
        <v>39</v>
      </c>
      <c r="R1312" s="0" t="s">
        <v>4612</v>
      </c>
      <c r="S1312" s="0" t="s">
        <v>4613</v>
      </c>
      <c r="T1312" s="0" t="s">
        <v>4622</v>
      </c>
      <c r="V1312" s="0" t="n">
        <v>1</v>
      </c>
      <c r="W1312" s="0" t="n">
        <v>1</v>
      </c>
      <c r="X1312" s="0" t="str">
        <f aca="false">"31811011629014"</f>
        <v>31811011629014</v>
      </c>
      <c r="Y1312" s="0" t="s">
        <v>39</v>
      </c>
      <c r="Z1312" s="0" t="s">
        <v>42</v>
      </c>
      <c r="AA1312" s="0" t="s">
        <v>43</v>
      </c>
      <c r="AE1312" s="1" t="s">
        <v>52</v>
      </c>
    </row>
    <row r="1313" customFormat="false" ht="12.8" hidden="false" customHeight="false" outlineLevel="0" collapsed="false">
      <c r="A1313" s="0" t="n">
        <v>163441</v>
      </c>
      <c r="B1313" s="0" t="n">
        <v>177923</v>
      </c>
      <c r="C1313" s="0" t="n">
        <v>199560</v>
      </c>
      <c r="D1313" s="0" t="s">
        <v>35</v>
      </c>
      <c r="E1313" s="0" t="s">
        <v>35</v>
      </c>
      <c r="F1313" s="0" t="s">
        <v>480</v>
      </c>
      <c r="G1313" s="0" t="s">
        <v>37</v>
      </c>
      <c r="H1313" s="0" t="s">
        <v>4607</v>
      </c>
      <c r="I1313" s="0" t="s">
        <v>4608</v>
      </c>
      <c r="J1313" s="0" t="s">
        <v>4607</v>
      </c>
      <c r="M1313" s="0" t="s">
        <v>4609</v>
      </c>
      <c r="N1313" s="0" t="s">
        <v>4610</v>
      </c>
      <c r="O1313" s="0" t="s">
        <v>4611</v>
      </c>
      <c r="P1313" s="0" t="n">
        <v>1872</v>
      </c>
      <c r="Q1313" s="0" t="s">
        <v>39</v>
      </c>
      <c r="R1313" s="0" t="s">
        <v>4612</v>
      </c>
      <c r="S1313" s="0" t="s">
        <v>4613</v>
      </c>
      <c r="T1313" s="0" t="s">
        <v>4623</v>
      </c>
      <c r="V1313" s="0" t="n">
        <v>1</v>
      </c>
      <c r="W1313" s="0" t="n">
        <v>1</v>
      </c>
      <c r="X1313" s="0" t="str">
        <f aca="false">"31811011629063"</f>
        <v>31811011629063</v>
      </c>
      <c r="Y1313" s="0" t="s">
        <v>39</v>
      </c>
      <c r="Z1313" s="0" t="s">
        <v>42</v>
      </c>
      <c r="AA1313" s="0" t="s">
        <v>43</v>
      </c>
      <c r="AE1313" s="1" t="s">
        <v>52</v>
      </c>
    </row>
    <row r="1314" customFormat="false" ht="12.8" hidden="false" customHeight="false" outlineLevel="0" collapsed="false">
      <c r="A1314" s="0" t="n">
        <v>163441</v>
      </c>
      <c r="B1314" s="0" t="n">
        <v>177923</v>
      </c>
      <c r="C1314" s="0" t="n">
        <v>199561</v>
      </c>
      <c r="D1314" s="0" t="s">
        <v>35</v>
      </c>
      <c r="E1314" s="0" t="s">
        <v>35</v>
      </c>
      <c r="F1314" s="0" t="s">
        <v>480</v>
      </c>
      <c r="G1314" s="0" t="s">
        <v>37</v>
      </c>
      <c r="H1314" s="0" t="s">
        <v>4607</v>
      </c>
      <c r="I1314" s="0" t="s">
        <v>4608</v>
      </c>
      <c r="J1314" s="0" t="s">
        <v>4607</v>
      </c>
      <c r="M1314" s="0" t="s">
        <v>4609</v>
      </c>
      <c r="N1314" s="0" t="s">
        <v>4610</v>
      </c>
      <c r="O1314" s="0" t="s">
        <v>4611</v>
      </c>
      <c r="P1314" s="0" t="n">
        <v>1872</v>
      </c>
      <c r="Q1314" s="0" t="s">
        <v>39</v>
      </c>
      <c r="R1314" s="0" t="s">
        <v>4612</v>
      </c>
      <c r="S1314" s="0" t="s">
        <v>4613</v>
      </c>
      <c r="T1314" s="0" t="s">
        <v>4624</v>
      </c>
      <c r="V1314" s="0" t="n">
        <v>1</v>
      </c>
      <c r="W1314" s="0" t="n">
        <v>1</v>
      </c>
      <c r="X1314" s="0" t="str">
        <f aca="false">"31811011629055"</f>
        <v>31811011629055</v>
      </c>
      <c r="Y1314" s="0" t="s">
        <v>39</v>
      </c>
      <c r="Z1314" s="0" t="s">
        <v>42</v>
      </c>
      <c r="AA1314" s="0" t="s">
        <v>43</v>
      </c>
      <c r="AE1314" s="1" t="s">
        <v>52</v>
      </c>
    </row>
    <row r="1315" customFormat="false" ht="12.8" hidden="false" customHeight="false" outlineLevel="0" collapsed="false">
      <c r="A1315" s="0" t="n">
        <v>163441</v>
      </c>
      <c r="B1315" s="0" t="n">
        <v>177923</v>
      </c>
      <c r="C1315" s="0" t="n">
        <v>199562</v>
      </c>
      <c r="D1315" s="0" t="s">
        <v>35</v>
      </c>
      <c r="E1315" s="0" t="s">
        <v>35</v>
      </c>
      <c r="F1315" s="0" t="s">
        <v>480</v>
      </c>
      <c r="G1315" s="0" t="s">
        <v>37</v>
      </c>
      <c r="H1315" s="0" t="s">
        <v>4607</v>
      </c>
      <c r="I1315" s="0" t="s">
        <v>4608</v>
      </c>
      <c r="J1315" s="0" t="s">
        <v>4607</v>
      </c>
      <c r="M1315" s="0" t="s">
        <v>4609</v>
      </c>
      <c r="N1315" s="0" t="s">
        <v>4610</v>
      </c>
      <c r="O1315" s="0" t="s">
        <v>4611</v>
      </c>
      <c r="P1315" s="0" t="n">
        <v>1872</v>
      </c>
      <c r="Q1315" s="0" t="s">
        <v>39</v>
      </c>
      <c r="R1315" s="0" t="s">
        <v>4612</v>
      </c>
      <c r="S1315" s="0" t="s">
        <v>4613</v>
      </c>
      <c r="T1315" s="0" t="s">
        <v>4625</v>
      </c>
      <c r="V1315" s="0" t="n">
        <v>1</v>
      </c>
      <c r="W1315" s="0" t="n">
        <v>1</v>
      </c>
      <c r="X1315" s="0" t="str">
        <f aca="false">"31811011629097"</f>
        <v>31811011629097</v>
      </c>
      <c r="Y1315" s="0" t="s">
        <v>39</v>
      </c>
      <c r="Z1315" s="0" t="s">
        <v>42</v>
      </c>
      <c r="AA1315" s="0" t="s">
        <v>43</v>
      </c>
      <c r="AE1315" s="1" t="s">
        <v>52</v>
      </c>
    </row>
    <row r="1316" customFormat="false" ht="12.8" hidden="false" customHeight="false" outlineLevel="0" collapsed="false">
      <c r="A1316" s="0" t="n">
        <v>163441</v>
      </c>
      <c r="B1316" s="0" t="n">
        <v>177923</v>
      </c>
      <c r="C1316" s="0" t="n">
        <v>199563</v>
      </c>
      <c r="D1316" s="0" t="s">
        <v>35</v>
      </c>
      <c r="E1316" s="0" t="s">
        <v>35</v>
      </c>
      <c r="F1316" s="0" t="s">
        <v>480</v>
      </c>
      <c r="G1316" s="0" t="s">
        <v>37</v>
      </c>
      <c r="H1316" s="0" t="s">
        <v>4607</v>
      </c>
      <c r="I1316" s="0" t="s">
        <v>4608</v>
      </c>
      <c r="J1316" s="0" t="s">
        <v>4607</v>
      </c>
      <c r="M1316" s="0" t="s">
        <v>4609</v>
      </c>
      <c r="N1316" s="0" t="s">
        <v>4610</v>
      </c>
      <c r="O1316" s="0" t="s">
        <v>4611</v>
      </c>
      <c r="P1316" s="0" t="n">
        <v>1872</v>
      </c>
      <c r="Q1316" s="0" t="s">
        <v>39</v>
      </c>
      <c r="R1316" s="0" t="s">
        <v>4612</v>
      </c>
      <c r="S1316" s="0" t="s">
        <v>4613</v>
      </c>
      <c r="T1316" s="0" t="s">
        <v>4626</v>
      </c>
      <c r="V1316" s="0" t="n">
        <v>1</v>
      </c>
      <c r="W1316" s="0" t="n">
        <v>1</v>
      </c>
      <c r="X1316" s="0" t="str">
        <f aca="false">"31811011629139"</f>
        <v>31811011629139</v>
      </c>
      <c r="Y1316" s="0" t="s">
        <v>39</v>
      </c>
      <c r="Z1316" s="0" t="s">
        <v>42</v>
      </c>
      <c r="AA1316" s="0" t="s">
        <v>43</v>
      </c>
      <c r="AE1316" s="1" t="s">
        <v>52</v>
      </c>
    </row>
    <row r="1317" customFormat="false" ht="12.8" hidden="false" customHeight="false" outlineLevel="0" collapsed="false">
      <c r="A1317" s="0" t="n">
        <v>163441</v>
      </c>
      <c r="B1317" s="0" t="n">
        <v>177923</v>
      </c>
      <c r="C1317" s="0" t="n">
        <v>199564</v>
      </c>
      <c r="D1317" s="0" t="s">
        <v>35</v>
      </c>
      <c r="E1317" s="0" t="s">
        <v>35</v>
      </c>
      <c r="F1317" s="0" t="s">
        <v>480</v>
      </c>
      <c r="G1317" s="0" t="s">
        <v>37</v>
      </c>
      <c r="H1317" s="0" t="s">
        <v>4607</v>
      </c>
      <c r="I1317" s="0" t="s">
        <v>4608</v>
      </c>
      <c r="J1317" s="0" t="s">
        <v>4607</v>
      </c>
      <c r="M1317" s="0" t="s">
        <v>4609</v>
      </c>
      <c r="N1317" s="0" t="s">
        <v>4610</v>
      </c>
      <c r="O1317" s="0" t="s">
        <v>4611</v>
      </c>
      <c r="P1317" s="0" t="n">
        <v>1872</v>
      </c>
      <c r="Q1317" s="0" t="s">
        <v>39</v>
      </c>
      <c r="R1317" s="0" t="s">
        <v>4612</v>
      </c>
      <c r="S1317" s="0" t="s">
        <v>4613</v>
      </c>
      <c r="T1317" s="0" t="s">
        <v>4627</v>
      </c>
      <c r="V1317" s="0" t="n">
        <v>1</v>
      </c>
      <c r="W1317" s="0" t="n">
        <v>1</v>
      </c>
      <c r="X1317" s="0" t="str">
        <f aca="false">"31811011629105"</f>
        <v>31811011629105</v>
      </c>
      <c r="Y1317" s="0" t="s">
        <v>39</v>
      </c>
      <c r="Z1317" s="0" t="s">
        <v>42</v>
      </c>
      <c r="AA1317" s="0" t="s">
        <v>43</v>
      </c>
      <c r="AE1317" s="1" t="s">
        <v>52</v>
      </c>
    </row>
    <row r="1318" customFormat="false" ht="12.8" hidden="false" customHeight="false" outlineLevel="0" collapsed="false">
      <c r="A1318" s="0" t="n">
        <v>163441</v>
      </c>
      <c r="B1318" s="0" t="n">
        <v>177923</v>
      </c>
      <c r="C1318" s="0" t="n">
        <v>199565</v>
      </c>
      <c r="D1318" s="0" t="s">
        <v>35</v>
      </c>
      <c r="E1318" s="0" t="s">
        <v>35</v>
      </c>
      <c r="F1318" s="0" t="s">
        <v>480</v>
      </c>
      <c r="G1318" s="0" t="s">
        <v>37</v>
      </c>
      <c r="H1318" s="0" t="s">
        <v>4607</v>
      </c>
      <c r="I1318" s="0" t="s">
        <v>4608</v>
      </c>
      <c r="J1318" s="0" t="s">
        <v>4607</v>
      </c>
      <c r="M1318" s="0" t="s">
        <v>4609</v>
      </c>
      <c r="N1318" s="0" t="s">
        <v>4610</v>
      </c>
      <c r="O1318" s="0" t="s">
        <v>4611</v>
      </c>
      <c r="P1318" s="0" t="n">
        <v>1872</v>
      </c>
      <c r="Q1318" s="0" t="s">
        <v>39</v>
      </c>
      <c r="R1318" s="0" t="s">
        <v>4612</v>
      </c>
      <c r="S1318" s="0" t="s">
        <v>4613</v>
      </c>
      <c r="T1318" s="0" t="s">
        <v>4628</v>
      </c>
      <c r="V1318" s="0" t="n">
        <v>1</v>
      </c>
      <c r="W1318" s="0" t="n">
        <v>1</v>
      </c>
      <c r="X1318" s="0" t="str">
        <f aca="false">"31811011629147"</f>
        <v>31811011629147</v>
      </c>
      <c r="Y1318" s="0" t="s">
        <v>39</v>
      </c>
      <c r="Z1318" s="0" t="s">
        <v>42</v>
      </c>
      <c r="AA1318" s="0" t="s">
        <v>43</v>
      </c>
      <c r="AE1318" s="1" t="s">
        <v>52</v>
      </c>
    </row>
    <row r="1319" customFormat="false" ht="12.8" hidden="false" customHeight="false" outlineLevel="0" collapsed="false">
      <c r="A1319" s="0" t="n">
        <v>163441</v>
      </c>
      <c r="B1319" s="0" t="n">
        <v>177923</v>
      </c>
      <c r="C1319" s="0" t="n">
        <v>199566</v>
      </c>
      <c r="D1319" s="0" t="s">
        <v>35</v>
      </c>
      <c r="E1319" s="0" t="s">
        <v>35</v>
      </c>
      <c r="F1319" s="0" t="s">
        <v>480</v>
      </c>
      <c r="G1319" s="0" t="s">
        <v>37</v>
      </c>
      <c r="H1319" s="0" t="s">
        <v>4607</v>
      </c>
      <c r="I1319" s="0" t="s">
        <v>4608</v>
      </c>
      <c r="J1319" s="0" t="s">
        <v>4607</v>
      </c>
      <c r="M1319" s="0" t="s">
        <v>4609</v>
      </c>
      <c r="N1319" s="0" t="s">
        <v>4610</v>
      </c>
      <c r="O1319" s="0" t="s">
        <v>4611</v>
      </c>
      <c r="P1319" s="0" t="n">
        <v>1872</v>
      </c>
      <c r="Q1319" s="0" t="s">
        <v>39</v>
      </c>
      <c r="R1319" s="0" t="s">
        <v>4612</v>
      </c>
      <c r="S1319" s="0" t="s">
        <v>4613</v>
      </c>
      <c r="T1319" s="0" t="s">
        <v>4629</v>
      </c>
      <c r="V1319" s="0" t="n">
        <v>1</v>
      </c>
      <c r="W1319" s="0" t="n">
        <v>1</v>
      </c>
      <c r="X1319" s="0" t="str">
        <f aca="false">"31811011628990"</f>
        <v>31811011628990</v>
      </c>
      <c r="Y1319" s="0" t="s">
        <v>39</v>
      </c>
      <c r="Z1319" s="0" t="s">
        <v>42</v>
      </c>
      <c r="AA1319" s="0" t="s">
        <v>43</v>
      </c>
      <c r="AE1319" s="1" t="s">
        <v>52</v>
      </c>
    </row>
    <row r="1320" customFormat="false" ht="12.8" hidden="false" customHeight="false" outlineLevel="0" collapsed="false">
      <c r="A1320" s="0" t="n">
        <v>163441</v>
      </c>
      <c r="B1320" s="0" t="n">
        <v>177923</v>
      </c>
      <c r="C1320" s="0" t="n">
        <v>199567</v>
      </c>
      <c r="D1320" s="0" t="s">
        <v>35</v>
      </c>
      <c r="E1320" s="0" t="s">
        <v>35</v>
      </c>
      <c r="F1320" s="0" t="s">
        <v>480</v>
      </c>
      <c r="G1320" s="0" t="s">
        <v>37</v>
      </c>
      <c r="H1320" s="0" t="s">
        <v>4607</v>
      </c>
      <c r="I1320" s="0" t="s">
        <v>4608</v>
      </c>
      <c r="J1320" s="0" t="s">
        <v>4607</v>
      </c>
      <c r="M1320" s="0" t="s">
        <v>4609</v>
      </c>
      <c r="N1320" s="0" t="s">
        <v>4610</v>
      </c>
      <c r="O1320" s="0" t="s">
        <v>4611</v>
      </c>
      <c r="P1320" s="0" t="n">
        <v>1872</v>
      </c>
      <c r="Q1320" s="0" t="s">
        <v>39</v>
      </c>
      <c r="R1320" s="0" t="s">
        <v>4612</v>
      </c>
      <c r="S1320" s="0" t="s">
        <v>4613</v>
      </c>
      <c r="T1320" s="0" t="s">
        <v>4630</v>
      </c>
      <c r="V1320" s="0" t="n">
        <v>1</v>
      </c>
      <c r="W1320" s="0" t="n">
        <v>1</v>
      </c>
      <c r="X1320" s="0" t="str">
        <f aca="false">"31811011629030"</f>
        <v>31811011629030</v>
      </c>
      <c r="Y1320" s="0" t="s">
        <v>39</v>
      </c>
      <c r="Z1320" s="0" t="s">
        <v>42</v>
      </c>
      <c r="AA1320" s="0" t="s">
        <v>43</v>
      </c>
      <c r="AE1320" s="1" t="s">
        <v>52</v>
      </c>
    </row>
    <row r="1321" customFormat="false" ht="12.8" hidden="false" customHeight="false" outlineLevel="0" collapsed="false">
      <c r="A1321" s="0" t="n">
        <v>163441</v>
      </c>
      <c r="B1321" s="0" t="n">
        <v>177923</v>
      </c>
      <c r="C1321" s="0" t="n">
        <v>199568</v>
      </c>
      <c r="D1321" s="0" t="s">
        <v>35</v>
      </c>
      <c r="E1321" s="0" t="s">
        <v>35</v>
      </c>
      <c r="F1321" s="0" t="s">
        <v>480</v>
      </c>
      <c r="G1321" s="0" t="s">
        <v>37</v>
      </c>
      <c r="H1321" s="0" t="s">
        <v>4607</v>
      </c>
      <c r="I1321" s="0" t="s">
        <v>4608</v>
      </c>
      <c r="J1321" s="0" t="s">
        <v>4607</v>
      </c>
      <c r="M1321" s="0" t="s">
        <v>4609</v>
      </c>
      <c r="N1321" s="0" t="s">
        <v>4610</v>
      </c>
      <c r="O1321" s="0" t="s">
        <v>4611</v>
      </c>
      <c r="P1321" s="0" t="n">
        <v>1872</v>
      </c>
      <c r="Q1321" s="0" t="s">
        <v>39</v>
      </c>
      <c r="R1321" s="0" t="s">
        <v>4612</v>
      </c>
      <c r="S1321" s="0" t="s">
        <v>4613</v>
      </c>
      <c r="T1321" s="0" t="s">
        <v>4631</v>
      </c>
      <c r="V1321" s="0" t="n">
        <v>1</v>
      </c>
      <c r="W1321" s="0" t="n">
        <v>1</v>
      </c>
      <c r="X1321" s="0" t="str">
        <f aca="false">"31811011629071"</f>
        <v>31811011629071</v>
      </c>
      <c r="Y1321" s="0" t="s">
        <v>39</v>
      </c>
      <c r="Z1321" s="0" t="s">
        <v>42</v>
      </c>
      <c r="AA1321" s="0" t="s">
        <v>43</v>
      </c>
      <c r="AE1321" s="1" t="s">
        <v>52</v>
      </c>
    </row>
    <row r="1322" customFormat="false" ht="12.8" hidden="false" customHeight="false" outlineLevel="0" collapsed="false">
      <c r="A1322" s="0" t="n">
        <v>163441</v>
      </c>
      <c r="B1322" s="0" t="n">
        <v>177923</v>
      </c>
      <c r="C1322" s="0" t="n">
        <v>199569</v>
      </c>
      <c r="D1322" s="0" t="s">
        <v>35</v>
      </c>
      <c r="E1322" s="0" t="s">
        <v>35</v>
      </c>
      <c r="F1322" s="0" t="s">
        <v>480</v>
      </c>
      <c r="G1322" s="0" t="s">
        <v>37</v>
      </c>
      <c r="H1322" s="0" t="s">
        <v>4607</v>
      </c>
      <c r="I1322" s="0" t="s">
        <v>4608</v>
      </c>
      <c r="J1322" s="0" t="s">
        <v>4607</v>
      </c>
      <c r="M1322" s="0" t="s">
        <v>4609</v>
      </c>
      <c r="N1322" s="0" t="s">
        <v>4610</v>
      </c>
      <c r="O1322" s="0" t="s">
        <v>4611</v>
      </c>
      <c r="P1322" s="0" t="n">
        <v>1872</v>
      </c>
      <c r="Q1322" s="0" t="s">
        <v>39</v>
      </c>
      <c r="R1322" s="0" t="s">
        <v>4612</v>
      </c>
      <c r="S1322" s="0" t="s">
        <v>4613</v>
      </c>
      <c r="T1322" s="0" t="s">
        <v>4632</v>
      </c>
      <c r="V1322" s="0" t="n">
        <v>1</v>
      </c>
      <c r="W1322" s="0" t="n">
        <v>1</v>
      </c>
      <c r="X1322" s="0" t="str">
        <f aca="false">"31811011628958"</f>
        <v>31811011628958</v>
      </c>
      <c r="Y1322" s="0" t="s">
        <v>39</v>
      </c>
      <c r="Z1322" s="0" t="s">
        <v>42</v>
      </c>
      <c r="AA1322" s="0" t="s">
        <v>43</v>
      </c>
      <c r="AE1322" s="1" t="s">
        <v>52</v>
      </c>
    </row>
    <row r="1323" customFormat="false" ht="12.8" hidden="false" customHeight="false" outlineLevel="0" collapsed="false">
      <c r="A1323" s="0" t="n">
        <v>163441</v>
      </c>
      <c r="B1323" s="0" t="n">
        <v>177923</v>
      </c>
      <c r="C1323" s="0" t="n">
        <v>199570</v>
      </c>
      <c r="D1323" s="0" t="s">
        <v>35</v>
      </c>
      <c r="E1323" s="0" t="s">
        <v>35</v>
      </c>
      <c r="F1323" s="0" t="s">
        <v>480</v>
      </c>
      <c r="G1323" s="0" t="s">
        <v>37</v>
      </c>
      <c r="H1323" s="0" t="s">
        <v>4607</v>
      </c>
      <c r="I1323" s="0" t="s">
        <v>4608</v>
      </c>
      <c r="J1323" s="0" t="s">
        <v>4607</v>
      </c>
      <c r="M1323" s="0" t="s">
        <v>4609</v>
      </c>
      <c r="N1323" s="0" t="s">
        <v>4610</v>
      </c>
      <c r="O1323" s="0" t="s">
        <v>4611</v>
      </c>
      <c r="P1323" s="0" t="n">
        <v>1872</v>
      </c>
      <c r="Q1323" s="0" t="s">
        <v>39</v>
      </c>
      <c r="R1323" s="0" t="s">
        <v>4612</v>
      </c>
      <c r="S1323" s="0" t="s">
        <v>4613</v>
      </c>
      <c r="T1323" s="0" t="s">
        <v>4633</v>
      </c>
      <c r="V1323" s="0" t="n">
        <v>1</v>
      </c>
      <c r="W1323" s="0" t="n">
        <v>1</v>
      </c>
      <c r="X1323" s="0" t="str">
        <f aca="false">"31811011630145"</f>
        <v>31811011630145</v>
      </c>
      <c r="Y1323" s="0" t="s">
        <v>39</v>
      </c>
      <c r="Z1323" s="0" t="s">
        <v>42</v>
      </c>
      <c r="AA1323" s="0" t="s">
        <v>43</v>
      </c>
      <c r="AE1323" s="1" t="s">
        <v>52</v>
      </c>
    </row>
    <row r="1324" customFormat="false" ht="12.8" hidden="false" customHeight="false" outlineLevel="0" collapsed="false">
      <c r="A1324" s="0" t="n">
        <v>163441</v>
      </c>
      <c r="B1324" s="0" t="n">
        <v>177923</v>
      </c>
      <c r="C1324" s="0" t="n">
        <v>199571</v>
      </c>
      <c r="D1324" s="0" t="s">
        <v>35</v>
      </c>
      <c r="E1324" s="0" t="s">
        <v>35</v>
      </c>
      <c r="F1324" s="0" t="s">
        <v>480</v>
      </c>
      <c r="G1324" s="0" t="s">
        <v>37</v>
      </c>
      <c r="H1324" s="0" t="s">
        <v>4607</v>
      </c>
      <c r="I1324" s="0" t="s">
        <v>4608</v>
      </c>
      <c r="J1324" s="0" t="s">
        <v>4607</v>
      </c>
      <c r="M1324" s="0" t="s">
        <v>4609</v>
      </c>
      <c r="N1324" s="0" t="s">
        <v>4610</v>
      </c>
      <c r="O1324" s="0" t="s">
        <v>4611</v>
      </c>
      <c r="P1324" s="0" t="n">
        <v>1872</v>
      </c>
      <c r="Q1324" s="0" t="s">
        <v>39</v>
      </c>
      <c r="R1324" s="0" t="s">
        <v>4612</v>
      </c>
      <c r="S1324" s="0" t="s">
        <v>4613</v>
      </c>
      <c r="T1324" s="0" t="s">
        <v>4634</v>
      </c>
      <c r="V1324" s="0" t="n">
        <v>1</v>
      </c>
      <c r="W1324" s="0" t="n">
        <v>1</v>
      </c>
      <c r="X1324" s="0" t="str">
        <f aca="false">"31811011630152"</f>
        <v>31811011630152</v>
      </c>
      <c r="Y1324" s="0" t="s">
        <v>39</v>
      </c>
      <c r="Z1324" s="0" t="s">
        <v>42</v>
      </c>
      <c r="AA1324" s="0" t="s">
        <v>43</v>
      </c>
      <c r="AE1324" s="1" t="s">
        <v>52</v>
      </c>
    </row>
    <row r="1325" customFormat="false" ht="12.8" hidden="false" customHeight="false" outlineLevel="0" collapsed="false">
      <c r="A1325" s="0" t="n">
        <v>163441</v>
      </c>
      <c r="B1325" s="0" t="n">
        <v>177923</v>
      </c>
      <c r="C1325" s="0" t="n">
        <v>199572</v>
      </c>
      <c r="D1325" s="0" t="s">
        <v>35</v>
      </c>
      <c r="E1325" s="0" t="s">
        <v>35</v>
      </c>
      <c r="F1325" s="0" t="s">
        <v>480</v>
      </c>
      <c r="G1325" s="0" t="s">
        <v>37</v>
      </c>
      <c r="H1325" s="0" t="s">
        <v>4607</v>
      </c>
      <c r="I1325" s="0" t="s">
        <v>4608</v>
      </c>
      <c r="J1325" s="0" t="s">
        <v>4607</v>
      </c>
      <c r="M1325" s="0" t="s">
        <v>4609</v>
      </c>
      <c r="N1325" s="0" t="s">
        <v>4610</v>
      </c>
      <c r="O1325" s="0" t="s">
        <v>4611</v>
      </c>
      <c r="P1325" s="0" t="n">
        <v>1872</v>
      </c>
      <c r="Q1325" s="0" t="s">
        <v>39</v>
      </c>
      <c r="R1325" s="0" t="s">
        <v>4612</v>
      </c>
      <c r="S1325" s="0" t="s">
        <v>4613</v>
      </c>
      <c r="T1325" s="0" t="s">
        <v>4635</v>
      </c>
      <c r="V1325" s="0" t="n">
        <v>1</v>
      </c>
      <c r="W1325" s="0" t="n">
        <v>1</v>
      </c>
      <c r="X1325" s="0" t="str">
        <f aca="false">"31811011630160"</f>
        <v>31811011630160</v>
      </c>
      <c r="Y1325" s="0" t="s">
        <v>39</v>
      </c>
      <c r="Z1325" s="0" t="s">
        <v>42</v>
      </c>
      <c r="AA1325" s="0" t="s">
        <v>43</v>
      </c>
      <c r="AE1325" s="1" t="s">
        <v>52</v>
      </c>
    </row>
    <row r="1326" customFormat="false" ht="12.8" hidden="false" customHeight="false" outlineLevel="0" collapsed="false">
      <c r="A1326" s="0" t="n">
        <v>163441</v>
      </c>
      <c r="B1326" s="0" t="n">
        <v>177923</v>
      </c>
      <c r="C1326" s="0" t="n">
        <v>199573</v>
      </c>
      <c r="D1326" s="0" t="s">
        <v>35</v>
      </c>
      <c r="E1326" s="0" t="s">
        <v>35</v>
      </c>
      <c r="F1326" s="0" t="s">
        <v>480</v>
      </c>
      <c r="G1326" s="0" t="s">
        <v>37</v>
      </c>
      <c r="H1326" s="0" t="s">
        <v>4607</v>
      </c>
      <c r="I1326" s="0" t="s">
        <v>4608</v>
      </c>
      <c r="J1326" s="0" t="s">
        <v>4607</v>
      </c>
      <c r="M1326" s="0" t="s">
        <v>4609</v>
      </c>
      <c r="N1326" s="0" t="s">
        <v>4610</v>
      </c>
      <c r="O1326" s="0" t="s">
        <v>4611</v>
      </c>
      <c r="P1326" s="0" t="n">
        <v>1872</v>
      </c>
      <c r="Q1326" s="0" t="s">
        <v>39</v>
      </c>
      <c r="R1326" s="0" t="s">
        <v>4612</v>
      </c>
      <c r="S1326" s="0" t="s">
        <v>4613</v>
      </c>
      <c r="T1326" s="0" t="s">
        <v>4636</v>
      </c>
      <c r="V1326" s="0" t="n">
        <v>1</v>
      </c>
      <c r="W1326" s="0" t="n">
        <v>1</v>
      </c>
      <c r="X1326" s="0" t="str">
        <f aca="false">"31811010947235"</f>
        <v>31811010947235</v>
      </c>
      <c r="Y1326" s="0" t="s">
        <v>39</v>
      </c>
      <c r="Z1326" s="0" t="s">
        <v>42</v>
      </c>
      <c r="AA1326" s="0" t="s">
        <v>43</v>
      </c>
      <c r="AE1326" s="1" t="s">
        <v>52</v>
      </c>
    </row>
    <row r="1327" customFormat="false" ht="12.8" hidden="false" customHeight="false" outlineLevel="0" collapsed="false">
      <c r="A1327" s="0" t="n">
        <v>235488</v>
      </c>
      <c r="B1327" s="0" t="n">
        <v>258109</v>
      </c>
      <c r="C1327" s="0" t="n">
        <v>290474</v>
      </c>
      <c r="D1327" s="0" t="s">
        <v>35</v>
      </c>
      <c r="E1327" s="0" t="s">
        <v>35</v>
      </c>
      <c r="F1327" s="0" t="s">
        <v>36</v>
      </c>
      <c r="G1327" s="0" t="s">
        <v>37</v>
      </c>
      <c r="H1327" s="0" t="s">
        <v>4637</v>
      </c>
      <c r="I1327" s="0" t="s">
        <v>4638</v>
      </c>
      <c r="J1327" s="0" t="s">
        <v>4639</v>
      </c>
      <c r="M1327" s="0" t="s">
        <v>4640</v>
      </c>
      <c r="N1327" s="0" t="n">
        <v>1966</v>
      </c>
      <c r="O1327" s="0" t="s">
        <v>4641</v>
      </c>
      <c r="P1327" s="0" t="n">
        <v>1966</v>
      </c>
      <c r="Q1327" s="0" t="s">
        <v>39</v>
      </c>
      <c r="R1327" s="0" t="s">
        <v>4642</v>
      </c>
      <c r="S1327" s="0" t="s">
        <v>4643</v>
      </c>
      <c r="V1327" s="0" t="n">
        <v>1</v>
      </c>
      <c r="W1327" s="0" t="n">
        <v>1</v>
      </c>
      <c r="X1327" s="0" t="str">
        <f aca="false">"31811010386251"</f>
        <v>31811010386251</v>
      </c>
      <c r="Y1327" s="0" t="s">
        <v>39</v>
      </c>
      <c r="Z1327" s="0" t="s">
        <v>42</v>
      </c>
      <c r="AA1327" s="0" t="s">
        <v>43</v>
      </c>
      <c r="AE1327" s="1" t="s">
        <v>52</v>
      </c>
    </row>
    <row r="1328" customFormat="false" ht="12.8" hidden="false" customHeight="false" outlineLevel="0" collapsed="false">
      <c r="A1328" s="0" t="n">
        <v>347171</v>
      </c>
      <c r="B1328" s="0" t="n">
        <v>376279</v>
      </c>
      <c r="C1328" s="0" t="n">
        <v>418746</v>
      </c>
      <c r="D1328" s="0" t="s">
        <v>35</v>
      </c>
      <c r="E1328" s="0" t="s">
        <v>35</v>
      </c>
      <c r="F1328" s="0" t="s">
        <v>36</v>
      </c>
      <c r="G1328" s="0" t="s">
        <v>37</v>
      </c>
      <c r="H1328" s="0" t="s">
        <v>4644</v>
      </c>
      <c r="I1328" s="0" t="s">
        <v>4645</v>
      </c>
      <c r="J1328" s="0" t="s">
        <v>4646</v>
      </c>
      <c r="M1328" s="0" t="s">
        <v>4647</v>
      </c>
      <c r="N1328" s="0" t="n">
        <v>1975</v>
      </c>
      <c r="O1328" s="0" t="s">
        <v>4648</v>
      </c>
      <c r="P1328" s="0" t="n">
        <v>1975</v>
      </c>
      <c r="Q1328" s="0" t="s">
        <v>39</v>
      </c>
      <c r="R1328" s="0" t="s">
        <v>4649</v>
      </c>
      <c r="S1328" s="0" t="s">
        <v>4650</v>
      </c>
      <c r="V1328" s="0" t="n">
        <v>1</v>
      </c>
      <c r="W1328" s="0" t="n">
        <v>1</v>
      </c>
      <c r="X1328" s="0" t="str">
        <f aca="false">"31811003180182"</f>
        <v>31811003180182</v>
      </c>
      <c r="Y1328" s="0" t="s">
        <v>39</v>
      </c>
      <c r="Z1328" s="0" t="s">
        <v>42</v>
      </c>
      <c r="AA1328" s="0" t="s">
        <v>43</v>
      </c>
      <c r="AE1328" s="1" t="s">
        <v>52</v>
      </c>
    </row>
    <row r="1329" customFormat="false" ht="12.8" hidden="false" customHeight="false" outlineLevel="0" collapsed="false">
      <c r="A1329" s="0" t="n">
        <v>339036</v>
      </c>
      <c r="B1329" s="0" t="n">
        <v>367873</v>
      </c>
      <c r="C1329" s="0" t="n">
        <v>409835</v>
      </c>
      <c r="D1329" s="0" t="s">
        <v>35</v>
      </c>
      <c r="E1329" s="0" t="s">
        <v>35</v>
      </c>
      <c r="F1329" s="0" t="s">
        <v>36</v>
      </c>
      <c r="G1329" s="0" t="s">
        <v>37</v>
      </c>
      <c r="H1329" s="0" t="s">
        <v>4651</v>
      </c>
      <c r="I1329" s="0" t="s">
        <v>4652</v>
      </c>
      <c r="J1329" s="0" t="s">
        <v>4651</v>
      </c>
      <c r="M1329" s="0" t="s">
        <v>4653</v>
      </c>
      <c r="N1329" s="0" t="n">
        <v>1922</v>
      </c>
      <c r="O1329" s="0" t="s">
        <v>4654</v>
      </c>
      <c r="P1329" s="0" t="n">
        <v>1922</v>
      </c>
      <c r="Q1329" s="0" t="s">
        <v>39</v>
      </c>
      <c r="R1329" s="0" t="s">
        <v>4655</v>
      </c>
      <c r="S1329" s="0" t="s">
        <v>4656</v>
      </c>
      <c r="V1329" s="0" t="n">
        <v>1</v>
      </c>
      <c r="W1329" s="0" t="n">
        <v>1</v>
      </c>
      <c r="X1329" s="0" t="str">
        <f aca="false">"31811010370388"</f>
        <v>31811010370388</v>
      </c>
      <c r="Y1329" s="0" t="s">
        <v>39</v>
      </c>
      <c r="Z1329" s="0" t="s">
        <v>42</v>
      </c>
      <c r="AA1329" s="0" t="s">
        <v>43</v>
      </c>
      <c r="AE1329" s="1" t="s">
        <v>52</v>
      </c>
    </row>
    <row r="1330" customFormat="false" ht="12.8" hidden="false" customHeight="false" outlineLevel="0" collapsed="false">
      <c r="A1330" s="0" t="n">
        <v>407036</v>
      </c>
      <c r="B1330" s="0" t="n">
        <v>439285</v>
      </c>
      <c r="C1330" s="0" t="n">
        <v>489786</v>
      </c>
      <c r="D1330" s="0" t="s">
        <v>35</v>
      </c>
      <c r="E1330" s="0" t="s">
        <v>35</v>
      </c>
      <c r="F1330" s="0" t="s">
        <v>36</v>
      </c>
      <c r="G1330" s="0" t="s">
        <v>412</v>
      </c>
      <c r="H1330" s="0" t="s">
        <v>4657</v>
      </c>
      <c r="I1330" s="0" t="s">
        <v>4652</v>
      </c>
      <c r="J1330" s="0" t="s">
        <v>4657</v>
      </c>
      <c r="M1330" s="0" t="s">
        <v>4658</v>
      </c>
      <c r="N1330" s="0" t="n">
        <v>1968</v>
      </c>
      <c r="P1330" s="0" t="n">
        <v>1968</v>
      </c>
      <c r="Q1330" s="0" t="s">
        <v>39</v>
      </c>
      <c r="R1330" s="0" t="s">
        <v>4659</v>
      </c>
      <c r="S1330" s="0" t="s">
        <v>4660</v>
      </c>
      <c r="V1330" s="0" t="n">
        <v>1</v>
      </c>
      <c r="W1330" s="0" t="n">
        <v>1</v>
      </c>
      <c r="X1330" s="0" t="str">
        <f aca="false">"31811010370396"</f>
        <v>31811010370396</v>
      </c>
      <c r="Y1330" s="0" t="s">
        <v>39</v>
      </c>
      <c r="Z1330" s="0" t="s">
        <v>42</v>
      </c>
      <c r="AA1330" s="0" t="s">
        <v>43</v>
      </c>
      <c r="AE1330" s="1" t="s">
        <v>52</v>
      </c>
    </row>
    <row r="1331" customFormat="false" ht="12.8" hidden="false" customHeight="false" outlineLevel="0" collapsed="false">
      <c r="A1331" s="0" t="n">
        <v>197594</v>
      </c>
      <c r="B1331" s="0" t="n">
        <v>216672</v>
      </c>
      <c r="C1331" s="0" t="n">
        <v>243554</v>
      </c>
      <c r="D1331" s="0" t="s">
        <v>35</v>
      </c>
      <c r="E1331" s="0" t="s">
        <v>35</v>
      </c>
      <c r="F1331" s="0" t="s">
        <v>36</v>
      </c>
      <c r="G1331" s="0" t="s">
        <v>37</v>
      </c>
      <c r="H1331" s="0" t="s">
        <v>4661</v>
      </c>
      <c r="I1331" s="0" t="s">
        <v>4652</v>
      </c>
      <c r="J1331" s="0" t="s">
        <v>4661</v>
      </c>
      <c r="M1331" s="0" t="s">
        <v>4662</v>
      </c>
      <c r="N1331" s="0" t="s">
        <v>4663</v>
      </c>
      <c r="O1331" s="0" t="s">
        <v>211</v>
      </c>
      <c r="P1331" s="0" t="n">
        <v>1968</v>
      </c>
      <c r="Q1331" s="0" t="s">
        <v>39</v>
      </c>
      <c r="R1331" s="0" t="s">
        <v>4664</v>
      </c>
      <c r="S1331" s="0" t="s">
        <v>4665</v>
      </c>
      <c r="V1331" s="0" t="n">
        <v>1</v>
      </c>
      <c r="W1331" s="0" t="n">
        <v>1</v>
      </c>
      <c r="X1331" s="0" t="str">
        <f aca="false">"31811010370362"</f>
        <v>31811010370362</v>
      </c>
      <c r="Y1331" s="0" t="s">
        <v>39</v>
      </c>
      <c r="Z1331" s="0" t="s">
        <v>42</v>
      </c>
      <c r="AA1331" s="0" t="s">
        <v>43</v>
      </c>
      <c r="AE1331" s="1" t="s">
        <v>52</v>
      </c>
    </row>
    <row r="1332" customFormat="false" ht="12.8" hidden="false" customHeight="false" outlineLevel="0" collapsed="false">
      <c r="A1332" s="0" t="n">
        <v>517503</v>
      </c>
      <c r="B1332" s="0" t="n">
        <v>554838</v>
      </c>
      <c r="C1332" s="0" t="n">
        <v>626258</v>
      </c>
      <c r="D1332" s="0" t="s">
        <v>35</v>
      </c>
      <c r="E1332" s="0" t="s">
        <v>35</v>
      </c>
      <c r="F1332" s="0" t="s">
        <v>36</v>
      </c>
      <c r="G1332" s="0" t="s">
        <v>37</v>
      </c>
      <c r="H1332" s="0" t="s">
        <v>4666</v>
      </c>
      <c r="I1332" s="0" t="s">
        <v>4667</v>
      </c>
      <c r="J1332" s="0" t="s">
        <v>4668</v>
      </c>
      <c r="M1332" s="0" t="s">
        <v>4669</v>
      </c>
      <c r="N1332" s="0" t="s">
        <v>3365</v>
      </c>
      <c r="O1332" s="0" t="s">
        <v>3366</v>
      </c>
      <c r="P1332" s="0" t="n">
        <v>1997</v>
      </c>
      <c r="Q1332" s="0" t="s">
        <v>39</v>
      </c>
      <c r="R1332" s="0" t="s">
        <v>4670</v>
      </c>
      <c r="S1332" s="0" t="s">
        <v>4671</v>
      </c>
      <c r="V1332" s="0" t="n">
        <v>1</v>
      </c>
      <c r="W1332" s="0" t="n">
        <v>1</v>
      </c>
      <c r="X1332" s="0" t="str">
        <f aca="false">"31811011260067"</f>
        <v>31811011260067</v>
      </c>
      <c r="Y1332" s="0" t="s">
        <v>39</v>
      </c>
      <c r="Z1332" s="0" t="s">
        <v>42</v>
      </c>
      <c r="AA1332" s="0" t="s">
        <v>43</v>
      </c>
      <c r="AE1332" s="1" t="s">
        <v>52</v>
      </c>
    </row>
    <row r="1333" customFormat="false" ht="12.8" hidden="false" customHeight="false" outlineLevel="0" collapsed="false">
      <c r="A1333" s="0" t="n">
        <v>256271</v>
      </c>
      <c r="B1333" s="0" t="n">
        <v>280773</v>
      </c>
      <c r="C1333" s="0" t="n">
        <v>315368</v>
      </c>
      <c r="D1333" s="0" t="s">
        <v>35</v>
      </c>
      <c r="E1333" s="0" t="s">
        <v>35</v>
      </c>
      <c r="F1333" s="0" t="s">
        <v>36</v>
      </c>
      <c r="G1333" s="0" t="s">
        <v>37</v>
      </c>
      <c r="H1333" s="0" t="s">
        <v>4672</v>
      </c>
      <c r="I1333" s="0" t="s">
        <v>4673</v>
      </c>
      <c r="J1333" s="0" t="s">
        <v>4672</v>
      </c>
      <c r="M1333" s="0" t="s">
        <v>4674</v>
      </c>
      <c r="N1333" s="0" t="s">
        <v>2842</v>
      </c>
      <c r="O1333" s="0" t="s">
        <v>4675</v>
      </c>
      <c r="P1333" s="0" t="n">
        <v>1953</v>
      </c>
      <c r="Q1333" s="0" t="s">
        <v>39</v>
      </c>
      <c r="R1333" s="0" t="s">
        <v>4676</v>
      </c>
      <c r="S1333" s="0" t="s">
        <v>4677</v>
      </c>
      <c r="V1333" s="0" t="n">
        <v>1</v>
      </c>
      <c r="W1333" s="0" t="n">
        <v>1</v>
      </c>
      <c r="X1333" s="0" t="str">
        <f aca="false">"31811010378688"</f>
        <v>31811010378688</v>
      </c>
      <c r="Y1333" s="0" t="s">
        <v>39</v>
      </c>
      <c r="Z1333" s="0" t="s">
        <v>42</v>
      </c>
      <c r="AA1333" s="0" t="s">
        <v>43</v>
      </c>
      <c r="AE1333" s="1" t="s">
        <v>52</v>
      </c>
    </row>
    <row r="1334" customFormat="false" ht="12.8" hidden="false" customHeight="false" outlineLevel="0" collapsed="false">
      <c r="A1334" s="0" t="n">
        <v>195661</v>
      </c>
      <c r="B1334" s="0" t="n">
        <v>214537</v>
      </c>
      <c r="C1334" s="0" t="n">
        <v>241158</v>
      </c>
      <c r="D1334" s="0" t="s">
        <v>35</v>
      </c>
      <c r="E1334" s="0" t="s">
        <v>35</v>
      </c>
      <c r="F1334" s="0" t="s">
        <v>36</v>
      </c>
      <c r="G1334" s="0" t="s">
        <v>37</v>
      </c>
      <c r="H1334" s="0" t="s">
        <v>4678</v>
      </c>
      <c r="J1334" s="0" t="s">
        <v>4678</v>
      </c>
      <c r="M1334" s="0" t="s">
        <v>4679</v>
      </c>
      <c r="N1334" s="0" t="n">
        <v>1958</v>
      </c>
      <c r="O1334" s="0" t="s">
        <v>4680</v>
      </c>
      <c r="P1334" s="0" t="n">
        <v>1958</v>
      </c>
      <c r="Q1334" s="0" t="s">
        <v>39</v>
      </c>
      <c r="R1334" s="0" t="s">
        <v>4681</v>
      </c>
      <c r="S1334" s="0" t="s">
        <v>4682</v>
      </c>
      <c r="V1334" s="0" t="n">
        <v>1</v>
      </c>
      <c r="W1334" s="0" t="n">
        <v>1</v>
      </c>
      <c r="X1334" s="0" t="str">
        <f aca="false">"31811010378647"</f>
        <v>31811010378647</v>
      </c>
      <c r="Y1334" s="0" t="s">
        <v>39</v>
      </c>
      <c r="Z1334" s="0" t="s">
        <v>42</v>
      </c>
      <c r="AA1334" s="0" t="s">
        <v>43</v>
      </c>
      <c r="AE1334" s="1" t="s">
        <v>52</v>
      </c>
    </row>
    <row r="1335" customFormat="false" ht="12.8" hidden="false" customHeight="false" outlineLevel="0" collapsed="false">
      <c r="A1335" s="0" t="n">
        <v>395596</v>
      </c>
      <c r="B1335" s="0" t="n">
        <v>427321</v>
      </c>
      <c r="C1335" s="0" t="n">
        <v>476452</v>
      </c>
      <c r="D1335" s="0" t="s">
        <v>35</v>
      </c>
      <c r="E1335" s="0" t="s">
        <v>35</v>
      </c>
      <c r="F1335" s="0" t="s">
        <v>36</v>
      </c>
      <c r="G1335" s="0" t="s">
        <v>412</v>
      </c>
      <c r="H1335" s="0" t="s">
        <v>4683</v>
      </c>
      <c r="I1335" s="0" t="s">
        <v>4684</v>
      </c>
      <c r="J1335" s="0" t="s">
        <v>4683</v>
      </c>
      <c r="M1335" s="0" t="s">
        <v>4685</v>
      </c>
      <c r="N1335" s="0" t="n">
        <v>1959</v>
      </c>
      <c r="P1335" s="0" t="n">
        <v>1959</v>
      </c>
      <c r="Q1335" s="0" t="s">
        <v>39</v>
      </c>
      <c r="R1335" s="0" t="s">
        <v>4686</v>
      </c>
      <c r="S1335" s="0" t="s">
        <v>4687</v>
      </c>
      <c r="V1335" s="0" t="n">
        <v>1</v>
      </c>
      <c r="W1335" s="0" t="n">
        <v>1</v>
      </c>
      <c r="X1335" s="0" t="str">
        <f aca="false">"31811010378639"</f>
        <v>31811010378639</v>
      </c>
      <c r="Y1335" s="0" t="s">
        <v>39</v>
      </c>
      <c r="Z1335" s="0" t="s">
        <v>42</v>
      </c>
      <c r="AA1335" s="0" t="s">
        <v>43</v>
      </c>
      <c r="AE1335" s="1" t="s">
        <v>52</v>
      </c>
    </row>
    <row r="1336" customFormat="false" ht="12.8" hidden="false" customHeight="false" outlineLevel="0" collapsed="false">
      <c r="A1336" s="0" t="n">
        <v>302061</v>
      </c>
      <c r="B1336" s="0" t="n">
        <v>329493</v>
      </c>
      <c r="C1336" s="0" t="n">
        <v>367943</v>
      </c>
      <c r="D1336" s="0" t="s">
        <v>35</v>
      </c>
      <c r="E1336" s="0" t="s">
        <v>35</v>
      </c>
      <c r="F1336" s="0" t="s">
        <v>36</v>
      </c>
      <c r="G1336" s="0" t="s">
        <v>37</v>
      </c>
      <c r="H1336" s="0" t="s">
        <v>4688</v>
      </c>
      <c r="I1336" s="0" t="s">
        <v>4689</v>
      </c>
      <c r="J1336" s="0" t="s">
        <v>4688</v>
      </c>
      <c r="M1336" s="0" t="s">
        <v>4690</v>
      </c>
      <c r="N1336" s="0" t="n">
        <v>1963</v>
      </c>
      <c r="O1336" s="0" t="s">
        <v>4680</v>
      </c>
      <c r="P1336" s="0" t="n">
        <v>1963</v>
      </c>
      <c r="Q1336" s="0" t="s">
        <v>39</v>
      </c>
      <c r="R1336" s="0" t="s">
        <v>4691</v>
      </c>
      <c r="S1336" s="0" t="s">
        <v>4692</v>
      </c>
      <c r="V1336" s="0" t="n">
        <v>1</v>
      </c>
      <c r="W1336" s="0" t="n">
        <v>1</v>
      </c>
      <c r="X1336" s="0" t="str">
        <f aca="false">"31811010378621"</f>
        <v>31811010378621</v>
      </c>
      <c r="Y1336" s="0" t="s">
        <v>39</v>
      </c>
      <c r="Z1336" s="0" t="s">
        <v>42</v>
      </c>
      <c r="AA1336" s="0" t="s">
        <v>43</v>
      </c>
      <c r="AE1336" s="1" t="s">
        <v>52</v>
      </c>
    </row>
    <row r="1337" customFormat="false" ht="12.8" hidden="false" customHeight="false" outlineLevel="0" collapsed="false">
      <c r="A1337" s="0" t="n">
        <v>454255</v>
      </c>
      <c r="B1337" s="0" t="n">
        <v>540559</v>
      </c>
      <c r="C1337" s="0" t="n">
        <v>609040</v>
      </c>
      <c r="D1337" s="0" t="s">
        <v>35</v>
      </c>
      <c r="E1337" s="0" t="s">
        <v>35</v>
      </c>
      <c r="F1337" s="0" t="s">
        <v>36</v>
      </c>
      <c r="G1337" s="0" t="s">
        <v>37</v>
      </c>
      <c r="H1337" s="0" t="s">
        <v>4693</v>
      </c>
      <c r="I1337" s="0" t="s">
        <v>4694</v>
      </c>
      <c r="J1337" s="0" t="s">
        <v>4693</v>
      </c>
      <c r="M1337" s="0" t="s">
        <v>4695</v>
      </c>
      <c r="N1337" s="0" t="s">
        <v>4696</v>
      </c>
      <c r="O1337" s="0" t="s">
        <v>4697</v>
      </c>
      <c r="P1337" s="0" t="n">
        <v>1964</v>
      </c>
      <c r="Q1337" s="0" t="s">
        <v>39</v>
      </c>
      <c r="R1337" s="0" t="s">
        <v>4698</v>
      </c>
      <c r="S1337" s="0" t="s">
        <v>4699</v>
      </c>
      <c r="V1337" s="0" t="n">
        <v>1</v>
      </c>
      <c r="W1337" s="0" t="n">
        <v>1</v>
      </c>
      <c r="X1337" s="0" t="str">
        <f aca="false">"31811010378613"</f>
        <v>31811010378613</v>
      </c>
      <c r="Y1337" s="0" t="s">
        <v>39</v>
      </c>
      <c r="Z1337" s="0" t="s">
        <v>42</v>
      </c>
      <c r="AA1337" s="0" t="s">
        <v>43</v>
      </c>
      <c r="AE1337" s="1" t="s">
        <v>52</v>
      </c>
    </row>
    <row r="1338" customFormat="false" ht="12.8" hidden="false" customHeight="false" outlineLevel="0" collapsed="false">
      <c r="A1338" s="0" t="n">
        <v>308818</v>
      </c>
      <c r="B1338" s="0" t="n">
        <v>336639</v>
      </c>
      <c r="C1338" s="0" t="n">
        <v>375712</v>
      </c>
      <c r="D1338" s="0" t="s">
        <v>35</v>
      </c>
      <c r="E1338" s="0" t="s">
        <v>35</v>
      </c>
      <c r="F1338" s="0" t="s">
        <v>36</v>
      </c>
      <c r="G1338" s="0" t="s">
        <v>37</v>
      </c>
      <c r="H1338" s="0" t="s">
        <v>4700</v>
      </c>
      <c r="I1338" s="0" t="s">
        <v>4701</v>
      </c>
      <c r="J1338" s="0" t="s">
        <v>4702</v>
      </c>
      <c r="M1338" s="0" t="s">
        <v>4703</v>
      </c>
      <c r="N1338" s="0" t="n">
        <v>1969</v>
      </c>
      <c r="O1338" s="0" t="s">
        <v>4704</v>
      </c>
      <c r="P1338" s="0" t="n">
        <v>1969</v>
      </c>
      <c r="Q1338" s="0" t="s">
        <v>39</v>
      </c>
      <c r="R1338" s="0" t="s">
        <v>4705</v>
      </c>
      <c r="S1338" s="0" t="s">
        <v>4706</v>
      </c>
      <c r="V1338" s="0" t="n">
        <v>1</v>
      </c>
      <c r="W1338" s="0" t="n">
        <v>1</v>
      </c>
      <c r="X1338" s="0" t="str">
        <f aca="false">"31811010378571"</f>
        <v>31811010378571</v>
      </c>
      <c r="Y1338" s="0" t="s">
        <v>39</v>
      </c>
      <c r="Z1338" s="0" t="s">
        <v>42</v>
      </c>
      <c r="AA1338" s="0" t="s">
        <v>43</v>
      </c>
      <c r="AE1338" s="1" t="s">
        <v>52</v>
      </c>
    </row>
    <row r="1339" customFormat="false" ht="12.8" hidden="false" customHeight="false" outlineLevel="0" collapsed="false">
      <c r="A1339" s="0" t="n">
        <v>103506</v>
      </c>
      <c r="B1339" s="0" t="n">
        <v>111456</v>
      </c>
      <c r="C1339" s="0" t="n">
        <v>124550</v>
      </c>
      <c r="D1339" s="0" t="s">
        <v>35</v>
      </c>
      <c r="E1339" s="0" t="s">
        <v>35</v>
      </c>
      <c r="F1339" s="0" t="s">
        <v>36</v>
      </c>
      <c r="G1339" s="0" t="s">
        <v>37</v>
      </c>
      <c r="H1339" s="0" t="s">
        <v>4707</v>
      </c>
      <c r="I1339" s="0" t="s">
        <v>4708</v>
      </c>
      <c r="J1339" s="0" t="s">
        <v>4709</v>
      </c>
      <c r="M1339" s="0" t="s">
        <v>4710</v>
      </c>
      <c r="N1339" s="0" t="n">
        <v>1966</v>
      </c>
      <c r="O1339" s="0" t="s">
        <v>4711</v>
      </c>
      <c r="P1339" s="0" t="n">
        <v>1966</v>
      </c>
      <c r="Q1339" s="0" t="s">
        <v>39</v>
      </c>
      <c r="R1339" s="0" t="s">
        <v>4712</v>
      </c>
      <c r="S1339" s="0" t="s">
        <v>4713</v>
      </c>
      <c r="V1339" s="0" t="n">
        <v>1</v>
      </c>
      <c r="W1339" s="0" t="n">
        <v>1</v>
      </c>
      <c r="X1339" s="0" t="str">
        <f aca="false">"31811010378894"</f>
        <v>31811010378894</v>
      </c>
      <c r="Y1339" s="0" t="s">
        <v>39</v>
      </c>
      <c r="Z1339" s="0" t="s">
        <v>42</v>
      </c>
      <c r="AA1339" s="0" t="s">
        <v>43</v>
      </c>
      <c r="AE1339" s="1" t="s">
        <v>52</v>
      </c>
    </row>
    <row r="1340" customFormat="false" ht="12.8" hidden="false" customHeight="false" outlineLevel="0" collapsed="false">
      <c r="A1340" s="0" t="n">
        <v>499590</v>
      </c>
      <c r="B1340" s="0" t="n">
        <v>480758</v>
      </c>
      <c r="C1340" s="0" t="n">
        <v>538832</v>
      </c>
      <c r="D1340" s="0" t="s">
        <v>35</v>
      </c>
      <c r="E1340" s="0" t="s">
        <v>35</v>
      </c>
      <c r="F1340" s="0" t="s">
        <v>36</v>
      </c>
      <c r="G1340" s="0" t="s">
        <v>37</v>
      </c>
      <c r="H1340" s="0" t="s">
        <v>4714</v>
      </c>
      <c r="I1340" s="0" t="s">
        <v>4715</v>
      </c>
      <c r="J1340" s="0" t="s">
        <v>4716</v>
      </c>
      <c r="M1340" s="0" t="s">
        <v>4717</v>
      </c>
      <c r="N1340" s="0" t="s">
        <v>4718</v>
      </c>
      <c r="O1340" s="0" t="s">
        <v>4719</v>
      </c>
      <c r="P1340" s="0" t="n">
        <v>1960</v>
      </c>
      <c r="Q1340" s="0" t="s">
        <v>39</v>
      </c>
      <c r="R1340" s="0" t="s">
        <v>4720</v>
      </c>
      <c r="S1340" s="0" t="s">
        <v>4721</v>
      </c>
      <c r="V1340" s="0" t="n">
        <v>1</v>
      </c>
      <c r="W1340" s="0" t="n">
        <v>1</v>
      </c>
      <c r="X1340" s="0" t="str">
        <f aca="false">"31811010386509"</f>
        <v>31811010386509</v>
      </c>
      <c r="Y1340" s="0" t="s">
        <v>39</v>
      </c>
      <c r="Z1340" s="0" t="s">
        <v>42</v>
      </c>
      <c r="AA1340" s="0" t="s">
        <v>43</v>
      </c>
      <c r="AE1340" s="1" t="s">
        <v>52</v>
      </c>
    </row>
    <row r="1341" customFormat="false" ht="12.8" hidden="false" customHeight="false" outlineLevel="0" collapsed="false">
      <c r="A1341" s="0" t="n">
        <v>115977</v>
      </c>
      <c r="B1341" s="0" t="n">
        <v>124771</v>
      </c>
      <c r="C1341" s="0" t="n">
        <v>138982</v>
      </c>
      <c r="D1341" s="0" t="s">
        <v>35</v>
      </c>
      <c r="E1341" s="0" t="s">
        <v>35</v>
      </c>
      <c r="F1341" s="0" t="s">
        <v>36</v>
      </c>
      <c r="G1341" s="0" t="s">
        <v>37</v>
      </c>
      <c r="H1341" s="0" t="s">
        <v>4722</v>
      </c>
      <c r="I1341" s="0" t="s">
        <v>4723</v>
      </c>
      <c r="J1341" s="0" t="s">
        <v>4722</v>
      </c>
      <c r="M1341" s="0" t="s">
        <v>4724</v>
      </c>
      <c r="N1341" s="0" t="n">
        <v>1947</v>
      </c>
      <c r="O1341" s="0" t="s">
        <v>4487</v>
      </c>
      <c r="P1341" s="0" t="n">
        <v>1947</v>
      </c>
      <c r="Q1341" s="0" t="s">
        <v>39</v>
      </c>
      <c r="R1341" s="0" t="s">
        <v>4725</v>
      </c>
      <c r="S1341" s="0" t="s">
        <v>4726</v>
      </c>
      <c r="V1341" s="0" t="n">
        <v>1</v>
      </c>
      <c r="W1341" s="0" t="n">
        <v>1</v>
      </c>
      <c r="X1341" s="0" t="str">
        <f aca="false">"31811010386558"</f>
        <v>31811010386558</v>
      </c>
      <c r="Y1341" s="0" t="s">
        <v>39</v>
      </c>
      <c r="Z1341" s="0" t="s">
        <v>42</v>
      </c>
      <c r="AA1341" s="0" t="s">
        <v>43</v>
      </c>
      <c r="AE1341" s="1" t="s">
        <v>52</v>
      </c>
    </row>
    <row r="1342" customFormat="false" ht="12.8" hidden="false" customHeight="false" outlineLevel="0" collapsed="false">
      <c r="A1342" s="0" t="n">
        <v>115978</v>
      </c>
      <c r="B1342" s="0" t="n">
        <v>124772</v>
      </c>
      <c r="C1342" s="0" t="n">
        <v>138983</v>
      </c>
      <c r="D1342" s="0" t="s">
        <v>35</v>
      </c>
      <c r="E1342" s="0" t="s">
        <v>35</v>
      </c>
      <c r="F1342" s="0" t="s">
        <v>36</v>
      </c>
      <c r="G1342" s="0" t="s">
        <v>37</v>
      </c>
      <c r="H1342" s="0" t="s">
        <v>4727</v>
      </c>
      <c r="I1342" s="0" t="s">
        <v>4728</v>
      </c>
      <c r="J1342" s="0" t="s">
        <v>4729</v>
      </c>
      <c r="M1342" s="0" t="s">
        <v>4730</v>
      </c>
      <c r="N1342" s="0" t="n">
        <v>1962</v>
      </c>
      <c r="O1342" s="0" t="s">
        <v>4731</v>
      </c>
      <c r="P1342" s="0" t="n">
        <v>1962</v>
      </c>
      <c r="Q1342" s="0" t="s">
        <v>39</v>
      </c>
      <c r="R1342" s="0" t="s">
        <v>4732</v>
      </c>
      <c r="S1342" s="0" t="s">
        <v>4733</v>
      </c>
      <c r="V1342" s="0" t="n">
        <v>1</v>
      </c>
      <c r="W1342" s="0" t="n">
        <v>1</v>
      </c>
      <c r="X1342" s="0" t="str">
        <f aca="false">"31811010386533"</f>
        <v>31811010386533</v>
      </c>
      <c r="Y1342" s="0" t="s">
        <v>39</v>
      </c>
      <c r="Z1342" s="0" t="s">
        <v>42</v>
      </c>
      <c r="AA1342" s="0" t="s">
        <v>43</v>
      </c>
      <c r="AE1342" s="1" t="s">
        <v>52</v>
      </c>
    </row>
    <row r="1343" customFormat="false" ht="12.8" hidden="false" customHeight="false" outlineLevel="0" collapsed="false">
      <c r="A1343" s="0" t="n">
        <v>115973</v>
      </c>
      <c r="B1343" s="0" t="n">
        <v>124767</v>
      </c>
      <c r="C1343" s="0" t="n">
        <v>138978</v>
      </c>
      <c r="D1343" s="0" t="s">
        <v>35</v>
      </c>
      <c r="E1343" s="0" t="s">
        <v>35</v>
      </c>
      <c r="F1343" s="0" t="s">
        <v>36</v>
      </c>
      <c r="G1343" s="0" t="s">
        <v>37</v>
      </c>
      <c r="H1343" s="0" t="s">
        <v>4734</v>
      </c>
      <c r="I1343" s="0" t="s">
        <v>4735</v>
      </c>
      <c r="J1343" s="0" t="s">
        <v>4736</v>
      </c>
      <c r="M1343" s="0" t="s">
        <v>4737</v>
      </c>
      <c r="N1343" s="0" t="n">
        <v>1966</v>
      </c>
      <c r="O1343" s="0" t="s">
        <v>4738</v>
      </c>
      <c r="P1343" s="0" t="n">
        <v>1966</v>
      </c>
      <c r="Q1343" s="0" t="s">
        <v>39</v>
      </c>
      <c r="R1343" s="0" t="s">
        <v>4739</v>
      </c>
      <c r="S1343" s="0" t="s">
        <v>4740</v>
      </c>
      <c r="V1343" s="0" t="n">
        <v>1</v>
      </c>
      <c r="W1343" s="0" t="n">
        <v>1</v>
      </c>
      <c r="X1343" s="0" t="str">
        <f aca="false">"31811010386400"</f>
        <v>31811010386400</v>
      </c>
      <c r="Y1343" s="0" t="s">
        <v>39</v>
      </c>
      <c r="Z1343" s="0" t="s">
        <v>42</v>
      </c>
      <c r="AA1343" s="0" t="s">
        <v>43</v>
      </c>
      <c r="AE1343" s="1" t="s">
        <v>52</v>
      </c>
    </row>
    <row r="1344" customFormat="false" ht="12.8" hidden="false" customHeight="false" outlineLevel="0" collapsed="false">
      <c r="A1344" s="0" t="n">
        <v>50452</v>
      </c>
      <c r="B1344" s="0" t="n">
        <v>54644</v>
      </c>
      <c r="C1344" s="0" t="n">
        <v>60295</v>
      </c>
      <c r="D1344" s="0" t="s">
        <v>35</v>
      </c>
      <c r="E1344" s="0" t="s">
        <v>35</v>
      </c>
      <c r="F1344" s="0" t="s">
        <v>36</v>
      </c>
      <c r="G1344" s="0" t="s">
        <v>37</v>
      </c>
      <c r="H1344" s="0" t="s">
        <v>4741</v>
      </c>
      <c r="I1344" s="0" t="s">
        <v>4742</v>
      </c>
      <c r="J1344" s="0" t="s">
        <v>4743</v>
      </c>
      <c r="M1344" s="0" t="s">
        <v>4744</v>
      </c>
      <c r="N1344" s="0" t="n">
        <v>1979</v>
      </c>
      <c r="O1344" s="0" t="s">
        <v>4731</v>
      </c>
      <c r="P1344" s="0" t="n">
        <v>1979</v>
      </c>
      <c r="Q1344" s="0" t="s">
        <v>39</v>
      </c>
      <c r="R1344" s="0" t="s">
        <v>4745</v>
      </c>
      <c r="S1344" s="0" t="s">
        <v>4746</v>
      </c>
      <c r="V1344" s="0" t="n">
        <v>1</v>
      </c>
      <c r="W1344" s="0" t="n">
        <v>1</v>
      </c>
      <c r="X1344" s="0" t="str">
        <f aca="false">"31811010386392"</f>
        <v>31811010386392</v>
      </c>
      <c r="Y1344" s="0" t="s">
        <v>39</v>
      </c>
      <c r="Z1344" s="0" t="s">
        <v>42</v>
      </c>
      <c r="AA1344" s="0" t="s">
        <v>43</v>
      </c>
      <c r="AE1344" s="1" t="s">
        <v>52</v>
      </c>
    </row>
    <row r="1345" customFormat="false" ht="12.8" hidden="false" customHeight="false" outlineLevel="0" collapsed="false">
      <c r="A1345" s="0" t="n">
        <v>275571</v>
      </c>
      <c r="B1345" s="0" t="n">
        <v>301461</v>
      </c>
      <c r="C1345" s="0" t="n">
        <v>337920</v>
      </c>
      <c r="D1345" s="0" t="s">
        <v>35</v>
      </c>
      <c r="E1345" s="0" t="s">
        <v>35</v>
      </c>
      <c r="F1345" s="0" t="s">
        <v>36</v>
      </c>
      <c r="G1345" s="0" t="s">
        <v>37</v>
      </c>
      <c r="H1345" s="0" t="s">
        <v>4747</v>
      </c>
      <c r="I1345" s="0" t="s">
        <v>4748</v>
      </c>
      <c r="J1345" s="0" t="s">
        <v>4749</v>
      </c>
      <c r="L1345" s="0" t="n">
        <v>838314120</v>
      </c>
      <c r="M1345" s="0" t="s">
        <v>4750</v>
      </c>
      <c r="N1345" s="0" t="n">
        <v>1972</v>
      </c>
      <c r="O1345" s="0" t="s">
        <v>4751</v>
      </c>
      <c r="P1345" s="0" t="n">
        <v>1972</v>
      </c>
      <c r="Q1345" s="0" t="s">
        <v>39</v>
      </c>
      <c r="R1345" s="0" t="s">
        <v>4752</v>
      </c>
      <c r="S1345" s="0" t="s">
        <v>4753</v>
      </c>
      <c r="V1345" s="0" t="n">
        <v>1</v>
      </c>
      <c r="W1345" s="0" t="n">
        <v>1</v>
      </c>
      <c r="X1345" s="0" t="str">
        <f aca="false">"31811010386541"</f>
        <v>31811010386541</v>
      </c>
      <c r="Y1345" s="0" t="s">
        <v>39</v>
      </c>
      <c r="Z1345" s="0" t="s">
        <v>42</v>
      </c>
      <c r="AA1345" s="0" t="s">
        <v>43</v>
      </c>
      <c r="AE1345" s="1" t="s">
        <v>52</v>
      </c>
      <c r="AH1345" s="1" t="s">
        <v>4754</v>
      </c>
    </row>
    <row r="1346" customFormat="false" ht="12.8" hidden="false" customHeight="false" outlineLevel="0" collapsed="false">
      <c r="A1346" s="0" t="n">
        <v>274533</v>
      </c>
      <c r="B1346" s="0" t="n">
        <v>300354</v>
      </c>
      <c r="C1346" s="0" t="n">
        <v>336713</v>
      </c>
      <c r="D1346" s="0" t="s">
        <v>35</v>
      </c>
      <c r="E1346" s="0" t="s">
        <v>35</v>
      </c>
      <c r="F1346" s="0" t="s">
        <v>36</v>
      </c>
      <c r="G1346" s="0" t="s">
        <v>37</v>
      </c>
      <c r="H1346" s="0" t="s">
        <v>4755</v>
      </c>
      <c r="I1346" s="0" t="s">
        <v>4439</v>
      </c>
      <c r="J1346" s="0" t="s">
        <v>4755</v>
      </c>
      <c r="K1346" s="0" t="s">
        <v>4756</v>
      </c>
      <c r="M1346" s="0" t="s">
        <v>4757</v>
      </c>
      <c r="O1346" s="0" t="s">
        <v>4758</v>
      </c>
      <c r="P1346" s="0" t="n">
        <v>1922</v>
      </c>
      <c r="Q1346" s="0" t="s">
        <v>39</v>
      </c>
      <c r="R1346" s="0" t="s">
        <v>4759</v>
      </c>
      <c r="S1346" s="0" t="s">
        <v>4760</v>
      </c>
      <c r="V1346" s="0" t="n">
        <v>1</v>
      </c>
      <c r="W1346" s="0" t="n">
        <v>1</v>
      </c>
      <c r="X1346" s="0" t="str">
        <f aca="false">"31811010386335"</f>
        <v>31811010386335</v>
      </c>
      <c r="Y1346" s="0" t="s">
        <v>39</v>
      </c>
      <c r="Z1346" s="0" t="s">
        <v>42</v>
      </c>
      <c r="AA1346" s="0" t="s">
        <v>43</v>
      </c>
      <c r="AE1346" s="1" t="s">
        <v>52</v>
      </c>
    </row>
    <row r="1347" customFormat="false" ht="12.8" hidden="false" customHeight="false" outlineLevel="0" collapsed="false">
      <c r="A1347" s="0" t="n">
        <v>305309</v>
      </c>
      <c r="B1347" s="0" t="n">
        <v>332923</v>
      </c>
      <c r="C1347" s="0" t="n">
        <v>371700</v>
      </c>
      <c r="D1347" s="0" t="s">
        <v>35</v>
      </c>
      <c r="E1347" s="0" t="s">
        <v>35</v>
      </c>
      <c r="F1347" s="0" t="s">
        <v>36</v>
      </c>
      <c r="G1347" s="0" t="s">
        <v>37</v>
      </c>
      <c r="H1347" s="0" t="s">
        <v>4761</v>
      </c>
      <c r="I1347" s="0" t="s">
        <v>4762</v>
      </c>
      <c r="J1347" s="0" t="s">
        <v>4763</v>
      </c>
      <c r="M1347" s="0" t="s">
        <v>4764</v>
      </c>
      <c r="N1347" s="0" t="n">
        <v>1977</v>
      </c>
      <c r="O1347" s="0" t="s">
        <v>4765</v>
      </c>
      <c r="P1347" s="0" t="n">
        <v>1977</v>
      </c>
      <c r="Q1347" s="0" t="s">
        <v>39</v>
      </c>
      <c r="R1347" s="0" t="s">
        <v>4766</v>
      </c>
      <c r="S1347" s="0" t="s">
        <v>4767</v>
      </c>
      <c r="V1347" s="0" t="n">
        <v>1</v>
      </c>
      <c r="W1347" s="0" t="n">
        <v>1</v>
      </c>
      <c r="X1347" s="0" t="str">
        <f aca="false">"31811003179275"</f>
        <v>31811003179275</v>
      </c>
      <c r="Y1347" s="0" t="s">
        <v>39</v>
      </c>
      <c r="Z1347" s="0" t="s">
        <v>42</v>
      </c>
      <c r="AA1347" s="0" t="s">
        <v>43</v>
      </c>
      <c r="AE1347" s="1" t="s">
        <v>52</v>
      </c>
    </row>
    <row r="1348" customFormat="false" ht="12.8" hidden="false" customHeight="false" outlineLevel="0" collapsed="false">
      <c r="A1348" s="0" t="n">
        <v>177982</v>
      </c>
      <c r="B1348" s="0" t="n">
        <v>194571</v>
      </c>
      <c r="C1348" s="0" t="n">
        <v>218607</v>
      </c>
      <c r="D1348" s="0" t="s">
        <v>35</v>
      </c>
      <c r="E1348" s="0" t="s">
        <v>35</v>
      </c>
      <c r="F1348" s="0" t="s">
        <v>36</v>
      </c>
      <c r="G1348" s="0" t="s">
        <v>37</v>
      </c>
      <c r="H1348" s="0" t="s">
        <v>4768</v>
      </c>
      <c r="I1348" s="0" t="s">
        <v>4769</v>
      </c>
      <c r="J1348" s="0" t="s">
        <v>4770</v>
      </c>
      <c r="M1348" s="0" t="s">
        <v>4771</v>
      </c>
      <c r="N1348" s="0" t="n">
        <v>1981</v>
      </c>
      <c r="O1348" s="0" t="s">
        <v>4772</v>
      </c>
      <c r="P1348" s="0" t="n">
        <v>1981</v>
      </c>
      <c r="Q1348" s="0" t="s">
        <v>39</v>
      </c>
      <c r="R1348" s="0" t="s">
        <v>4773</v>
      </c>
      <c r="S1348" s="0" t="s">
        <v>4774</v>
      </c>
      <c r="V1348" s="0" t="n">
        <v>1</v>
      </c>
      <c r="W1348" s="0" t="n">
        <v>1</v>
      </c>
      <c r="X1348" s="0" t="str">
        <f aca="false">"31811003180042"</f>
        <v>31811003180042</v>
      </c>
      <c r="Y1348" s="0" t="s">
        <v>39</v>
      </c>
      <c r="Z1348" s="0" t="s">
        <v>42</v>
      </c>
      <c r="AA1348" s="0" t="s">
        <v>43</v>
      </c>
      <c r="AE1348" s="1" t="s">
        <v>52</v>
      </c>
    </row>
    <row r="1349" customFormat="false" ht="12.8" hidden="false" customHeight="false" outlineLevel="0" collapsed="false">
      <c r="A1349" s="0" t="n">
        <v>219846</v>
      </c>
      <c r="B1349" s="0" t="n">
        <v>241152</v>
      </c>
      <c r="C1349" s="0" t="n">
        <v>271766</v>
      </c>
      <c r="D1349" s="0" t="s">
        <v>35</v>
      </c>
      <c r="E1349" s="0" t="s">
        <v>35</v>
      </c>
      <c r="F1349" s="0" t="s">
        <v>36</v>
      </c>
      <c r="G1349" s="0" t="s">
        <v>37</v>
      </c>
      <c r="H1349" s="0" t="s">
        <v>4775</v>
      </c>
      <c r="J1349" s="0" t="s">
        <v>4776</v>
      </c>
      <c r="M1349" s="0" t="s">
        <v>4777</v>
      </c>
      <c r="N1349" s="0" t="n">
        <v>1981</v>
      </c>
      <c r="O1349" s="0" t="s">
        <v>4778</v>
      </c>
      <c r="P1349" s="0" t="n">
        <v>1981</v>
      </c>
      <c r="Q1349" s="0" t="s">
        <v>39</v>
      </c>
      <c r="R1349" s="0" t="s">
        <v>4779</v>
      </c>
      <c r="S1349" s="0" t="s">
        <v>4780</v>
      </c>
      <c r="V1349" s="0" t="n">
        <v>1</v>
      </c>
      <c r="W1349" s="0" t="n">
        <v>1</v>
      </c>
      <c r="X1349" s="0" t="str">
        <f aca="false">"31811003180067"</f>
        <v>31811003180067</v>
      </c>
      <c r="Y1349" s="0" t="s">
        <v>39</v>
      </c>
      <c r="Z1349" s="0" t="s">
        <v>42</v>
      </c>
      <c r="AA1349" s="0" t="s">
        <v>43</v>
      </c>
      <c r="AE1349" s="1" t="s">
        <v>52</v>
      </c>
    </row>
    <row r="1350" customFormat="false" ht="12.8" hidden="false" customHeight="false" outlineLevel="0" collapsed="false">
      <c r="A1350" s="0" t="n">
        <v>219845</v>
      </c>
      <c r="B1350" s="0" t="n">
        <v>241151</v>
      </c>
      <c r="C1350" s="0" t="n">
        <v>271765</v>
      </c>
      <c r="D1350" s="0" t="s">
        <v>35</v>
      </c>
      <c r="E1350" s="0" t="s">
        <v>35</v>
      </c>
      <c r="F1350" s="0" t="s">
        <v>36</v>
      </c>
      <c r="G1350" s="0" t="s">
        <v>37</v>
      </c>
      <c r="H1350" s="0" t="s">
        <v>4781</v>
      </c>
      <c r="J1350" s="0" t="s">
        <v>4782</v>
      </c>
      <c r="M1350" s="0" t="s">
        <v>4783</v>
      </c>
      <c r="N1350" s="0" t="n">
        <v>1981</v>
      </c>
      <c r="O1350" s="0" t="s">
        <v>4778</v>
      </c>
      <c r="P1350" s="0" t="n">
        <v>1981</v>
      </c>
      <c r="Q1350" s="0" t="s">
        <v>39</v>
      </c>
      <c r="R1350" s="0" t="s">
        <v>4784</v>
      </c>
      <c r="S1350" s="0" t="s">
        <v>4785</v>
      </c>
      <c r="V1350" s="0" t="n">
        <v>1</v>
      </c>
      <c r="W1350" s="0" t="n">
        <v>1</v>
      </c>
      <c r="X1350" s="0" t="str">
        <f aca="false">"31811003180075"</f>
        <v>31811003180075</v>
      </c>
      <c r="Y1350" s="0" t="s">
        <v>39</v>
      </c>
      <c r="Z1350" s="0" t="s">
        <v>42</v>
      </c>
      <c r="AA1350" s="0" t="s">
        <v>43</v>
      </c>
      <c r="AE1350" s="1" t="s">
        <v>52</v>
      </c>
    </row>
    <row r="1351" customFormat="false" ht="12.8" hidden="false" customHeight="false" outlineLevel="0" collapsed="false">
      <c r="A1351" s="0" t="n">
        <v>258612</v>
      </c>
      <c r="B1351" s="0" t="n">
        <v>283296</v>
      </c>
      <c r="C1351" s="0" t="n">
        <v>318288</v>
      </c>
      <c r="D1351" s="0" t="s">
        <v>35</v>
      </c>
      <c r="E1351" s="0" t="s">
        <v>35</v>
      </c>
      <c r="F1351" s="0" t="s">
        <v>36</v>
      </c>
      <c r="G1351" s="0" t="s">
        <v>37</v>
      </c>
      <c r="H1351" s="0" t="s">
        <v>4786</v>
      </c>
      <c r="I1351" s="0" t="s">
        <v>4787</v>
      </c>
      <c r="J1351" s="0" t="s">
        <v>4786</v>
      </c>
      <c r="M1351" s="0" t="s">
        <v>4788</v>
      </c>
      <c r="N1351" s="0" t="s">
        <v>326</v>
      </c>
      <c r="O1351" s="0" t="s">
        <v>4648</v>
      </c>
      <c r="P1351" s="0" t="n">
        <v>1973</v>
      </c>
      <c r="Q1351" s="0" t="s">
        <v>39</v>
      </c>
      <c r="R1351" s="0" t="s">
        <v>4789</v>
      </c>
      <c r="S1351" s="0" t="s">
        <v>4790</v>
      </c>
      <c r="V1351" s="0" t="n">
        <v>1</v>
      </c>
      <c r="W1351" s="0" t="n">
        <v>1</v>
      </c>
      <c r="X1351" s="0" t="str">
        <f aca="false">"31811010386293"</f>
        <v>31811010386293</v>
      </c>
      <c r="Y1351" s="0" t="s">
        <v>39</v>
      </c>
      <c r="Z1351" s="0" t="s">
        <v>42</v>
      </c>
      <c r="AA1351" s="0" t="s">
        <v>43</v>
      </c>
      <c r="AE1351" s="1" t="s">
        <v>52</v>
      </c>
    </row>
    <row r="1352" customFormat="false" ht="12.8" hidden="false" customHeight="false" outlineLevel="0" collapsed="false">
      <c r="A1352" s="0" t="n">
        <v>129015</v>
      </c>
      <c r="B1352" s="0" t="n">
        <v>138874</v>
      </c>
      <c r="C1352" s="0" t="n">
        <v>154388</v>
      </c>
      <c r="D1352" s="0" t="s">
        <v>35</v>
      </c>
      <c r="E1352" s="0" t="s">
        <v>35</v>
      </c>
      <c r="F1352" s="0" t="s">
        <v>36</v>
      </c>
      <c r="G1352" s="0" t="s">
        <v>37</v>
      </c>
      <c r="H1352" s="0" t="s">
        <v>4791</v>
      </c>
      <c r="I1352" s="0" t="s">
        <v>4792</v>
      </c>
      <c r="J1352" s="0" t="s">
        <v>4793</v>
      </c>
      <c r="M1352" s="0" t="s">
        <v>4794</v>
      </c>
      <c r="N1352" s="0" t="n">
        <v>1966</v>
      </c>
      <c r="O1352" s="0" t="s">
        <v>4795</v>
      </c>
      <c r="P1352" s="0" t="n">
        <v>1966</v>
      </c>
      <c r="Q1352" s="0" t="s">
        <v>39</v>
      </c>
      <c r="R1352" s="0" t="s">
        <v>4796</v>
      </c>
      <c r="S1352" s="0" t="s">
        <v>4797</v>
      </c>
      <c r="V1352" s="0" t="n">
        <v>1</v>
      </c>
      <c r="W1352" s="0" t="n">
        <v>1</v>
      </c>
      <c r="X1352" s="0" t="str">
        <f aca="false">"31811010386285"</f>
        <v>31811010386285</v>
      </c>
      <c r="Y1352" s="0" t="s">
        <v>39</v>
      </c>
      <c r="Z1352" s="0" t="s">
        <v>42</v>
      </c>
      <c r="AA1352" s="0" t="s">
        <v>43</v>
      </c>
      <c r="AE1352" s="1" t="s">
        <v>52</v>
      </c>
    </row>
    <row r="1353" customFormat="false" ht="12.8" hidden="false" customHeight="false" outlineLevel="0" collapsed="false">
      <c r="A1353" s="0" t="n">
        <v>222217</v>
      </c>
      <c r="B1353" s="0" t="n">
        <v>243784</v>
      </c>
      <c r="C1353" s="0" t="n">
        <v>274704</v>
      </c>
      <c r="D1353" s="0" t="s">
        <v>35</v>
      </c>
      <c r="E1353" s="0" t="s">
        <v>35</v>
      </c>
      <c r="F1353" s="0" t="s">
        <v>36</v>
      </c>
      <c r="G1353" s="0" t="s">
        <v>37</v>
      </c>
      <c r="H1353" s="0" t="s">
        <v>4798</v>
      </c>
      <c r="I1353" s="0" t="s">
        <v>4799</v>
      </c>
      <c r="J1353" s="0" t="s">
        <v>4800</v>
      </c>
      <c r="M1353" s="0" t="s">
        <v>4801</v>
      </c>
      <c r="N1353" s="0" t="n">
        <v>1982</v>
      </c>
      <c r="O1353" s="0" t="s">
        <v>4765</v>
      </c>
      <c r="P1353" s="0" t="n">
        <v>1982</v>
      </c>
      <c r="Q1353" s="0" t="s">
        <v>39</v>
      </c>
      <c r="R1353" s="0" t="s">
        <v>4802</v>
      </c>
      <c r="S1353" s="0" t="s">
        <v>4803</v>
      </c>
      <c r="V1353" s="0" t="n">
        <v>1</v>
      </c>
      <c r="W1353" s="0" t="n">
        <v>1</v>
      </c>
      <c r="X1353" s="0" t="str">
        <f aca="false">"31811003180083"</f>
        <v>31811003180083</v>
      </c>
      <c r="Y1353" s="0" t="s">
        <v>39</v>
      </c>
      <c r="Z1353" s="0" t="s">
        <v>42</v>
      </c>
      <c r="AA1353" s="0" t="s">
        <v>43</v>
      </c>
      <c r="AE1353" s="1" t="s">
        <v>52</v>
      </c>
    </row>
    <row r="1354" customFormat="false" ht="12.8" hidden="false" customHeight="false" outlineLevel="0" collapsed="false">
      <c r="A1354" s="0" t="n">
        <v>477903</v>
      </c>
      <c r="B1354" s="0" t="n">
        <v>510108</v>
      </c>
      <c r="C1354" s="0" t="n">
        <v>572658</v>
      </c>
      <c r="D1354" s="0" t="s">
        <v>35</v>
      </c>
      <c r="E1354" s="0" t="s">
        <v>35</v>
      </c>
      <c r="F1354" s="0" t="s">
        <v>36</v>
      </c>
      <c r="G1354" s="0" t="s">
        <v>37</v>
      </c>
      <c r="H1354" s="0" t="s">
        <v>4804</v>
      </c>
      <c r="I1354" s="0" t="s">
        <v>4805</v>
      </c>
      <c r="J1354" s="0" t="s">
        <v>4806</v>
      </c>
      <c r="M1354" s="0" t="s">
        <v>4807</v>
      </c>
      <c r="N1354" s="0" t="n">
        <v>1973</v>
      </c>
      <c r="O1354" s="0" t="s">
        <v>4428</v>
      </c>
      <c r="P1354" s="0" t="n">
        <v>1973</v>
      </c>
      <c r="Q1354" s="0" t="s">
        <v>39</v>
      </c>
      <c r="R1354" s="0" t="s">
        <v>4808</v>
      </c>
      <c r="S1354" s="0" t="s">
        <v>4809</v>
      </c>
      <c r="V1354" s="0" t="n">
        <v>1</v>
      </c>
      <c r="W1354" s="0" t="n">
        <v>1</v>
      </c>
      <c r="X1354" s="0" t="str">
        <f aca="false">"31811003180091"</f>
        <v>31811003180091</v>
      </c>
      <c r="Y1354" s="0" t="s">
        <v>39</v>
      </c>
      <c r="Z1354" s="0" t="s">
        <v>42</v>
      </c>
      <c r="AA1354" s="0" t="s">
        <v>43</v>
      </c>
      <c r="AE1354" s="1" t="s">
        <v>52</v>
      </c>
    </row>
    <row r="1355" customFormat="false" ht="12.8" hidden="false" customHeight="false" outlineLevel="0" collapsed="false">
      <c r="A1355" s="0" t="n">
        <v>360743</v>
      </c>
      <c r="B1355" s="0" t="n">
        <v>390311</v>
      </c>
      <c r="C1355" s="0" t="n">
        <v>434016</v>
      </c>
      <c r="D1355" s="0" t="s">
        <v>35</v>
      </c>
      <c r="E1355" s="0" t="s">
        <v>35</v>
      </c>
      <c r="F1355" s="0" t="s">
        <v>36</v>
      </c>
      <c r="G1355" s="0" t="s">
        <v>37</v>
      </c>
      <c r="H1355" s="0" t="s">
        <v>4810</v>
      </c>
      <c r="I1355" s="0" t="s">
        <v>4811</v>
      </c>
      <c r="J1355" s="0" t="s">
        <v>4810</v>
      </c>
      <c r="M1355" s="0" t="s">
        <v>4812</v>
      </c>
      <c r="N1355" s="1" t="s">
        <v>4813</v>
      </c>
      <c r="O1355" s="0" t="s">
        <v>4648</v>
      </c>
      <c r="P1355" s="0" t="n">
        <v>1973</v>
      </c>
      <c r="Q1355" s="0" t="s">
        <v>39</v>
      </c>
      <c r="R1355" s="0" t="s">
        <v>4814</v>
      </c>
      <c r="S1355" s="0" t="s">
        <v>4815</v>
      </c>
      <c r="V1355" s="0" t="n">
        <v>1</v>
      </c>
      <c r="W1355" s="0" t="n">
        <v>1</v>
      </c>
      <c r="X1355" s="0" t="str">
        <f aca="false">"31811003180109"</f>
        <v>31811003180109</v>
      </c>
      <c r="Y1355" s="0" t="s">
        <v>39</v>
      </c>
      <c r="Z1355" s="0" t="s">
        <v>42</v>
      </c>
      <c r="AA1355" s="0" t="s">
        <v>43</v>
      </c>
      <c r="AE1355" s="1" t="s">
        <v>52</v>
      </c>
    </row>
    <row r="1356" customFormat="false" ht="12.8" hidden="false" customHeight="false" outlineLevel="0" collapsed="false">
      <c r="A1356" s="0" t="n">
        <v>497071</v>
      </c>
      <c r="B1356" s="0" t="n">
        <v>478199</v>
      </c>
      <c r="C1356" s="0" t="n">
        <v>535987</v>
      </c>
      <c r="D1356" s="0" t="s">
        <v>35</v>
      </c>
      <c r="E1356" s="0" t="s">
        <v>35</v>
      </c>
      <c r="F1356" s="0" t="s">
        <v>36</v>
      </c>
      <c r="G1356" s="0" t="s">
        <v>37</v>
      </c>
      <c r="H1356" s="0" t="s">
        <v>4816</v>
      </c>
      <c r="I1356" s="0" t="s">
        <v>4817</v>
      </c>
      <c r="J1356" s="0" t="s">
        <v>4818</v>
      </c>
      <c r="M1356" s="0" t="s">
        <v>4819</v>
      </c>
      <c r="N1356" s="0" t="n">
        <v>1975</v>
      </c>
      <c r="P1356" s="0" t="n">
        <v>1975</v>
      </c>
      <c r="Q1356" s="0" t="s">
        <v>39</v>
      </c>
      <c r="R1356" s="0" t="s">
        <v>4820</v>
      </c>
      <c r="S1356" s="0" t="s">
        <v>4821</v>
      </c>
      <c r="V1356" s="0" t="n">
        <v>2</v>
      </c>
      <c r="W1356" s="0" t="n">
        <v>1</v>
      </c>
      <c r="X1356" s="0" t="str">
        <f aca="false">"31811003180125"</f>
        <v>31811003180125</v>
      </c>
      <c r="Y1356" s="0" t="s">
        <v>39</v>
      </c>
      <c r="Z1356" s="0" t="s">
        <v>42</v>
      </c>
      <c r="AA1356" s="0" t="s">
        <v>43</v>
      </c>
      <c r="AE1356" s="1" t="s">
        <v>52</v>
      </c>
    </row>
    <row r="1357" customFormat="false" ht="12.8" hidden="false" customHeight="false" outlineLevel="0" collapsed="false">
      <c r="A1357" s="0" t="n">
        <v>439445</v>
      </c>
      <c r="B1357" s="0" t="n">
        <v>524892</v>
      </c>
      <c r="C1357" s="0" t="n">
        <v>589323</v>
      </c>
      <c r="D1357" s="0" t="s">
        <v>35</v>
      </c>
      <c r="E1357" s="0" t="s">
        <v>35</v>
      </c>
      <c r="F1357" s="0" t="s">
        <v>36</v>
      </c>
      <c r="G1357" s="0" t="s">
        <v>412</v>
      </c>
      <c r="H1357" s="0" t="s">
        <v>4822</v>
      </c>
      <c r="I1357" s="0" t="s">
        <v>4823</v>
      </c>
      <c r="J1357" s="0" t="s">
        <v>4822</v>
      </c>
      <c r="M1357" s="0" t="s">
        <v>4824</v>
      </c>
      <c r="N1357" s="0" t="n">
        <v>1971</v>
      </c>
      <c r="P1357" s="0" t="n">
        <v>1971</v>
      </c>
      <c r="Q1357" s="0" t="s">
        <v>39</v>
      </c>
      <c r="R1357" s="0" t="s">
        <v>4825</v>
      </c>
      <c r="S1357" s="0" t="s">
        <v>4826</v>
      </c>
      <c r="V1357" s="0" t="n">
        <v>1</v>
      </c>
      <c r="W1357" s="0" t="n">
        <v>1</v>
      </c>
      <c r="X1357" s="0" t="str">
        <f aca="false">"31811003180133"</f>
        <v>31811003180133</v>
      </c>
      <c r="Y1357" s="0" t="s">
        <v>39</v>
      </c>
      <c r="Z1357" s="0" t="s">
        <v>42</v>
      </c>
      <c r="AA1357" s="0" t="s">
        <v>43</v>
      </c>
      <c r="AE1357" s="1" t="s">
        <v>52</v>
      </c>
    </row>
    <row r="1358" customFormat="false" ht="12.8" hidden="false" customHeight="false" outlineLevel="0" collapsed="false">
      <c r="A1358" s="0" t="n">
        <v>71748</v>
      </c>
      <c r="B1358" s="0" t="n">
        <v>77788</v>
      </c>
      <c r="C1358" s="0" t="n">
        <v>86435</v>
      </c>
      <c r="D1358" s="0" t="s">
        <v>35</v>
      </c>
      <c r="E1358" s="0" t="s">
        <v>35</v>
      </c>
      <c r="F1358" s="0" t="s">
        <v>36</v>
      </c>
      <c r="G1358" s="0" t="s">
        <v>37</v>
      </c>
      <c r="H1358" s="0" t="s">
        <v>4827</v>
      </c>
      <c r="I1358" s="0" t="s">
        <v>4828</v>
      </c>
      <c r="J1358" s="0" t="s">
        <v>4829</v>
      </c>
      <c r="L1358" s="0" t="n">
        <v>31082411</v>
      </c>
      <c r="M1358" s="0" t="s">
        <v>4830</v>
      </c>
      <c r="N1358" s="0" t="s">
        <v>326</v>
      </c>
      <c r="O1358" s="0" t="s">
        <v>4831</v>
      </c>
      <c r="P1358" s="0" t="n">
        <v>1973</v>
      </c>
      <c r="Q1358" s="0" t="s">
        <v>39</v>
      </c>
      <c r="R1358" s="0" t="s">
        <v>4832</v>
      </c>
      <c r="S1358" s="0" t="s">
        <v>4833</v>
      </c>
      <c r="V1358" s="0" t="n">
        <v>2</v>
      </c>
      <c r="W1358" s="0" t="n">
        <v>1</v>
      </c>
      <c r="X1358" s="0" t="str">
        <f aca="false">"38888070701846"</f>
        <v>38888070701846</v>
      </c>
      <c r="Y1358" s="0" t="s">
        <v>39</v>
      </c>
      <c r="Z1358" s="0" t="s">
        <v>42</v>
      </c>
      <c r="AA1358" s="0" t="s">
        <v>43</v>
      </c>
      <c r="AE1358" s="1" t="s">
        <v>52</v>
      </c>
    </row>
    <row r="1359" customFormat="false" ht="12.8" hidden="false" customHeight="false" outlineLevel="0" collapsed="false">
      <c r="A1359" s="0" t="n">
        <v>430439</v>
      </c>
      <c r="B1359" s="0" t="n">
        <v>463700</v>
      </c>
      <c r="C1359" s="0" t="n">
        <v>517721</v>
      </c>
      <c r="D1359" s="0" t="s">
        <v>35</v>
      </c>
      <c r="E1359" s="0" t="s">
        <v>35</v>
      </c>
      <c r="F1359" s="0" t="s">
        <v>36</v>
      </c>
      <c r="G1359" s="0" t="s">
        <v>412</v>
      </c>
      <c r="H1359" s="0" t="s">
        <v>4834</v>
      </c>
      <c r="I1359" s="0" t="s">
        <v>4835</v>
      </c>
      <c r="J1359" s="0" t="s">
        <v>4834</v>
      </c>
      <c r="M1359" s="0" t="s">
        <v>4836</v>
      </c>
      <c r="N1359" s="0" t="n">
        <v>1981</v>
      </c>
      <c r="P1359" s="0" t="n">
        <v>1981</v>
      </c>
      <c r="Q1359" s="0" t="s">
        <v>39</v>
      </c>
      <c r="R1359" s="0" t="s">
        <v>4837</v>
      </c>
      <c r="S1359" s="0" t="s">
        <v>4838</v>
      </c>
      <c r="V1359" s="0" t="n">
        <v>1</v>
      </c>
      <c r="W1359" s="0" t="n">
        <v>1</v>
      </c>
      <c r="X1359" s="0" t="str">
        <f aca="false">"31811003180158"</f>
        <v>31811003180158</v>
      </c>
      <c r="Y1359" s="0" t="s">
        <v>39</v>
      </c>
      <c r="Z1359" s="0" t="s">
        <v>42</v>
      </c>
      <c r="AA1359" s="0" t="s">
        <v>43</v>
      </c>
      <c r="AE1359" s="1" t="s">
        <v>52</v>
      </c>
    </row>
    <row r="1360" customFormat="false" ht="12.8" hidden="false" customHeight="false" outlineLevel="0" collapsed="false">
      <c r="A1360" s="0" t="n">
        <v>135283</v>
      </c>
      <c r="B1360" s="0" t="n">
        <v>145829</v>
      </c>
      <c r="C1360" s="0" t="n">
        <v>162400</v>
      </c>
      <c r="D1360" s="0" t="s">
        <v>35</v>
      </c>
      <c r="E1360" s="0" t="s">
        <v>35</v>
      </c>
      <c r="F1360" s="0" t="s">
        <v>36</v>
      </c>
      <c r="G1360" s="0" t="s">
        <v>37</v>
      </c>
      <c r="H1360" s="0" t="s">
        <v>4839</v>
      </c>
      <c r="I1360" s="0" t="s">
        <v>4840</v>
      </c>
      <c r="J1360" s="0" t="s">
        <v>4841</v>
      </c>
      <c r="K1360" s="0" t="s">
        <v>4842</v>
      </c>
      <c r="L1360" s="0" t="n">
        <v>134772407</v>
      </c>
      <c r="M1360" s="0" t="s">
        <v>4843</v>
      </c>
      <c r="N1360" s="0" t="s">
        <v>1469</v>
      </c>
      <c r="O1360" s="0" t="s">
        <v>4844</v>
      </c>
      <c r="P1360" s="0" t="n">
        <v>1978</v>
      </c>
      <c r="Q1360" s="0" t="s">
        <v>39</v>
      </c>
      <c r="R1360" s="0" t="s">
        <v>4845</v>
      </c>
      <c r="S1360" s="0" t="s">
        <v>4846</v>
      </c>
      <c r="V1360" s="0" t="n">
        <v>1</v>
      </c>
      <c r="W1360" s="0" t="n">
        <v>1</v>
      </c>
      <c r="X1360" s="0" t="str">
        <f aca="false">"31811003180166"</f>
        <v>31811003180166</v>
      </c>
      <c r="Y1360" s="0" t="s">
        <v>39</v>
      </c>
      <c r="Z1360" s="0" t="s">
        <v>42</v>
      </c>
      <c r="AA1360" s="0" t="s">
        <v>43</v>
      </c>
      <c r="AE1360" s="1" t="s">
        <v>52</v>
      </c>
    </row>
    <row r="1361" customFormat="false" ht="12.8" hidden="false" customHeight="false" outlineLevel="0" collapsed="false">
      <c r="A1361" s="0" t="n">
        <v>98609</v>
      </c>
      <c r="B1361" s="0" t="n">
        <v>655704</v>
      </c>
      <c r="C1361" s="0" t="n">
        <v>731475</v>
      </c>
      <c r="D1361" s="0" t="s">
        <v>35</v>
      </c>
      <c r="E1361" s="0" t="s">
        <v>35</v>
      </c>
      <c r="F1361" s="0" t="s">
        <v>36</v>
      </c>
      <c r="G1361" s="0" t="s">
        <v>37</v>
      </c>
      <c r="H1361" s="0" t="s">
        <v>4847</v>
      </c>
      <c r="J1361" s="0" t="s">
        <v>4848</v>
      </c>
      <c r="L1361" s="0" t="n">
        <v>931464072</v>
      </c>
      <c r="M1361" s="0" t="s">
        <v>4849</v>
      </c>
      <c r="N1361" s="0" t="s">
        <v>408</v>
      </c>
      <c r="O1361" s="0" t="s">
        <v>4850</v>
      </c>
      <c r="P1361" s="0" t="n">
        <v>1981</v>
      </c>
      <c r="Q1361" s="0" t="s">
        <v>39</v>
      </c>
      <c r="R1361" s="0" t="s">
        <v>4851</v>
      </c>
      <c r="S1361" s="0" t="s">
        <v>4852</v>
      </c>
      <c r="V1361" s="0" t="n">
        <v>2</v>
      </c>
      <c r="W1361" s="0" t="n">
        <v>1</v>
      </c>
      <c r="X1361" s="0" t="str">
        <f aca="false">"31811012518760"</f>
        <v>31811012518760</v>
      </c>
      <c r="Y1361" s="0" t="s">
        <v>39</v>
      </c>
      <c r="Z1361" s="0" t="s">
        <v>42</v>
      </c>
      <c r="AA1361" s="0" t="s">
        <v>43</v>
      </c>
      <c r="AE1361" s="1" t="s">
        <v>52</v>
      </c>
      <c r="AF1361" s="1" t="s">
        <v>4853</v>
      </c>
    </row>
    <row r="1362" customFormat="false" ht="12.8" hidden="false" customHeight="false" outlineLevel="0" collapsed="false">
      <c r="A1362" s="0" t="n">
        <v>556149</v>
      </c>
      <c r="B1362" s="0" t="n">
        <v>661429</v>
      </c>
      <c r="C1362" s="0" t="n">
        <v>737481</v>
      </c>
      <c r="D1362" s="0" t="s">
        <v>35</v>
      </c>
      <c r="E1362" s="0" t="s">
        <v>35</v>
      </c>
      <c r="F1362" s="0" t="s">
        <v>36</v>
      </c>
      <c r="G1362" s="0" t="s">
        <v>500</v>
      </c>
      <c r="H1362" s="0" t="s">
        <v>4854</v>
      </c>
      <c r="I1362" s="0" t="s">
        <v>4855</v>
      </c>
      <c r="J1362" s="0" t="s">
        <v>4856</v>
      </c>
      <c r="L1362" s="0" t="s">
        <v>4857</v>
      </c>
      <c r="M1362" s="0" t="s">
        <v>4858</v>
      </c>
      <c r="N1362" s="0" t="s">
        <v>101</v>
      </c>
      <c r="O1362" s="0" t="s">
        <v>4859</v>
      </c>
      <c r="P1362" s="0" t="n">
        <v>2000</v>
      </c>
      <c r="Q1362" s="0" t="s">
        <v>39</v>
      </c>
      <c r="R1362" s="0" t="s">
        <v>4860</v>
      </c>
      <c r="S1362" s="0" t="s">
        <v>4861</v>
      </c>
      <c r="V1362" s="0" t="n">
        <v>2</v>
      </c>
      <c r="W1362" s="0" t="n">
        <v>1</v>
      </c>
      <c r="X1362" s="0" t="str">
        <f aca="false">"31811012995646"</f>
        <v>31811012995646</v>
      </c>
      <c r="Y1362" s="0" t="s">
        <v>39</v>
      </c>
      <c r="Z1362" s="0" t="s">
        <v>42</v>
      </c>
      <c r="AA1362" s="0" t="s">
        <v>43</v>
      </c>
      <c r="AE1362" s="1" t="s">
        <v>52</v>
      </c>
    </row>
    <row r="1363" customFormat="false" ht="12.8" hidden="false" customHeight="false" outlineLevel="0" collapsed="false">
      <c r="A1363" s="0" t="n">
        <v>33400</v>
      </c>
      <c r="B1363" s="0" t="n">
        <v>36550</v>
      </c>
      <c r="C1363" s="0" t="n">
        <v>40694</v>
      </c>
      <c r="D1363" s="0" t="s">
        <v>35</v>
      </c>
      <c r="E1363" s="0" t="s">
        <v>35</v>
      </c>
      <c r="F1363" s="0" t="s">
        <v>36</v>
      </c>
      <c r="G1363" s="0" t="s">
        <v>37</v>
      </c>
      <c r="H1363" s="0" t="s">
        <v>4862</v>
      </c>
      <c r="I1363" s="0" t="s">
        <v>4863</v>
      </c>
      <c r="J1363" s="0" t="s">
        <v>4864</v>
      </c>
      <c r="M1363" s="0" t="s">
        <v>4865</v>
      </c>
      <c r="N1363" s="0" t="s">
        <v>4866</v>
      </c>
      <c r="O1363" s="0" t="s">
        <v>4867</v>
      </c>
      <c r="P1363" s="0" t="n">
        <v>1941</v>
      </c>
      <c r="Q1363" s="0" t="s">
        <v>39</v>
      </c>
      <c r="R1363" s="0" t="s">
        <v>4868</v>
      </c>
      <c r="S1363" s="0" t="s">
        <v>4869</v>
      </c>
      <c r="V1363" s="0" t="n">
        <v>1</v>
      </c>
      <c r="W1363" s="0" t="n">
        <v>1</v>
      </c>
      <c r="X1363" s="0" t="str">
        <f aca="false">"31811010386483"</f>
        <v>31811010386483</v>
      </c>
      <c r="Y1363" s="0" t="s">
        <v>39</v>
      </c>
      <c r="Z1363" s="0" t="s">
        <v>42</v>
      </c>
      <c r="AA1363" s="0" t="s">
        <v>43</v>
      </c>
      <c r="AE1363" s="1" t="s">
        <v>52</v>
      </c>
    </row>
    <row r="1364" customFormat="false" ht="12.8" hidden="false" customHeight="false" outlineLevel="0" collapsed="false">
      <c r="A1364" s="0" t="n">
        <v>238876</v>
      </c>
      <c r="B1364" s="0" t="n">
        <v>261839</v>
      </c>
      <c r="C1364" s="0" t="n">
        <v>294471</v>
      </c>
      <c r="D1364" s="0" t="s">
        <v>35</v>
      </c>
      <c r="E1364" s="0" t="s">
        <v>35</v>
      </c>
      <c r="F1364" s="0" t="s">
        <v>36</v>
      </c>
      <c r="G1364" s="0" t="s">
        <v>37</v>
      </c>
      <c r="H1364" s="0" t="s">
        <v>4870</v>
      </c>
      <c r="I1364" s="0" t="s">
        <v>4871</v>
      </c>
      <c r="J1364" s="0" t="s">
        <v>4870</v>
      </c>
      <c r="M1364" s="0" t="s">
        <v>4872</v>
      </c>
      <c r="N1364" s="0" t="n">
        <v>1964</v>
      </c>
      <c r="O1364" s="0" t="s">
        <v>4873</v>
      </c>
      <c r="P1364" s="0" t="n">
        <v>1964</v>
      </c>
      <c r="Q1364" s="0" t="s">
        <v>39</v>
      </c>
      <c r="R1364" s="0" t="s">
        <v>4874</v>
      </c>
      <c r="S1364" s="0" t="s">
        <v>4875</v>
      </c>
      <c r="V1364" s="0" t="n">
        <v>1</v>
      </c>
      <c r="W1364" s="0" t="n">
        <v>1</v>
      </c>
      <c r="X1364" s="0" t="str">
        <f aca="false">"31811010386418"</f>
        <v>31811010386418</v>
      </c>
      <c r="Y1364" s="0" t="s">
        <v>39</v>
      </c>
      <c r="Z1364" s="0" t="s">
        <v>42</v>
      </c>
      <c r="AA1364" s="0" t="s">
        <v>43</v>
      </c>
      <c r="AE1364" s="1" t="s">
        <v>52</v>
      </c>
    </row>
    <row r="1365" customFormat="false" ht="12.8" hidden="false" customHeight="false" outlineLevel="0" collapsed="false">
      <c r="A1365" s="0" t="n">
        <v>285803</v>
      </c>
      <c r="B1365" s="0" t="n">
        <v>312331</v>
      </c>
      <c r="C1365" s="0" t="n">
        <v>349703</v>
      </c>
      <c r="D1365" s="0" t="s">
        <v>35</v>
      </c>
      <c r="E1365" s="0" t="s">
        <v>35</v>
      </c>
      <c r="F1365" s="0" t="s">
        <v>36</v>
      </c>
      <c r="G1365" s="0" t="s">
        <v>37</v>
      </c>
      <c r="H1365" s="0" t="s">
        <v>4876</v>
      </c>
      <c r="I1365" s="0" t="s">
        <v>4877</v>
      </c>
      <c r="J1365" s="0" t="s">
        <v>4876</v>
      </c>
      <c r="M1365" s="0" t="s">
        <v>4878</v>
      </c>
      <c r="N1365" s="0" t="s">
        <v>282</v>
      </c>
      <c r="O1365" s="0" t="s">
        <v>4879</v>
      </c>
      <c r="P1365" s="0" t="n">
        <v>1963</v>
      </c>
      <c r="Q1365" s="0" t="s">
        <v>39</v>
      </c>
      <c r="R1365" s="0" t="s">
        <v>4880</v>
      </c>
      <c r="S1365" s="0" t="s">
        <v>4881</v>
      </c>
      <c r="V1365" s="0" t="n">
        <v>1</v>
      </c>
      <c r="W1365" s="0" t="n">
        <v>1</v>
      </c>
      <c r="X1365" s="0" t="str">
        <f aca="false">"31811010385972"</f>
        <v>31811010385972</v>
      </c>
      <c r="Y1365" s="0" t="s">
        <v>39</v>
      </c>
      <c r="Z1365" s="0" t="s">
        <v>42</v>
      </c>
      <c r="AA1365" s="0" t="s">
        <v>43</v>
      </c>
      <c r="AE1365" s="1" t="s">
        <v>52</v>
      </c>
    </row>
    <row r="1366" customFormat="false" ht="12.8" hidden="false" customHeight="false" outlineLevel="0" collapsed="false">
      <c r="A1366" s="0" t="n">
        <v>285803</v>
      </c>
      <c r="B1366" s="0" t="n">
        <v>312332</v>
      </c>
      <c r="C1366" s="0" t="n">
        <v>349704</v>
      </c>
      <c r="D1366" s="0" t="s">
        <v>35</v>
      </c>
      <c r="E1366" s="0" t="s">
        <v>35</v>
      </c>
      <c r="F1366" s="0" t="s">
        <v>36</v>
      </c>
      <c r="G1366" s="0" t="s">
        <v>37</v>
      </c>
      <c r="H1366" s="0" t="s">
        <v>4876</v>
      </c>
      <c r="I1366" s="0" t="s">
        <v>4877</v>
      </c>
      <c r="J1366" s="0" t="s">
        <v>4876</v>
      </c>
      <c r="M1366" s="0" t="s">
        <v>4878</v>
      </c>
      <c r="N1366" s="0" t="s">
        <v>282</v>
      </c>
      <c r="O1366" s="0" t="s">
        <v>4879</v>
      </c>
      <c r="P1366" s="0" t="n">
        <v>1963</v>
      </c>
      <c r="Q1366" s="0" t="s">
        <v>39</v>
      </c>
      <c r="R1366" s="0" t="s">
        <v>4880</v>
      </c>
      <c r="S1366" s="0" t="s">
        <v>4881</v>
      </c>
      <c r="V1366" s="0" t="n">
        <v>2</v>
      </c>
      <c r="W1366" s="0" t="n">
        <v>1</v>
      </c>
      <c r="X1366" s="0" t="str">
        <f aca="false">"31811010386012"</f>
        <v>31811010386012</v>
      </c>
      <c r="Y1366" s="0" t="s">
        <v>39</v>
      </c>
      <c r="Z1366" s="0" t="s">
        <v>42</v>
      </c>
      <c r="AA1366" s="0" t="s">
        <v>43</v>
      </c>
      <c r="AE1366" s="1" t="s">
        <v>52</v>
      </c>
    </row>
    <row r="1367" customFormat="false" ht="12.8" hidden="false" customHeight="false" outlineLevel="0" collapsed="false">
      <c r="A1367" s="0" t="n">
        <v>399623</v>
      </c>
      <c r="B1367" s="0" t="n">
        <v>431479</v>
      </c>
      <c r="C1367" s="0" t="n">
        <v>480991</v>
      </c>
      <c r="D1367" s="0" t="s">
        <v>35</v>
      </c>
      <c r="E1367" s="0" t="s">
        <v>35</v>
      </c>
      <c r="F1367" s="0" t="s">
        <v>36</v>
      </c>
      <c r="G1367" s="0" t="s">
        <v>412</v>
      </c>
      <c r="H1367" s="0" t="s">
        <v>4882</v>
      </c>
      <c r="I1367" s="0" t="s">
        <v>4883</v>
      </c>
      <c r="J1367" s="0" t="s">
        <v>4882</v>
      </c>
      <c r="K1367" s="0" t="s">
        <v>4884</v>
      </c>
      <c r="M1367" s="0" t="s">
        <v>4885</v>
      </c>
      <c r="N1367" s="0" t="n">
        <v>1915</v>
      </c>
      <c r="P1367" s="0" t="n">
        <v>1915</v>
      </c>
      <c r="Q1367" s="0" t="s">
        <v>39</v>
      </c>
      <c r="R1367" s="0" t="s">
        <v>4886</v>
      </c>
      <c r="S1367" s="0" t="s">
        <v>4887</v>
      </c>
      <c r="V1367" s="0" t="n">
        <v>1</v>
      </c>
      <c r="W1367" s="0" t="n">
        <v>1</v>
      </c>
      <c r="X1367" s="0" t="str">
        <f aca="false">"31811010369034"</f>
        <v>31811010369034</v>
      </c>
      <c r="Y1367" s="0" t="s">
        <v>39</v>
      </c>
      <c r="Z1367" s="0" t="s">
        <v>42</v>
      </c>
      <c r="AA1367" s="0" t="s">
        <v>43</v>
      </c>
      <c r="AE1367" s="1" t="s">
        <v>52</v>
      </c>
    </row>
    <row r="1368" customFormat="false" ht="12.8" hidden="false" customHeight="false" outlineLevel="0" collapsed="false">
      <c r="A1368" s="0" t="n">
        <v>502884</v>
      </c>
      <c r="B1368" s="0" t="n">
        <v>484262</v>
      </c>
      <c r="C1368" s="0" t="n">
        <v>542604</v>
      </c>
      <c r="D1368" s="0" t="s">
        <v>35</v>
      </c>
      <c r="E1368" s="0" t="s">
        <v>35</v>
      </c>
      <c r="F1368" s="0" t="s">
        <v>36</v>
      </c>
      <c r="G1368" s="0" t="s">
        <v>227</v>
      </c>
      <c r="H1368" s="0" t="s">
        <v>4888</v>
      </c>
      <c r="I1368" s="0" t="s">
        <v>4889</v>
      </c>
      <c r="J1368" s="0" t="s">
        <v>4888</v>
      </c>
      <c r="M1368" s="0" t="s">
        <v>4890</v>
      </c>
      <c r="N1368" s="0" t="n">
        <v>1916</v>
      </c>
      <c r="O1368" s="0" t="s">
        <v>4891</v>
      </c>
      <c r="P1368" s="0" t="n">
        <v>1916</v>
      </c>
      <c r="Q1368" s="0" t="s">
        <v>39</v>
      </c>
      <c r="R1368" s="0" t="s">
        <v>4892</v>
      </c>
      <c r="S1368" s="0" t="s">
        <v>4893</v>
      </c>
      <c r="V1368" s="0" t="n">
        <v>1</v>
      </c>
      <c r="W1368" s="0" t="n">
        <v>1</v>
      </c>
      <c r="X1368" s="0" t="str">
        <f aca="false">"31811010368986"</f>
        <v>31811010368986</v>
      </c>
      <c r="Y1368" s="0" t="s">
        <v>39</v>
      </c>
      <c r="Z1368" s="0" t="s">
        <v>42</v>
      </c>
      <c r="AA1368" s="0" t="s">
        <v>43</v>
      </c>
      <c r="AE1368" s="1" t="s">
        <v>52</v>
      </c>
    </row>
    <row r="1369" customFormat="false" ht="12.8" hidden="false" customHeight="false" outlineLevel="0" collapsed="false">
      <c r="A1369" s="0" t="n">
        <v>450275</v>
      </c>
      <c r="B1369" s="0" t="n">
        <v>536312</v>
      </c>
      <c r="C1369" s="0" t="n">
        <v>603062</v>
      </c>
      <c r="D1369" s="0" t="s">
        <v>35</v>
      </c>
      <c r="E1369" s="0" t="s">
        <v>35</v>
      </c>
      <c r="F1369" s="0" t="s">
        <v>36</v>
      </c>
      <c r="G1369" s="0" t="s">
        <v>412</v>
      </c>
      <c r="H1369" s="0" t="s">
        <v>4894</v>
      </c>
      <c r="I1369" s="0" t="s">
        <v>4895</v>
      </c>
      <c r="J1369" s="0" t="s">
        <v>4894</v>
      </c>
      <c r="M1369" s="0" t="s">
        <v>4896</v>
      </c>
      <c r="N1369" s="0" t="n">
        <v>1958</v>
      </c>
      <c r="P1369" s="0" t="n">
        <v>1958</v>
      </c>
      <c r="Q1369" s="0" t="s">
        <v>39</v>
      </c>
      <c r="R1369" s="0" t="s">
        <v>4897</v>
      </c>
      <c r="S1369" s="0" t="s">
        <v>4898</v>
      </c>
      <c r="V1369" s="0" t="n">
        <v>1</v>
      </c>
      <c r="W1369" s="0" t="n">
        <v>1</v>
      </c>
      <c r="X1369" s="0" t="str">
        <f aca="false">"31811010368994"</f>
        <v>31811010368994</v>
      </c>
      <c r="Y1369" s="0" t="s">
        <v>39</v>
      </c>
      <c r="Z1369" s="0" t="s">
        <v>42</v>
      </c>
      <c r="AA1369" s="0" t="s">
        <v>43</v>
      </c>
      <c r="AE1369" s="1" t="s">
        <v>52</v>
      </c>
    </row>
    <row r="1370" customFormat="false" ht="12.8" hidden="false" customHeight="false" outlineLevel="0" collapsed="false">
      <c r="A1370" s="0" t="n">
        <v>215463</v>
      </c>
      <c r="B1370" s="0" t="n">
        <v>236376</v>
      </c>
      <c r="C1370" s="0" t="n">
        <v>266095</v>
      </c>
      <c r="D1370" s="0" t="s">
        <v>35</v>
      </c>
      <c r="E1370" s="0" t="s">
        <v>35</v>
      </c>
      <c r="F1370" s="0" t="s">
        <v>480</v>
      </c>
      <c r="G1370" s="0" t="s">
        <v>37</v>
      </c>
      <c r="H1370" s="0" t="s">
        <v>4899</v>
      </c>
      <c r="I1370" s="0" t="s">
        <v>1527</v>
      </c>
      <c r="J1370" s="0" t="s">
        <v>4900</v>
      </c>
      <c r="M1370" s="0" t="s">
        <v>4901</v>
      </c>
      <c r="N1370" s="1" t="s">
        <v>4902</v>
      </c>
      <c r="O1370" s="0" t="s">
        <v>1668</v>
      </c>
      <c r="P1370" s="0" t="n">
        <v>1947</v>
      </c>
      <c r="Q1370" s="0" t="s">
        <v>39</v>
      </c>
      <c r="R1370" s="0" t="s">
        <v>4903</v>
      </c>
      <c r="S1370" s="0" t="s">
        <v>4904</v>
      </c>
      <c r="T1370" s="0" t="n">
        <v>1954</v>
      </c>
      <c r="V1370" s="0" t="n">
        <v>1</v>
      </c>
      <c r="W1370" s="0" t="n">
        <v>1</v>
      </c>
      <c r="X1370" s="0" t="str">
        <f aca="false">"31811012018738"</f>
        <v>31811012018738</v>
      </c>
      <c r="Y1370" s="0" t="s">
        <v>39</v>
      </c>
      <c r="Z1370" s="0" t="s">
        <v>42</v>
      </c>
      <c r="AA1370" s="0" t="s">
        <v>622</v>
      </c>
      <c r="AE1370" s="1" t="s">
        <v>52</v>
      </c>
    </row>
    <row r="1371" customFormat="false" ht="12.8" hidden="false" customHeight="false" outlineLevel="0" collapsed="false">
      <c r="A1371" s="0" t="n">
        <v>215463</v>
      </c>
      <c r="B1371" s="0" t="n">
        <v>236376</v>
      </c>
      <c r="C1371" s="0" t="n">
        <v>266096</v>
      </c>
      <c r="D1371" s="0" t="s">
        <v>35</v>
      </c>
      <c r="E1371" s="0" t="s">
        <v>35</v>
      </c>
      <c r="F1371" s="0" t="s">
        <v>480</v>
      </c>
      <c r="G1371" s="0" t="s">
        <v>37</v>
      </c>
      <c r="H1371" s="0" t="s">
        <v>4899</v>
      </c>
      <c r="I1371" s="0" t="s">
        <v>1527</v>
      </c>
      <c r="J1371" s="0" t="s">
        <v>4900</v>
      </c>
      <c r="M1371" s="0" t="s">
        <v>4901</v>
      </c>
      <c r="N1371" s="1" t="s">
        <v>4902</v>
      </c>
      <c r="O1371" s="0" t="s">
        <v>1668</v>
      </c>
      <c r="P1371" s="0" t="n">
        <v>1947</v>
      </c>
      <c r="Q1371" s="0" t="s">
        <v>39</v>
      </c>
      <c r="R1371" s="0" t="s">
        <v>4903</v>
      </c>
      <c r="S1371" s="0" t="s">
        <v>4904</v>
      </c>
      <c r="T1371" s="0" t="s">
        <v>3424</v>
      </c>
      <c r="V1371" s="0" t="n">
        <v>1</v>
      </c>
      <c r="W1371" s="0" t="n">
        <v>1</v>
      </c>
      <c r="X1371" s="0" t="str">
        <f aca="false">"31811012027622"</f>
        <v>31811012027622</v>
      </c>
      <c r="Y1371" s="0" t="s">
        <v>39</v>
      </c>
      <c r="Z1371" s="0" t="s">
        <v>42</v>
      </c>
      <c r="AA1371" s="0" t="s">
        <v>622</v>
      </c>
      <c r="AE1371" s="1" t="s">
        <v>52</v>
      </c>
    </row>
    <row r="1372" customFormat="false" ht="12.8" hidden="false" customHeight="false" outlineLevel="0" collapsed="false">
      <c r="A1372" s="0" t="n">
        <v>215463</v>
      </c>
      <c r="B1372" s="0" t="n">
        <v>236376</v>
      </c>
      <c r="C1372" s="0" t="n">
        <v>266097</v>
      </c>
      <c r="D1372" s="0" t="s">
        <v>35</v>
      </c>
      <c r="E1372" s="0" t="s">
        <v>35</v>
      </c>
      <c r="F1372" s="0" t="s">
        <v>480</v>
      </c>
      <c r="G1372" s="0" t="s">
        <v>37</v>
      </c>
      <c r="H1372" s="0" t="s">
        <v>4899</v>
      </c>
      <c r="I1372" s="0" t="s">
        <v>1527</v>
      </c>
      <c r="J1372" s="0" t="s">
        <v>4900</v>
      </c>
      <c r="M1372" s="0" t="s">
        <v>4901</v>
      </c>
      <c r="N1372" s="1" t="s">
        <v>4902</v>
      </c>
      <c r="O1372" s="0" t="s">
        <v>1668</v>
      </c>
      <c r="P1372" s="0" t="n">
        <v>1947</v>
      </c>
      <c r="Q1372" s="0" t="s">
        <v>39</v>
      </c>
      <c r="R1372" s="0" t="s">
        <v>4903</v>
      </c>
      <c r="S1372" s="0" t="s">
        <v>4904</v>
      </c>
      <c r="T1372" s="0" t="s">
        <v>4905</v>
      </c>
      <c r="V1372" s="0" t="n">
        <v>1</v>
      </c>
      <c r="W1372" s="0" t="n">
        <v>1</v>
      </c>
      <c r="X1372" s="0" t="str">
        <f aca="false">"31811012027614"</f>
        <v>31811012027614</v>
      </c>
      <c r="Y1372" s="0" t="s">
        <v>39</v>
      </c>
      <c r="Z1372" s="0" t="s">
        <v>42</v>
      </c>
      <c r="AA1372" s="0" t="s">
        <v>622</v>
      </c>
      <c r="AE1372" s="1" t="s">
        <v>52</v>
      </c>
    </row>
    <row r="1373" customFormat="false" ht="12.8" hidden="false" customHeight="false" outlineLevel="0" collapsed="false">
      <c r="A1373" s="0" t="n">
        <v>215463</v>
      </c>
      <c r="B1373" s="0" t="n">
        <v>236376</v>
      </c>
      <c r="C1373" s="0" t="n">
        <v>266098</v>
      </c>
      <c r="D1373" s="0" t="s">
        <v>35</v>
      </c>
      <c r="E1373" s="0" t="s">
        <v>35</v>
      </c>
      <c r="F1373" s="0" t="s">
        <v>480</v>
      </c>
      <c r="G1373" s="0" t="s">
        <v>37</v>
      </c>
      <c r="H1373" s="0" t="s">
        <v>4899</v>
      </c>
      <c r="I1373" s="0" t="s">
        <v>1527</v>
      </c>
      <c r="J1373" s="0" t="s">
        <v>4900</v>
      </c>
      <c r="M1373" s="0" t="s">
        <v>4901</v>
      </c>
      <c r="N1373" s="1" t="s">
        <v>4902</v>
      </c>
      <c r="O1373" s="0" t="s">
        <v>1668</v>
      </c>
      <c r="P1373" s="0" t="n">
        <v>1947</v>
      </c>
      <c r="Q1373" s="0" t="s">
        <v>39</v>
      </c>
      <c r="R1373" s="0" t="s">
        <v>4903</v>
      </c>
      <c r="S1373" s="0" t="s">
        <v>4904</v>
      </c>
      <c r="T1373" s="0" t="n">
        <v>1961</v>
      </c>
      <c r="V1373" s="0" t="n">
        <v>1</v>
      </c>
      <c r="W1373" s="0" t="n">
        <v>1</v>
      </c>
      <c r="X1373" s="0" t="str">
        <f aca="false">"31811012027937"</f>
        <v>31811012027937</v>
      </c>
      <c r="Y1373" s="0" t="s">
        <v>39</v>
      </c>
      <c r="Z1373" s="0" t="s">
        <v>42</v>
      </c>
      <c r="AA1373" s="0" t="s">
        <v>622</v>
      </c>
      <c r="AE1373" s="1" t="s">
        <v>52</v>
      </c>
    </row>
    <row r="1374" customFormat="false" ht="12.8" hidden="false" customHeight="false" outlineLevel="0" collapsed="false">
      <c r="A1374" s="0" t="n">
        <v>215463</v>
      </c>
      <c r="B1374" s="0" t="n">
        <v>236376</v>
      </c>
      <c r="C1374" s="0" t="n">
        <v>266099</v>
      </c>
      <c r="D1374" s="0" t="s">
        <v>35</v>
      </c>
      <c r="E1374" s="0" t="s">
        <v>35</v>
      </c>
      <c r="F1374" s="0" t="s">
        <v>480</v>
      </c>
      <c r="G1374" s="0" t="s">
        <v>37</v>
      </c>
      <c r="H1374" s="0" t="s">
        <v>4899</v>
      </c>
      <c r="I1374" s="0" t="s">
        <v>1527</v>
      </c>
      <c r="J1374" s="0" t="s">
        <v>4900</v>
      </c>
      <c r="M1374" s="0" t="s">
        <v>4901</v>
      </c>
      <c r="N1374" s="1" t="s">
        <v>4902</v>
      </c>
      <c r="O1374" s="0" t="s">
        <v>1668</v>
      </c>
      <c r="P1374" s="0" t="n">
        <v>1947</v>
      </c>
      <c r="Q1374" s="0" t="s">
        <v>39</v>
      </c>
      <c r="R1374" s="0" t="s">
        <v>4903</v>
      </c>
      <c r="S1374" s="0" t="s">
        <v>4904</v>
      </c>
      <c r="T1374" s="0" t="n">
        <v>1962</v>
      </c>
      <c r="V1374" s="0" t="n">
        <v>1</v>
      </c>
      <c r="W1374" s="0" t="n">
        <v>1</v>
      </c>
      <c r="X1374" s="0" t="str">
        <f aca="false">"31811012027945"</f>
        <v>31811012027945</v>
      </c>
      <c r="Y1374" s="0" t="s">
        <v>39</v>
      </c>
      <c r="Z1374" s="0" t="s">
        <v>42</v>
      </c>
      <c r="AA1374" s="0" t="s">
        <v>622</v>
      </c>
      <c r="AE1374" s="1" t="s">
        <v>52</v>
      </c>
    </row>
    <row r="1375" customFormat="false" ht="12.8" hidden="false" customHeight="false" outlineLevel="0" collapsed="false">
      <c r="A1375" s="0" t="n">
        <v>215463</v>
      </c>
      <c r="B1375" s="0" t="n">
        <v>236376</v>
      </c>
      <c r="C1375" s="0" t="n">
        <v>266100</v>
      </c>
      <c r="D1375" s="0" t="s">
        <v>35</v>
      </c>
      <c r="E1375" s="0" t="s">
        <v>35</v>
      </c>
      <c r="F1375" s="0" t="s">
        <v>480</v>
      </c>
      <c r="G1375" s="0" t="s">
        <v>37</v>
      </c>
      <c r="H1375" s="0" t="s">
        <v>4899</v>
      </c>
      <c r="I1375" s="0" t="s">
        <v>1527</v>
      </c>
      <c r="J1375" s="0" t="s">
        <v>4900</v>
      </c>
      <c r="M1375" s="0" t="s">
        <v>4901</v>
      </c>
      <c r="N1375" s="1" t="s">
        <v>4902</v>
      </c>
      <c r="O1375" s="0" t="s">
        <v>1668</v>
      </c>
      <c r="P1375" s="0" t="n">
        <v>1947</v>
      </c>
      <c r="Q1375" s="0" t="s">
        <v>39</v>
      </c>
      <c r="R1375" s="0" t="s">
        <v>4903</v>
      </c>
      <c r="S1375" s="0" t="s">
        <v>4904</v>
      </c>
      <c r="T1375" s="0" t="n">
        <v>1963</v>
      </c>
      <c r="V1375" s="0" t="n">
        <v>1</v>
      </c>
      <c r="W1375" s="0" t="n">
        <v>1</v>
      </c>
      <c r="X1375" s="0" t="str">
        <f aca="false">"31811012027952"</f>
        <v>31811012027952</v>
      </c>
      <c r="Y1375" s="0" t="s">
        <v>39</v>
      </c>
      <c r="Z1375" s="0" t="s">
        <v>42</v>
      </c>
      <c r="AA1375" s="0" t="s">
        <v>622</v>
      </c>
      <c r="AE1375" s="1" t="s">
        <v>52</v>
      </c>
    </row>
    <row r="1376" customFormat="false" ht="12.8" hidden="false" customHeight="false" outlineLevel="0" collapsed="false">
      <c r="A1376" s="0" t="n">
        <v>215463</v>
      </c>
      <c r="B1376" s="0" t="n">
        <v>236376</v>
      </c>
      <c r="C1376" s="0" t="n">
        <v>266101</v>
      </c>
      <c r="D1376" s="0" t="s">
        <v>35</v>
      </c>
      <c r="E1376" s="0" t="s">
        <v>35</v>
      </c>
      <c r="F1376" s="0" t="s">
        <v>480</v>
      </c>
      <c r="G1376" s="0" t="s">
        <v>37</v>
      </c>
      <c r="H1376" s="0" t="s">
        <v>4899</v>
      </c>
      <c r="I1376" s="0" t="s">
        <v>1527</v>
      </c>
      <c r="J1376" s="0" t="s">
        <v>4900</v>
      </c>
      <c r="M1376" s="0" t="s">
        <v>4901</v>
      </c>
      <c r="N1376" s="1" t="s">
        <v>4902</v>
      </c>
      <c r="O1376" s="0" t="s">
        <v>1668</v>
      </c>
      <c r="P1376" s="0" t="n">
        <v>1947</v>
      </c>
      <c r="Q1376" s="0" t="s">
        <v>39</v>
      </c>
      <c r="R1376" s="0" t="s">
        <v>4903</v>
      </c>
      <c r="S1376" s="0" t="s">
        <v>4904</v>
      </c>
      <c r="T1376" s="0" t="n">
        <v>1964</v>
      </c>
      <c r="V1376" s="0" t="n">
        <v>1</v>
      </c>
      <c r="W1376" s="0" t="n">
        <v>1</v>
      </c>
      <c r="X1376" s="0" t="str">
        <f aca="false">"31811012028281"</f>
        <v>31811012028281</v>
      </c>
      <c r="Y1376" s="0" t="s">
        <v>39</v>
      </c>
      <c r="Z1376" s="0" t="s">
        <v>42</v>
      </c>
      <c r="AA1376" s="0" t="s">
        <v>622</v>
      </c>
      <c r="AE1376" s="1" t="s">
        <v>52</v>
      </c>
    </row>
    <row r="1377" customFormat="false" ht="12.8" hidden="false" customHeight="false" outlineLevel="0" collapsed="false">
      <c r="A1377" s="0" t="n">
        <v>215463</v>
      </c>
      <c r="B1377" s="0" t="n">
        <v>236376</v>
      </c>
      <c r="C1377" s="0" t="n">
        <v>266102</v>
      </c>
      <c r="D1377" s="0" t="s">
        <v>35</v>
      </c>
      <c r="E1377" s="0" t="s">
        <v>35</v>
      </c>
      <c r="F1377" s="0" t="s">
        <v>480</v>
      </c>
      <c r="G1377" s="0" t="s">
        <v>37</v>
      </c>
      <c r="H1377" s="0" t="s">
        <v>4899</v>
      </c>
      <c r="I1377" s="0" t="s">
        <v>1527</v>
      </c>
      <c r="J1377" s="0" t="s">
        <v>4900</v>
      </c>
      <c r="M1377" s="0" t="s">
        <v>4901</v>
      </c>
      <c r="N1377" s="1" t="s">
        <v>4902</v>
      </c>
      <c r="O1377" s="0" t="s">
        <v>1668</v>
      </c>
      <c r="P1377" s="0" t="n">
        <v>1947</v>
      </c>
      <c r="Q1377" s="0" t="s">
        <v>39</v>
      </c>
      <c r="R1377" s="0" t="s">
        <v>4903</v>
      </c>
      <c r="S1377" s="0" t="s">
        <v>4904</v>
      </c>
      <c r="T1377" s="0" t="n">
        <v>1965</v>
      </c>
      <c r="V1377" s="0" t="n">
        <v>1</v>
      </c>
      <c r="W1377" s="0" t="n">
        <v>1</v>
      </c>
      <c r="X1377" s="0" t="str">
        <f aca="false">"31811012028273"</f>
        <v>31811012028273</v>
      </c>
      <c r="Y1377" s="0" t="s">
        <v>39</v>
      </c>
      <c r="Z1377" s="0" t="s">
        <v>42</v>
      </c>
      <c r="AA1377" s="0" t="s">
        <v>622</v>
      </c>
      <c r="AE1377" s="1" t="s">
        <v>52</v>
      </c>
    </row>
    <row r="1378" customFormat="false" ht="12.8" hidden="false" customHeight="false" outlineLevel="0" collapsed="false">
      <c r="A1378" s="0" t="n">
        <v>215463</v>
      </c>
      <c r="B1378" s="0" t="n">
        <v>236376</v>
      </c>
      <c r="C1378" s="0" t="n">
        <v>266103</v>
      </c>
      <c r="D1378" s="0" t="s">
        <v>35</v>
      </c>
      <c r="E1378" s="0" t="s">
        <v>35</v>
      </c>
      <c r="F1378" s="0" t="s">
        <v>480</v>
      </c>
      <c r="G1378" s="0" t="s">
        <v>37</v>
      </c>
      <c r="H1378" s="0" t="s">
        <v>4899</v>
      </c>
      <c r="I1378" s="0" t="s">
        <v>1527</v>
      </c>
      <c r="J1378" s="0" t="s">
        <v>4900</v>
      </c>
      <c r="M1378" s="0" t="s">
        <v>4901</v>
      </c>
      <c r="N1378" s="1" t="s">
        <v>4902</v>
      </c>
      <c r="O1378" s="0" t="s">
        <v>1668</v>
      </c>
      <c r="P1378" s="0" t="n">
        <v>1947</v>
      </c>
      <c r="Q1378" s="0" t="s">
        <v>39</v>
      </c>
      <c r="R1378" s="0" t="s">
        <v>4903</v>
      </c>
      <c r="S1378" s="0" t="s">
        <v>4904</v>
      </c>
      <c r="T1378" s="0" t="n">
        <v>1966</v>
      </c>
      <c r="V1378" s="0" t="n">
        <v>1</v>
      </c>
      <c r="W1378" s="0" t="n">
        <v>1</v>
      </c>
      <c r="X1378" s="0" t="str">
        <f aca="false">"31811012028265"</f>
        <v>31811012028265</v>
      </c>
      <c r="Y1378" s="0" t="s">
        <v>39</v>
      </c>
      <c r="Z1378" s="0" t="s">
        <v>42</v>
      </c>
      <c r="AA1378" s="0" t="s">
        <v>622</v>
      </c>
      <c r="AE1378" s="1" t="s">
        <v>52</v>
      </c>
    </row>
    <row r="1379" customFormat="false" ht="12.8" hidden="false" customHeight="false" outlineLevel="0" collapsed="false">
      <c r="A1379" s="0" t="n">
        <v>215463</v>
      </c>
      <c r="B1379" s="0" t="n">
        <v>236376</v>
      </c>
      <c r="C1379" s="0" t="n">
        <v>266104</v>
      </c>
      <c r="D1379" s="0" t="s">
        <v>35</v>
      </c>
      <c r="E1379" s="0" t="s">
        <v>35</v>
      </c>
      <c r="F1379" s="0" t="s">
        <v>480</v>
      </c>
      <c r="G1379" s="0" t="s">
        <v>37</v>
      </c>
      <c r="H1379" s="0" t="s">
        <v>4899</v>
      </c>
      <c r="I1379" s="0" t="s">
        <v>1527</v>
      </c>
      <c r="J1379" s="0" t="s">
        <v>4900</v>
      </c>
      <c r="M1379" s="0" t="s">
        <v>4901</v>
      </c>
      <c r="N1379" s="1" t="s">
        <v>4902</v>
      </c>
      <c r="O1379" s="0" t="s">
        <v>1668</v>
      </c>
      <c r="P1379" s="0" t="n">
        <v>1947</v>
      </c>
      <c r="Q1379" s="0" t="s">
        <v>39</v>
      </c>
      <c r="R1379" s="0" t="s">
        <v>4903</v>
      </c>
      <c r="S1379" s="0" t="s">
        <v>4904</v>
      </c>
      <c r="T1379" s="0" t="n">
        <v>1967</v>
      </c>
      <c r="V1379" s="0" t="n">
        <v>1</v>
      </c>
      <c r="W1379" s="0" t="n">
        <v>1</v>
      </c>
      <c r="X1379" s="0" t="str">
        <f aca="false">"31811012028257"</f>
        <v>31811012028257</v>
      </c>
      <c r="Y1379" s="0" t="s">
        <v>39</v>
      </c>
      <c r="Z1379" s="0" t="s">
        <v>42</v>
      </c>
      <c r="AA1379" s="0" t="s">
        <v>622</v>
      </c>
      <c r="AE1379" s="1" t="s">
        <v>52</v>
      </c>
    </row>
    <row r="1380" customFormat="false" ht="12.8" hidden="false" customHeight="false" outlineLevel="0" collapsed="false">
      <c r="A1380" s="0" t="n">
        <v>215463</v>
      </c>
      <c r="B1380" s="0" t="n">
        <v>236376</v>
      </c>
      <c r="C1380" s="0" t="n">
        <v>266105</v>
      </c>
      <c r="D1380" s="0" t="s">
        <v>35</v>
      </c>
      <c r="E1380" s="0" t="s">
        <v>35</v>
      </c>
      <c r="F1380" s="0" t="s">
        <v>480</v>
      </c>
      <c r="G1380" s="0" t="s">
        <v>37</v>
      </c>
      <c r="H1380" s="0" t="s">
        <v>4899</v>
      </c>
      <c r="I1380" s="0" t="s">
        <v>1527</v>
      </c>
      <c r="J1380" s="0" t="s">
        <v>4900</v>
      </c>
      <c r="M1380" s="0" t="s">
        <v>4901</v>
      </c>
      <c r="N1380" s="1" t="s">
        <v>4902</v>
      </c>
      <c r="O1380" s="0" t="s">
        <v>1668</v>
      </c>
      <c r="P1380" s="0" t="n">
        <v>1947</v>
      </c>
      <c r="Q1380" s="0" t="s">
        <v>39</v>
      </c>
      <c r="R1380" s="0" t="s">
        <v>4903</v>
      </c>
      <c r="S1380" s="0" t="s">
        <v>4904</v>
      </c>
      <c r="T1380" s="0" t="n">
        <v>1968</v>
      </c>
      <c r="V1380" s="0" t="n">
        <v>1</v>
      </c>
      <c r="W1380" s="0" t="n">
        <v>1</v>
      </c>
      <c r="X1380" s="0" t="str">
        <f aca="false">"31811012028570"</f>
        <v>31811012028570</v>
      </c>
      <c r="Y1380" s="0" t="s">
        <v>39</v>
      </c>
      <c r="Z1380" s="0" t="s">
        <v>42</v>
      </c>
      <c r="AA1380" s="0" t="s">
        <v>622</v>
      </c>
      <c r="AE1380" s="1" t="s">
        <v>52</v>
      </c>
    </row>
    <row r="1381" customFormat="false" ht="12.8" hidden="false" customHeight="false" outlineLevel="0" collapsed="false">
      <c r="A1381" s="0" t="n">
        <v>215463</v>
      </c>
      <c r="B1381" s="0" t="n">
        <v>236376</v>
      </c>
      <c r="C1381" s="0" t="n">
        <v>266106</v>
      </c>
      <c r="D1381" s="0" t="s">
        <v>35</v>
      </c>
      <c r="E1381" s="0" t="s">
        <v>35</v>
      </c>
      <c r="F1381" s="0" t="s">
        <v>480</v>
      </c>
      <c r="G1381" s="0" t="s">
        <v>37</v>
      </c>
      <c r="H1381" s="0" t="s">
        <v>4899</v>
      </c>
      <c r="I1381" s="0" t="s">
        <v>1527</v>
      </c>
      <c r="J1381" s="0" t="s">
        <v>4900</v>
      </c>
      <c r="M1381" s="0" t="s">
        <v>4901</v>
      </c>
      <c r="N1381" s="1" t="s">
        <v>4902</v>
      </c>
      <c r="O1381" s="0" t="s">
        <v>1668</v>
      </c>
      <c r="P1381" s="0" t="n">
        <v>1947</v>
      </c>
      <c r="Q1381" s="0" t="s">
        <v>39</v>
      </c>
      <c r="R1381" s="0" t="s">
        <v>4903</v>
      </c>
      <c r="S1381" s="0" t="s">
        <v>4904</v>
      </c>
      <c r="T1381" s="0" t="n">
        <v>1969</v>
      </c>
      <c r="V1381" s="0" t="n">
        <v>1</v>
      </c>
      <c r="W1381" s="0" t="n">
        <v>1</v>
      </c>
      <c r="X1381" s="0" t="str">
        <f aca="false">"31811012028588"</f>
        <v>31811012028588</v>
      </c>
      <c r="Y1381" s="0" t="s">
        <v>39</v>
      </c>
      <c r="Z1381" s="0" t="s">
        <v>42</v>
      </c>
      <c r="AA1381" s="0" t="s">
        <v>622</v>
      </c>
      <c r="AE1381" s="1" t="s">
        <v>52</v>
      </c>
    </row>
    <row r="1382" customFormat="false" ht="12.8" hidden="false" customHeight="false" outlineLevel="0" collapsed="false">
      <c r="A1382" s="0" t="n">
        <v>215463</v>
      </c>
      <c r="B1382" s="0" t="n">
        <v>236376</v>
      </c>
      <c r="C1382" s="0" t="n">
        <v>266107</v>
      </c>
      <c r="D1382" s="0" t="s">
        <v>35</v>
      </c>
      <c r="E1382" s="0" t="s">
        <v>35</v>
      </c>
      <c r="F1382" s="0" t="s">
        <v>480</v>
      </c>
      <c r="G1382" s="0" t="s">
        <v>37</v>
      </c>
      <c r="H1382" s="0" t="s">
        <v>4899</v>
      </c>
      <c r="I1382" s="0" t="s">
        <v>1527</v>
      </c>
      <c r="J1382" s="0" t="s">
        <v>4900</v>
      </c>
      <c r="M1382" s="0" t="s">
        <v>4901</v>
      </c>
      <c r="N1382" s="1" t="s">
        <v>4902</v>
      </c>
      <c r="O1382" s="0" t="s">
        <v>1668</v>
      </c>
      <c r="P1382" s="0" t="n">
        <v>1947</v>
      </c>
      <c r="Q1382" s="0" t="s">
        <v>39</v>
      </c>
      <c r="R1382" s="0" t="s">
        <v>4903</v>
      </c>
      <c r="S1382" s="0" t="s">
        <v>4904</v>
      </c>
      <c r="T1382" s="0" t="n">
        <v>1970</v>
      </c>
      <c r="V1382" s="0" t="n">
        <v>1</v>
      </c>
      <c r="W1382" s="0" t="n">
        <v>1</v>
      </c>
      <c r="X1382" s="0" t="str">
        <f aca="false">"31811012028596"</f>
        <v>31811012028596</v>
      </c>
      <c r="Y1382" s="0" t="s">
        <v>39</v>
      </c>
      <c r="Z1382" s="0" t="s">
        <v>42</v>
      </c>
      <c r="AA1382" s="0" t="s">
        <v>622</v>
      </c>
      <c r="AE1382" s="1" t="s">
        <v>52</v>
      </c>
    </row>
    <row r="1383" customFormat="false" ht="12.8" hidden="false" customHeight="false" outlineLevel="0" collapsed="false">
      <c r="A1383" s="0" t="n">
        <v>215463</v>
      </c>
      <c r="B1383" s="0" t="n">
        <v>236376</v>
      </c>
      <c r="C1383" s="0" t="n">
        <v>266108</v>
      </c>
      <c r="D1383" s="0" t="s">
        <v>35</v>
      </c>
      <c r="E1383" s="0" t="s">
        <v>35</v>
      </c>
      <c r="F1383" s="0" t="s">
        <v>480</v>
      </c>
      <c r="G1383" s="0" t="s">
        <v>37</v>
      </c>
      <c r="H1383" s="0" t="s">
        <v>4899</v>
      </c>
      <c r="I1383" s="0" t="s">
        <v>1527</v>
      </c>
      <c r="J1383" s="0" t="s">
        <v>4900</v>
      </c>
      <c r="M1383" s="0" t="s">
        <v>4901</v>
      </c>
      <c r="N1383" s="1" t="s">
        <v>4902</v>
      </c>
      <c r="O1383" s="0" t="s">
        <v>1668</v>
      </c>
      <c r="P1383" s="0" t="n">
        <v>1947</v>
      </c>
      <c r="Q1383" s="0" t="s">
        <v>39</v>
      </c>
      <c r="R1383" s="0" t="s">
        <v>4903</v>
      </c>
      <c r="S1383" s="0" t="s">
        <v>4904</v>
      </c>
      <c r="T1383" s="0" t="n">
        <v>1971</v>
      </c>
      <c r="V1383" s="0" t="n">
        <v>1</v>
      </c>
      <c r="W1383" s="0" t="n">
        <v>1</v>
      </c>
      <c r="X1383" s="0" t="str">
        <f aca="false">"31811012028604"</f>
        <v>31811012028604</v>
      </c>
      <c r="Y1383" s="0" t="s">
        <v>39</v>
      </c>
      <c r="Z1383" s="0" t="s">
        <v>42</v>
      </c>
      <c r="AA1383" s="0" t="s">
        <v>622</v>
      </c>
      <c r="AE1383" s="1" t="s">
        <v>52</v>
      </c>
    </row>
    <row r="1384" customFormat="false" ht="12.8" hidden="false" customHeight="false" outlineLevel="0" collapsed="false">
      <c r="A1384" s="0" t="n">
        <v>215463</v>
      </c>
      <c r="B1384" s="0" t="n">
        <v>236376</v>
      </c>
      <c r="C1384" s="0" t="n">
        <v>266109</v>
      </c>
      <c r="D1384" s="0" t="s">
        <v>35</v>
      </c>
      <c r="E1384" s="0" t="s">
        <v>35</v>
      </c>
      <c r="F1384" s="0" t="s">
        <v>480</v>
      </c>
      <c r="G1384" s="0" t="s">
        <v>37</v>
      </c>
      <c r="H1384" s="0" t="s">
        <v>4899</v>
      </c>
      <c r="I1384" s="0" t="s">
        <v>1527</v>
      </c>
      <c r="J1384" s="0" t="s">
        <v>4900</v>
      </c>
      <c r="M1384" s="0" t="s">
        <v>4901</v>
      </c>
      <c r="N1384" s="1" t="s">
        <v>4902</v>
      </c>
      <c r="O1384" s="0" t="s">
        <v>1668</v>
      </c>
      <c r="P1384" s="0" t="n">
        <v>1947</v>
      </c>
      <c r="Q1384" s="0" t="s">
        <v>39</v>
      </c>
      <c r="R1384" s="0" t="s">
        <v>4903</v>
      </c>
      <c r="S1384" s="0" t="s">
        <v>4904</v>
      </c>
      <c r="T1384" s="0" t="n">
        <v>1972</v>
      </c>
      <c r="V1384" s="0" t="n">
        <v>1</v>
      </c>
      <c r="W1384" s="0" t="n">
        <v>1</v>
      </c>
      <c r="X1384" s="0" t="str">
        <f aca="false">"31811012027283"</f>
        <v>31811012027283</v>
      </c>
      <c r="Y1384" s="0" t="s">
        <v>39</v>
      </c>
      <c r="Z1384" s="0" t="s">
        <v>42</v>
      </c>
      <c r="AA1384" s="0" t="s">
        <v>622</v>
      </c>
      <c r="AE1384" s="1" t="s">
        <v>52</v>
      </c>
    </row>
    <row r="1385" customFormat="false" ht="12.8" hidden="false" customHeight="false" outlineLevel="0" collapsed="false">
      <c r="A1385" s="0" t="n">
        <v>215463</v>
      </c>
      <c r="B1385" s="0" t="n">
        <v>236376</v>
      </c>
      <c r="C1385" s="0" t="n">
        <v>266110</v>
      </c>
      <c r="D1385" s="0" t="s">
        <v>35</v>
      </c>
      <c r="E1385" s="0" t="s">
        <v>35</v>
      </c>
      <c r="F1385" s="0" t="s">
        <v>480</v>
      </c>
      <c r="G1385" s="0" t="s">
        <v>37</v>
      </c>
      <c r="H1385" s="0" t="s">
        <v>4899</v>
      </c>
      <c r="I1385" s="0" t="s">
        <v>1527</v>
      </c>
      <c r="J1385" s="0" t="s">
        <v>4900</v>
      </c>
      <c r="M1385" s="0" t="s">
        <v>4901</v>
      </c>
      <c r="N1385" s="1" t="s">
        <v>4902</v>
      </c>
      <c r="O1385" s="0" t="s">
        <v>1668</v>
      </c>
      <c r="P1385" s="0" t="n">
        <v>1947</v>
      </c>
      <c r="Q1385" s="0" t="s">
        <v>39</v>
      </c>
      <c r="R1385" s="0" t="s">
        <v>4903</v>
      </c>
      <c r="S1385" s="0" t="s">
        <v>4904</v>
      </c>
      <c r="T1385" s="0" t="n">
        <v>1973</v>
      </c>
      <c r="V1385" s="0" t="n">
        <v>1</v>
      </c>
      <c r="W1385" s="0" t="n">
        <v>1</v>
      </c>
      <c r="X1385" s="0" t="str">
        <f aca="false">"31811012027267"</f>
        <v>31811012027267</v>
      </c>
      <c r="Y1385" s="0" t="s">
        <v>39</v>
      </c>
      <c r="Z1385" s="0" t="s">
        <v>42</v>
      </c>
      <c r="AA1385" s="0" t="s">
        <v>622</v>
      </c>
      <c r="AE1385" s="1" t="s">
        <v>52</v>
      </c>
    </row>
    <row r="1386" customFormat="false" ht="12.8" hidden="false" customHeight="false" outlineLevel="0" collapsed="false">
      <c r="A1386" s="0" t="n">
        <v>215463</v>
      </c>
      <c r="B1386" s="0" t="n">
        <v>236376</v>
      </c>
      <c r="C1386" s="0" t="n">
        <v>266111</v>
      </c>
      <c r="D1386" s="0" t="s">
        <v>35</v>
      </c>
      <c r="E1386" s="0" t="s">
        <v>35</v>
      </c>
      <c r="F1386" s="0" t="s">
        <v>480</v>
      </c>
      <c r="G1386" s="0" t="s">
        <v>37</v>
      </c>
      <c r="H1386" s="0" t="s">
        <v>4899</v>
      </c>
      <c r="I1386" s="0" t="s">
        <v>1527</v>
      </c>
      <c r="J1386" s="0" t="s">
        <v>4900</v>
      </c>
      <c r="M1386" s="0" t="s">
        <v>4901</v>
      </c>
      <c r="N1386" s="1" t="s">
        <v>4902</v>
      </c>
      <c r="O1386" s="0" t="s">
        <v>1668</v>
      </c>
      <c r="P1386" s="0" t="n">
        <v>1947</v>
      </c>
      <c r="Q1386" s="0" t="s">
        <v>39</v>
      </c>
      <c r="R1386" s="0" t="s">
        <v>4903</v>
      </c>
      <c r="S1386" s="0" t="s">
        <v>4904</v>
      </c>
      <c r="T1386" s="0" t="n">
        <v>1974</v>
      </c>
      <c r="V1386" s="0" t="n">
        <v>1</v>
      </c>
      <c r="W1386" s="0" t="n">
        <v>1</v>
      </c>
      <c r="X1386" s="0" t="str">
        <f aca="false">"31811012027275"</f>
        <v>31811012027275</v>
      </c>
      <c r="Y1386" s="0" t="s">
        <v>39</v>
      </c>
      <c r="Z1386" s="0" t="s">
        <v>42</v>
      </c>
      <c r="AA1386" s="0" t="s">
        <v>622</v>
      </c>
      <c r="AE1386" s="1" t="s">
        <v>52</v>
      </c>
    </row>
    <row r="1387" customFormat="false" ht="12.8" hidden="false" customHeight="false" outlineLevel="0" collapsed="false">
      <c r="A1387" s="0" t="n">
        <v>215463</v>
      </c>
      <c r="B1387" s="0" t="n">
        <v>236376</v>
      </c>
      <c r="C1387" s="0" t="n">
        <v>266112</v>
      </c>
      <c r="D1387" s="0" t="s">
        <v>35</v>
      </c>
      <c r="E1387" s="0" t="s">
        <v>35</v>
      </c>
      <c r="F1387" s="0" t="s">
        <v>480</v>
      </c>
      <c r="G1387" s="0" t="s">
        <v>37</v>
      </c>
      <c r="H1387" s="0" t="s">
        <v>4899</v>
      </c>
      <c r="I1387" s="0" t="s">
        <v>1527</v>
      </c>
      <c r="J1387" s="0" t="s">
        <v>4900</v>
      </c>
      <c r="M1387" s="0" t="s">
        <v>4901</v>
      </c>
      <c r="N1387" s="1" t="s">
        <v>4902</v>
      </c>
      <c r="O1387" s="0" t="s">
        <v>1668</v>
      </c>
      <c r="P1387" s="0" t="n">
        <v>1947</v>
      </c>
      <c r="Q1387" s="0" t="s">
        <v>39</v>
      </c>
      <c r="R1387" s="0" t="s">
        <v>4903</v>
      </c>
      <c r="S1387" s="0" t="s">
        <v>4904</v>
      </c>
      <c r="T1387" s="0" t="s">
        <v>4906</v>
      </c>
      <c r="V1387" s="0" t="n">
        <v>1</v>
      </c>
      <c r="W1387" s="0" t="n">
        <v>1</v>
      </c>
      <c r="X1387" s="0" t="str">
        <f aca="false">"31811012027259"</f>
        <v>31811012027259</v>
      </c>
      <c r="Y1387" s="0" t="s">
        <v>39</v>
      </c>
      <c r="Z1387" s="0" t="s">
        <v>42</v>
      </c>
      <c r="AA1387" s="0" t="s">
        <v>622</v>
      </c>
      <c r="AE1387" s="1" t="s">
        <v>52</v>
      </c>
    </row>
    <row r="1388" customFormat="false" ht="12.8" hidden="false" customHeight="false" outlineLevel="0" collapsed="false">
      <c r="A1388" s="0" t="n">
        <v>215463</v>
      </c>
      <c r="B1388" s="0" t="n">
        <v>236376</v>
      </c>
      <c r="C1388" s="0" t="n">
        <v>266113</v>
      </c>
      <c r="D1388" s="0" t="s">
        <v>35</v>
      </c>
      <c r="E1388" s="0" t="s">
        <v>35</v>
      </c>
      <c r="F1388" s="0" t="s">
        <v>480</v>
      </c>
      <c r="G1388" s="0" t="s">
        <v>37</v>
      </c>
      <c r="H1388" s="0" t="s">
        <v>4899</v>
      </c>
      <c r="I1388" s="0" t="s">
        <v>1527</v>
      </c>
      <c r="J1388" s="0" t="s">
        <v>4900</v>
      </c>
      <c r="M1388" s="0" t="s">
        <v>4901</v>
      </c>
      <c r="N1388" s="1" t="s">
        <v>4902</v>
      </c>
      <c r="O1388" s="0" t="s">
        <v>1668</v>
      </c>
      <c r="P1388" s="0" t="n">
        <v>1947</v>
      </c>
      <c r="Q1388" s="0" t="s">
        <v>39</v>
      </c>
      <c r="R1388" s="0" t="s">
        <v>4903</v>
      </c>
      <c r="S1388" s="0" t="s">
        <v>4904</v>
      </c>
      <c r="T1388" s="0" t="s">
        <v>4907</v>
      </c>
      <c r="V1388" s="0" t="n">
        <v>1</v>
      </c>
      <c r="W1388" s="0" t="n">
        <v>1</v>
      </c>
      <c r="X1388" s="0" t="str">
        <f aca="false">"31811012027606"</f>
        <v>31811012027606</v>
      </c>
      <c r="Y1388" s="0" t="s">
        <v>39</v>
      </c>
      <c r="Z1388" s="0" t="s">
        <v>42</v>
      </c>
      <c r="AA1388" s="0" t="s">
        <v>622</v>
      </c>
      <c r="AE1388" s="1" t="s">
        <v>52</v>
      </c>
    </row>
    <row r="1389" customFormat="false" ht="12.8" hidden="false" customHeight="false" outlineLevel="0" collapsed="false">
      <c r="A1389" s="0" t="n">
        <v>215463</v>
      </c>
      <c r="B1389" s="0" t="n">
        <v>236376</v>
      </c>
      <c r="C1389" s="0" t="n">
        <v>266114</v>
      </c>
      <c r="D1389" s="0" t="s">
        <v>35</v>
      </c>
      <c r="E1389" s="0" t="s">
        <v>35</v>
      </c>
      <c r="F1389" s="0" t="s">
        <v>480</v>
      </c>
      <c r="G1389" s="0" t="s">
        <v>37</v>
      </c>
      <c r="H1389" s="0" t="s">
        <v>4899</v>
      </c>
      <c r="I1389" s="0" t="s">
        <v>1527</v>
      </c>
      <c r="J1389" s="0" t="s">
        <v>4900</v>
      </c>
      <c r="M1389" s="0" t="s">
        <v>4901</v>
      </c>
      <c r="N1389" s="1" t="s">
        <v>4902</v>
      </c>
      <c r="O1389" s="0" t="s">
        <v>1668</v>
      </c>
      <c r="P1389" s="0" t="n">
        <v>1947</v>
      </c>
      <c r="Q1389" s="0" t="s">
        <v>39</v>
      </c>
      <c r="R1389" s="0" t="s">
        <v>4903</v>
      </c>
      <c r="S1389" s="0" t="s">
        <v>4904</v>
      </c>
      <c r="T1389" s="0" t="s">
        <v>4908</v>
      </c>
      <c r="V1389" s="0" t="n">
        <v>1</v>
      </c>
      <c r="W1389" s="0" t="n">
        <v>1</v>
      </c>
      <c r="X1389" s="0" t="str">
        <f aca="false">"31811012027598"</f>
        <v>31811012027598</v>
      </c>
      <c r="Y1389" s="0" t="s">
        <v>39</v>
      </c>
      <c r="Z1389" s="0" t="s">
        <v>42</v>
      </c>
      <c r="AA1389" s="0" t="s">
        <v>622</v>
      </c>
      <c r="AE1389" s="1" t="s">
        <v>52</v>
      </c>
    </row>
    <row r="1390" customFormat="false" ht="12.8" hidden="false" customHeight="false" outlineLevel="0" collapsed="false">
      <c r="A1390" s="0" t="n">
        <v>215463</v>
      </c>
      <c r="B1390" s="0" t="n">
        <v>236377</v>
      </c>
      <c r="C1390" s="0" t="n">
        <v>266115</v>
      </c>
      <c r="D1390" s="0" t="s">
        <v>35</v>
      </c>
      <c r="E1390" s="0" t="s">
        <v>35</v>
      </c>
      <c r="F1390" s="0" t="s">
        <v>480</v>
      </c>
      <c r="G1390" s="0" t="s">
        <v>37</v>
      </c>
      <c r="H1390" s="0" t="s">
        <v>4899</v>
      </c>
      <c r="I1390" s="0" t="s">
        <v>1527</v>
      </c>
      <c r="J1390" s="0" t="s">
        <v>4900</v>
      </c>
      <c r="M1390" s="0" t="s">
        <v>4901</v>
      </c>
      <c r="N1390" s="1" t="s">
        <v>4902</v>
      </c>
      <c r="O1390" s="0" t="s">
        <v>1668</v>
      </c>
      <c r="P1390" s="0" t="n">
        <v>1947</v>
      </c>
      <c r="Q1390" s="0" t="s">
        <v>39</v>
      </c>
      <c r="R1390" s="0" t="s">
        <v>4903</v>
      </c>
      <c r="S1390" s="0" t="s">
        <v>4904</v>
      </c>
      <c r="T1390" s="0" t="n">
        <v>1963</v>
      </c>
      <c r="V1390" s="0" t="n">
        <v>2</v>
      </c>
      <c r="W1390" s="0" t="n">
        <v>1</v>
      </c>
      <c r="X1390" s="0" t="str">
        <f aca="false">"31811012027960"</f>
        <v>31811012027960</v>
      </c>
      <c r="Y1390" s="0" t="s">
        <v>39</v>
      </c>
      <c r="Z1390" s="0" t="s">
        <v>42</v>
      </c>
      <c r="AA1390" s="0" t="s">
        <v>622</v>
      </c>
      <c r="AE1390" s="1" t="s">
        <v>52</v>
      </c>
    </row>
    <row r="1391" customFormat="false" ht="12.8" hidden="false" customHeight="false" outlineLevel="0" collapsed="false">
      <c r="A1391" s="0" t="n">
        <v>263620</v>
      </c>
      <c r="B1391" s="0" t="n">
        <v>288689</v>
      </c>
      <c r="C1391" s="0" t="n">
        <v>324282</v>
      </c>
      <c r="D1391" s="0" t="s">
        <v>35</v>
      </c>
      <c r="E1391" s="0" t="s">
        <v>35</v>
      </c>
      <c r="F1391" s="0" t="s">
        <v>36</v>
      </c>
      <c r="G1391" s="0" t="s">
        <v>37</v>
      </c>
      <c r="H1391" s="0" t="s">
        <v>4909</v>
      </c>
      <c r="I1391" s="0" t="s">
        <v>1527</v>
      </c>
      <c r="J1391" s="0" t="s">
        <v>4910</v>
      </c>
      <c r="M1391" s="0" t="s">
        <v>4911</v>
      </c>
      <c r="N1391" s="0" t="n">
        <v>1972</v>
      </c>
      <c r="O1391" s="0" t="s">
        <v>1668</v>
      </c>
      <c r="P1391" s="0" t="n">
        <v>1972</v>
      </c>
      <c r="Q1391" s="0" t="s">
        <v>39</v>
      </c>
      <c r="R1391" s="0" t="s">
        <v>4912</v>
      </c>
      <c r="S1391" s="0" t="s">
        <v>4913</v>
      </c>
      <c r="V1391" s="0" t="n">
        <v>1</v>
      </c>
      <c r="W1391" s="0" t="n">
        <v>1</v>
      </c>
      <c r="X1391" s="0" t="str">
        <f aca="false">"31811010368978"</f>
        <v>31811010368978</v>
      </c>
      <c r="Y1391" s="0" t="s">
        <v>39</v>
      </c>
      <c r="Z1391" s="0" t="s">
        <v>42</v>
      </c>
      <c r="AA1391" s="0" t="s">
        <v>43</v>
      </c>
      <c r="AE1391" s="1" t="s">
        <v>52</v>
      </c>
    </row>
    <row r="1392" customFormat="false" ht="12.8" hidden="false" customHeight="false" outlineLevel="0" collapsed="false">
      <c r="A1392" s="0" t="n">
        <v>269119</v>
      </c>
      <c r="B1392" s="0" t="n">
        <v>294640</v>
      </c>
      <c r="C1392" s="0" t="n">
        <v>330582</v>
      </c>
      <c r="D1392" s="0" t="s">
        <v>35</v>
      </c>
      <c r="E1392" s="0" t="s">
        <v>35</v>
      </c>
      <c r="F1392" s="0" t="s">
        <v>36</v>
      </c>
      <c r="G1392" s="0" t="s">
        <v>37</v>
      </c>
      <c r="H1392" s="0" t="s">
        <v>4914</v>
      </c>
      <c r="I1392" s="0" t="s">
        <v>1527</v>
      </c>
      <c r="J1392" s="0" t="s">
        <v>4914</v>
      </c>
      <c r="M1392" s="0" t="s">
        <v>4915</v>
      </c>
      <c r="N1392" s="0" t="n">
        <v>1971</v>
      </c>
      <c r="O1392" s="0" t="s">
        <v>1668</v>
      </c>
      <c r="P1392" s="0" t="n">
        <v>1971</v>
      </c>
      <c r="Q1392" s="0" t="s">
        <v>39</v>
      </c>
      <c r="R1392" s="0" t="s">
        <v>4916</v>
      </c>
      <c r="S1392" s="0" t="s">
        <v>4917</v>
      </c>
      <c r="V1392" s="0" t="n">
        <v>1</v>
      </c>
      <c r="W1392" s="0" t="n">
        <v>1</v>
      </c>
      <c r="X1392" s="0" t="str">
        <f aca="false">"31811010369018"</f>
        <v>31811010369018</v>
      </c>
      <c r="Y1392" s="0" t="s">
        <v>39</v>
      </c>
      <c r="Z1392" s="0" t="s">
        <v>42</v>
      </c>
      <c r="AA1392" s="0" t="s">
        <v>43</v>
      </c>
      <c r="AE1392" s="1" t="s">
        <v>52</v>
      </c>
    </row>
    <row r="1393" customFormat="false" ht="12.8" hidden="false" customHeight="false" outlineLevel="0" collapsed="false">
      <c r="A1393" s="0" t="n">
        <v>47465</v>
      </c>
      <c r="B1393" s="0" t="n">
        <v>51495</v>
      </c>
      <c r="C1393" s="0" t="n">
        <v>56913</v>
      </c>
      <c r="D1393" s="0" t="s">
        <v>35</v>
      </c>
      <c r="E1393" s="0" t="s">
        <v>35</v>
      </c>
      <c r="F1393" s="0" t="s">
        <v>36</v>
      </c>
      <c r="G1393" s="0" t="s">
        <v>37</v>
      </c>
      <c r="H1393" s="0" t="s">
        <v>4918</v>
      </c>
      <c r="I1393" s="0" t="s">
        <v>1527</v>
      </c>
      <c r="J1393" s="0" t="s">
        <v>4918</v>
      </c>
      <c r="L1393" s="0" t="n">
        <v>9231015257</v>
      </c>
      <c r="M1393" s="0" t="s">
        <v>4919</v>
      </c>
      <c r="N1393" s="0" t="n">
        <v>1977</v>
      </c>
      <c r="O1393" s="0" t="s">
        <v>1668</v>
      </c>
      <c r="P1393" s="0" t="n">
        <v>1977</v>
      </c>
      <c r="Q1393" s="0" t="s">
        <v>39</v>
      </c>
      <c r="R1393" s="0" t="s">
        <v>4920</v>
      </c>
      <c r="S1393" s="0" t="s">
        <v>4921</v>
      </c>
      <c r="V1393" s="0" t="n">
        <v>1</v>
      </c>
      <c r="W1393" s="0" t="n">
        <v>1</v>
      </c>
      <c r="X1393" s="0" t="str">
        <f aca="false">"31811010369166"</f>
        <v>31811010369166</v>
      </c>
      <c r="Y1393" s="0" t="s">
        <v>39</v>
      </c>
      <c r="Z1393" s="0" t="s">
        <v>42</v>
      </c>
      <c r="AA1393" s="0" t="s">
        <v>43</v>
      </c>
      <c r="AE1393" s="1" t="s">
        <v>52</v>
      </c>
    </row>
    <row r="1394" customFormat="false" ht="12.8" hidden="false" customHeight="false" outlineLevel="0" collapsed="false">
      <c r="A1394" s="0" t="n">
        <v>352617</v>
      </c>
      <c r="B1394" s="0" t="n">
        <v>381918</v>
      </c>
      <c r="C1394" s="0" t="n">
        <v>425123</v>
      </c>
      <c r="D1394" s="0" t="s">
        <v>35</v>
      </c>
      <c r="E1394" s="0" t="s">
        <v>35</v>
      </c>
      <c r="F1394" s="0" t="s">
        <v>36</v>
      </c>
      <c r="G1394" s="0" t="s">
        <v>37</v>
      </c>
      <c r="H1394" s="0" t="s">
        <v>4922</v>
      </c>
      <c r="I1394" s="0" t="s">
        <v>1527</v>
      </c>
      <c r="J1394" s="0" t="s">
        <v>4922</v>
      </c>
      <c r="L1394" s="0" t="n">
        <v>9231013785</v>
      </c>
      <c r="M1394" s="0" t="s">
        <v>4923</v>
      </c>
      <c r="N1394" s="0" t="n">
        <v>1976</v>
      </c>
      <c r="O1394" s="0" t="s">
        <v>1668</v>
      </c>
      <c r="P1394" s="0" t="n">
        <v>1976</v>
      </c>
      <c r="Q1394" s="0" t="s">
        <v>39</v>
      </c>
      <c r="R1394" s="0" t="s">
        <v>4924</v>
      </c>
      <c r="S1394" s="0" t="s">
        <v>4925</v>
      </c>
      <c r="V1394" s="0" t="n">
        <v>1</v>
      </c>
      <c r="W1394" s="0" t="n">
        <v>1</v>
      </c>
      <c r="X1394" s="0" t="str">
        <f aca="false">"31811010369158"</f>
        <v>31811010369158</v>
      </c>
      <c r="Y1394" s="0" t="s">
        <v>39</v>
      </c>
      <c r="Z1394" s="0" t="s">
        <v>42</v>
      </c>
      <c r="AA1394" s="0" t="s">
        <v>43</v>
      </c>
      <c r="AE1394" s="1" t="s">
        <v>52</v>
      </c>
      <c r="AH1394" s="1" t="s">
        <v>4926</v>
      </c>
    </row>
    <row r="1395" customFormat="false" ht="12.8" hidden="false" customHeight="false" outlineLevel="0" collapsed="false">
      <c r="A1395" s="0" t="n">
        <v>42</v>
      </c>
      <c r="B1395" s="0" t="n">
        <v>46</v>
      </c>
      <c r="C1395" s="0" t="n">
        <v>49</v>
      </c>
      <c r="D1395" s="0" t="s">
        <v>35</v>
      </c>
      <c r="E1395" s="0" t="s">
        <v>35</v>
      </c>
      <c r="F1395" s="0" t="s">
        <v>36</v>
      </c>
      <c r="G1395" s="0" t="s">
        <v>37</v>
      </c>
      <c r="H1395" s="0" t="s">
        <v>4927</v>
      </c>
      <c r="J1395" s="0" t="s">
        <v>4927</v>
      </c>
      <c r="L1395" s="0" t="n">
        <v>9231018388</v>
      </c>
      <c r="M1395" s="0" t="s">
        <v>4928</v>
      </c>
      <c r="N1395" s="1" t="s">
        <v>4929</v>
      </c>
      <c r="O1395" s="0" t="s">
        <v>4930</v>
      </c>
      <c r="P1395" s="0" t="n">
        <v>1981</v>
      </c>
      <c r="Q1395" s="0" t="s">
        <v>39</v>
      </c>
      <c r="R1395" s="0" t="s">
        <v>4931</v>
      </c>
      <c r="S1395" s="0" t="s">
        <v>4932</v>
      </c>
      <c r="V1395" s="0" t="n">
        <v>1</v>
      </c>
      <c r="W1395" s="0" t="n">
        <v>1</v>
      </c>
      <c r="X1395" s="0" t="str">
        <f aca="false">"31811010369141"</f>
        <v>31811010369141</v>
      </c>
      <c r="Y1395" s="0" t="s">
        <v>39</v>
      </c>
      <c r="Z1395" s="0" t="s">
        <v>42</v>
      </c>
      <c r="AA1395" s="0" t="s">
        <v>43</v>
      </c>
      <c r="AE1395" s="1" t="s">
        <v>52</v>
      </c>
    </row>
    <row r="1396" customFormat="false" ht="12.8" hidden="false" customHeight="false" outlineLevel="0" collapsed="false">
      <c r="A1396" s="0" t="n">
        <v>263808</v>
      </c>
      <c r="B1396" s="0" t="n">
        <v>288913</v>
      </c>
      <c r="C1396" s="0" t="n">
        <v>324525</v>
      </c>
      <c r="D1396" s="0" t="s">
        <v>35</v>
      </c>
      <c r="E1396" s="0" t="s">
        <v>35</v>
      </c>
      <c r="F1396" s="0" t="s">
        <v>36</v>
      </c>
      <c r="G1396" s="0" t="s">
        <v>37</v>
      </c>
      <c r="H1396" s="0" t="s">
        <v>4933</v>
      </c>
      <c r="I1396" s="0" t="s">
        <v>1527</v>
      </c>
      <c r="J1396" s="0" t="s">
        <v>4933</v>
      </c>
      <c r="K1396" s="0" t="s">
        <v>4934</v>
      </c>
      <c r="M1396" s="0" t="s">
        <v>4935</v>
      </c>
      <c r="N1396" s="0" t="s">
        <v>4936</v>
      </c>
      <c r="P1396" s="0" t="n">
        <v>1970</v>
      </c>
      <c r="Q1396" s="0" t="s">
        <v>39</v>
      </c>
      <c r="R1396" s="0" t="s">
        <v>4937</v>
      </c>
      <c r="S1396" s="0" t="s">
        <v>4938</v>
      </c>
      <c r="V1396" s="0" t="n">
        <v>1</v>
      </c>
      <c r="W1396" s="0" t="n">
        <v>1</v>
      </c>
      <c r="X1396" s="0" t="str">
        <f aca="false">"31811010751744"</f>
        <v>31811010751744</v>
      </c>
      <c r="Y1396" s="0" t="s">
        <v>39</v>
      </c>
      <c r="Z1396" s="0" t="s">
        <v>42</v>
      </c>
      <c r="AA1396" s="0" t="s">
        <v>43</v>
      </c>
      <c r="AE1396" s="1" t="s">
        <v>52</v>
      </c>
    </row>
    <row r="1397" customFormat="false" ht="12.8" hidden="false" customHeight="false" outlineLevel="0" collapsed="false">
      <c r="A1397" s="0" t="n">
        <v>251673</v>
      </c>
      <c r="B1397" s="0" t="n">
        <v>275758</v>
      </c>
      <c r="C1397" s="0" t="n">
        <v>310101</v>
      </c>
      <c r="D1397" s="0" t="s">
        <v>35</v>
      </c>
      <c r="E1397" s="0" t="s">
        <v>35</v>
      </c>
      <c r="F1397" s="0" t="s">
        <v>480</v>
      </c>
      <c r="G1397" s="0" t="s">
        <v>37</v>
      </c>
      <c r="H1397" s="0" t="s">
        <v>4939</v>
      </c>
      <c r="I1397" s="0" t="s">
        <v>4940</v>
      </c>
      <c r="J1397" s="0" t="s">
        <v>4939</v>
      </c>
      <c r="M1397" s="0" t="s">
        <v>4941</v>
      </c>
      <c r="N1397" s="1" t="s">
        <v>2102</v>
      </c>
      <c r="O1397" s="0" t="s">
        <v>1668</v>
      </c>
      <c r="P1397" s="0" t="n">
        <v>1946</v>
      </c>
      <c r="Q1397" s="0" t="s">
        <v>39</v>
      </c>
      <c r="R1397" s="0" t="s">
        <v>4942</v>
      </c>
      <c r="S1397" s="0" t="s">
        <v>4943</v>
      </c>
      <c r="T1397" s="0" t="s">
        <v>4944</v>
      </c>
      <c r="V1397" s="0" t="n">
        <v>1</v>
      </c>
      <c r="W1397" s="0" t="n">
        <v>1</v>
      </c>
      <c r="X1397" s="0" t="str">
        <f aca="false">"31811012019249"</f>
        <v>31811012019249</v>
      </c>
      <c r="Y1397" s="0" t="s">
        <v>39</v>
      </c>
      <c r="Z1397" s="0" t="s">
        <v>42</v>
      </c>
      <c r="AA1397" s="0" t="s">
        <v>43</v>
      </c>
      <c r="AE1397" s="1" t="s">
        <v>52</v>
      </c>
    </row>
    <row r="1398" customFormat="false" ht="12.8" hidden="false" customHeight="false" outlineLevel="0" collapsed="false">
      <c r="A1398" s="0" t="n">
        <v>251673</v>
      </c>
      <c r="B1398" s="0" t="n">
        <v>275758</v>
      </c>
      <c r="C1398" s="0" t="n">
        <v>310102</v>
      </c>
      <c r="D1398" s="0" t="s">
        <v>35</v>
      </c>
      <c r="E1398" s="0" t="s">
        <v>35</v>
      </c>
      <c r="F1398" s="0" t="s">
        <v>480</v>
      </c>
      <c r="G1398" s="0" t="s">
        <v>37</v>
      </c>
      <c r="H1398" s="0" t="s">
        <v>4939</v>
      </c>
      <c r="I1398" s="0" t="s">
        <v>4940</v>
      </c>
      <c r="J1398" s="0" t="s">
        <v>4939</v>
      </c>
      <c r="M1398" s="0" t="s">
        <v>4941</v>
      </c>
      <c r="N1398" s="1" t="s">
        <v>2102</v>
      </c>
      <c r="O1398" s="0" t="s">
        <v>1668</v>
      </c>
      <c r="P1398" s="0" t="n">
        <v>1946</v>
      </c>
      <c r="Q1398" s="0" t="s">
        <v>39</v>
      </c>
      <c r="R1398" s="0" t="s">
        <v>4942</v>
      </c>
      <c r="S1398" s="0" t="s">
        <v>4943</v>
      </c>
      <c r="T1398" s="0" t="s">
        <v>4945</v>
      </c>
      <c r="V1398" s="0" t="n">
        <v>1</v>
      </c>
      <c r="W1398" s="0" t="n">
        <v>1</v>
      </c>
      <c r="X1398" s="0" t="str">
        <f aca="false">"31811012029776"</f>
        <v>31811012029776</v>
      </c>
      <c r="Y1398" s="0" t="s">
        <v>39</v>
      </c>
      <c r="Z1398" s="0" t="s">
        <v>42</v>
      </c>
      <c r="AA1398" s="0" t="s">
        <v>43</v>
      </c>
      <c r="AE1398" s="1" t="s">
        <v>52</v>
      </c>
    </row>
    <row r="1399" customFormat="false" ht="12.8" hidden="false" customHeight="false" outlineLevel="0" collapsed="false">
      <c r="A1399" s="0" t="n">
        <v>251673</v>
      </c>
      <c r="B1399" s="0" t="n">
        <v>275758</v>
      </c>
      <c r="C1399" s="0" t="n">
        <v>310103</v>
      </c>
      <c r="D1399" s="0" t="s">
        <v>35</v>
      </c>
      <c r="E1399" s="0" t="s">
        <v>35</v>
      </c>
      <c r="F1399" s="0" t="s">
        <v>480</v>
      </c>
      <c r="G1399" s="0" t="s">
        <v>37</v>
      </c>
      <c r="H1399" s="0" t="s">
        <v>4939</v>
      </c>
      <c r="I1399" s="0" t="s">
        <v>4940</v>
      </c>
      <c r="J1399" s="0" t="s">
        <v>4939</v>
      </c>
      <c r="M1399" s="0" t="s">
        <v>4941</v>
      </c>
      <c r="N1399" s="1" t="s">
        <v>2102</v>
      </c>
      <c r="O1399" s="0" t="s">
        <v>1668</v>
      </c>
      <c r="P1399" s="0" t="n">
        <v>1946</v>
      </c>
      <c r="Q1399" s="0" t="s">
        <v>39</v>
      </c>
      <c r="R1399" s="0" t="s">
        <v>4942</v>
      </c>
      <c r="S1399" s="0" t="s">
        <v>4943</v>
      </c>
      <c r="T1399" s="0" t="s">
        <v>4946</v>
      </c>
      <c r="V1399" s="0" t="n">
        <v>1</v>
      </c>
      <c r="W1399" s="0" t="n">
        <v>1</v>
      </c>
      <c r="X1399" s="0" t="str">
        <f aca="false">"31811012029784"</f>
        <v>31811012029784</v>
      </c>
      <c r="Y1399" s="0" t="s">
        <v>39</v>
      </c>
      <c r="Z1399" s="0" t="s">
        <v>42</v>
      </c>
      <c r="AA1399" s="0" t="s">
        <v>43</v>
      </c>
      <c r="AE1399" s="1" t="s">
        <v>52</v>
      </c>
    </row>
    <row r="1400" customFormat="false" ht="12.8" hidden="false" customHeight="false" outlineLevel="0" collapsed="false">
      <c r="A1400" s="0" t="n">
        <v>251673</v>
      </c>
      <c r="B1400" s="0" t="n">
        <v>275758</v>
      </c>
      <c r="C1400" s="0" t="n">
        <v>310104</v>
      </c>
      <c r="D1400" s="0" t="s">
        <v>35</v>
      </c>
      <c r="E1400" s="0" t="s">
        <v>35</v>
      </c>
      <c r="F1400" s="0" t="s">
        <v>480</v>
      </c>
      <c r="G1400" s="0" t="s">
        <v>37</v>
      </c>
      <c r="H1400" s="0" t="s">
        <v>4939</v>
      </c>
      <c r="I1400" s="0" t="s">
        <v>4940</v>
      </c>
      <c r="J1400" s="0" t="s">
        <v>4939</v>
      </c>
      <c r="M1400" s="0" t="s">
        <v>4941</v>
      </c>
      <c r="N1400" s="1" t="s">
        <v>2102</v>
      </c>
      <c r="O1400" s="0" t="s">
        <v>1668</v>
      </c>
      <c r="P1400" s="0" t="n">
        <v>1946</v>
      </c>
      <c r="Q1400" s="0" t="s">
        <v>39</v>
      </c>
      <c r="R1400" s="0" t="s">
        <v>4942</v>
      </c>
      <c r="S1400" s="0" t="s">
        <v>4943</v>
      </c>
      <c r="T1400" s="0" t="s">
        <v>4947</v>
      </c>
      <c r="V1400" s="0" t="n">
        <v>1</v>
      </c>
      <c r="W1400" s="0" t="n">
        <v>1</v>
      </c>
      <c r="X1400" s="0" t="str">
        <f aca="false">"31811012029792"</f>
        <v>31811012029792</v>
      </c>
      <c r="Y1400" s="0" t="s">
        <v>39</v>
      </c>
      <c r="Z1400" s="0" t="s">
        <v>42</v>
      </c>
      <c r="AA1400" s="0" t="s">
        <v>43</v>
      </c>
      <c r="AE1400" s="1" t="s">
        <v>52</v>
      </c>
    </row>
    <row r="1401" customFormat="false" ht="12.8" hidden="false" customHeight="false" outlineLevel="0" collapsed="false">
      <c r="A1401" s="0" t="n">
        <v>251673</v>
      </c>
      <c r="B1401" s="0" t="n">
        <v>275758</v>
      </c>
      <c r="C1401" s="0" t="n">
        <v>310105</v>
      </c>
      <c r="D1401" s="0" t="s">
        <v>35</v>
      </c>
      <c r="E1401" s="0" t="s">
        <v>35</v>
      </c>
      <c r="F1401" s="0" t="s">
        <v>480</v>
      </c>
      <c r="G1401" s="0" t="s">
        <v>37</v>
      </c>
      <c r="H1401" s="0" t="s">
        <v>4939</v>
      </c>
      <c r="I1401" s="0" t="s">
        <v>4940</v>
      </c>
      <c r="J1401" s="0" t="s">
        <v>4939</v>
      </c>
      <c r="M1401" s="0" t="s">
        <v>4941</v>
      </c>
      <c r="N1401" s="1" t="s">
        <v>2102</v>
      </c>
      <c r="O1401" s="0" t="s">
        <v>1668</v>
      </c>
      <c r="P1401" s="0" t="n">
        <v>1946</v>
      </c>
      <c r="Q1401" s="0" t="s">
        <v>39</v>
      </c>
      <c r="R1401" s="0" t="s">
        <v>4942</v>
      </c>
      <c r="S1401" s="0" t="s">
        <v>4943</v>
      </c>
      <c r="T1401" s="0" t="s">
        <v>4948</v>
      </c>
      <c r="V1401" s="0" t="n">
        <v>1</v>
      </c>
      <c r="W1401" s="0" t="n">
        <v>1</v>
      </c>
      <c r="X1401" s="0" t="str">
        <f aca="false">"31811012029800"</f>
        <v>31811012029800</v>
      </c>
      <c r="Y1401" s="0" t="s">
        <v>39</v>
      </c>
      <c r="Z1401" s="0" t="s">
        <v>42</v>
      </c>
      <c r="AA1401" s="0" t="s">
        <v>43</v>
      </c>
      <c r="AE1401" s="1" t="s">
        <v>52</v>
      </c>
    </row>
    <row r="1402" customFormat="false" ht="12.8" hidden="false" customHeight="false" outlineLevel="0" collapsed="false">
      <c r="A1402" s="0" t="n">
        <v>251673</v>
      </c>
      <c r="B1402" s="0" t="n">
        <v>275758</v>
      </c>
      <c r="C1402" s="0" t="n">
        <v>310106</v>
      </c>
      <c r="D1402" s="0" t="s">
        <v>35</v>
      </c>
      <c r="E1402" s="0" t="s">
        <v>35</v>
      </c>
      <c r="F1402" s="0" t="s">
        <v>480</v>
      </c>
      <c r="G1402" s="0" t="s">
        <v>37</v>
      </c>
      <c r="H1402" s="0" t="s">
        <v>4939</v>
      </c>
      <c r="I1402" s="0" t="s">
        <v>4940</v>
      </c>
      <c r="J1402" s="0" t="s">
        <v>4939</v>
      </c>
      <c r="M1402" s="0" t="s">
        <v>4941</v>
      </c>
      <c r="N1402" s="1" t="s">
        <v>2102</v>
      </c>
      <c r="O1402" s="0" t="s">
        <v>1668</v>
      </c>
      <c r="P1402" s="0" t="n">
        <v>1946</v>
      </c>
      <c r="Q1402" s="0" t="s">
        <v>39</v>
      </c>
      <c r="R1402" s="0" t="s">
        <v>4942</v>
      </c>
      <c r="S1402" s="0" t="s">
        <v>4943</v>
      </c>
      <c r="T1402" s="0" t="s">
        <v>4949</v>
      </c>
      <c r="V1402" s="0" t="n">
        <v>1</v>
      </c>
      <c r="W1402" s="0" t="n">
        <v>1</v>
      </c>
      <c r="X1402" s="0" t="str">
        <f aca="false">"31811012029735"</f>
        <v>31811012029735</v>
      </c>
      <c r="Y1402" s="0" t="s">
        <v>39</v>
      </c>
      <c r="Z1402" s="0" t="s">
        <v>42</v>
      </c>
      <c r="AA1402" s="0" t="s">
        <v>43</v>
      </c>
      <c r="AE1402" s="1" t="s">
        <v>52</v>
      </c>
    </row>
    <row r="1403" customFormat="false" ht="12.8" hidden="false" customHeight="false" outlineLevel="0" collapsed="false">
      <c r="A1403" s="0" t="n">
        <v>251673</v>
      </c>
      <c r="B1403" s="0" t="n">
        <v>275758</v>
      </c>
      <c r="C1403" s="0" t="n">
        <v>310107</v>
      </c>
      <c r="D1403" s="0" t="s">
        <v>35</v>
      </c>
      <c r="E1403" s="0" t="s">
        <v>35</v>
      </c>
      <c r="F1403" s="0" t="s">
        <v>480</v>
      </c>
      <c r="G1403" s="0" t="s">
        <v>37</v>
      </c>
      <c r="H1403" s="0" t="s">
        <v>4939</v>
      </c>
      <c r="I1403" s="0" t="s">
        <v>4940</v>
      </c>
      <c r="J1403" s="0" t="s">
        <v>4939</v>
      </c>
      <c r="M1403" s="0" t="s">
        <v>4941</v>
      </c>
      <c r="N1403" s="1" t="s">
        <v>2102</v>
      </c>
      <c r="O1403" s="0" t="s">
        <v>1668</v>
      </c>
      <c r="P1403" s="0" t="n">
        <v>1946</v>
      </c>
      <c r="Q1403" s="0" t="s">
        <v>39</v>
      </c>
      <c r="R1403" s="0" t="s">
        <v>4942</v>
      </c>
      <c r="S1403" s="0" t="s">
        <v>4943</v>
      </c>
      <c r="T1403" s="0" t="s">
        <v>4950</v>
      </c>
      <c r="V1403" s="0" t="n">
        <v>1</v>
      </c>
      <c r="W1403" s="0" t="n">
        <v>1</v>
      </c>
      <c r="X1403" s="0" t="str">
        <f aca="false">"31811012029743"</f>
        <v>31811012029743</v>
      </c>
      <c r="Y1403" s="0" t="s">
        <v>39</v>
      </c>
      <c r="Z1403" s="0" t="s">
        <v>42</v>
      </c>
      <c r="AA1403" s="0" t="s">
        <v>43</v>
      </c>
      <c r="AE1403" s="1" t="s">
        <v>52</v>
      </c>
    </row>
    <row r="1404" customFormat="false" ht="12.8" hidden="false" customHeight="false" outlineLevel="0" collapsed="false">
      <c r="A1404" s="0" t="n">
        <v>251673</v>
      </c>
      <c r="B1404" s="0" t="n">
        <v>275758</v>
      </c>
      <c r="C1404" s="0" t="n">
        <v>310108</v>
      </c>
      <c r="D1404" s="0" t="s">
        <v>35</v>
      </c>
      <c r="E1404" s="0" t="s">
        <v>35</v>
      </c>
      <c r="F1404" s="0" t="s">
        <v>480</v>
      </c>
      <c r="G1404" s="0" t="s">
        <v>37</v>
      </c>
      <c r="H1404" s="0" t="s">
        <v>4939</v>
      </c>
      <c r="I1404" s="0" t="s">
        <v>4940</v>
      </c>
      <c r="J1404" s="0" t="s">
        <v>4939</v>
      </c>
      <c r="M1404" s="0" t="s">
        <v>4941</v>
      </c>
      <c r="N1404" s="1" t="s">
        <v>2102</v>
      </c>
      <c r="O1404" s="0" t="s">
        <v>1668</v>
      </c>
      <c r="P1404" s="0" t="n">
        <v>1946</v>
      </c>
      <c r="Q1404" s="0" t="s">
        <v>39</v>
      </c>
      <c r="R1404" s="0" t="s">
        <v>4942</v>
      </c>
      <c r="S1404" s="0" t="s">
        <v>4943</v>
      </c>
      <c r="T1404" s="0" t="s">
        <v>4951</v>
      </c>
      <c r="V1404" s="0" t="n">
        <v>1</v>
      </c>
      <c r="W1404" s="0" t="n">
        <v>1</v>
      </c>
      <c r="X1404" s="0" t="str">
        <f aca="false">"31811012029750"</f>
        <v>31811012029750</v>
      </c>
      <c r="Y1404" s="0" t="s">
        <v>39</v>
      </c>
      <c r="Z1404" s="0" t="s">
        <v>42</v>
      </c>
      <c r="AA1404" s="0" t="s">
        <v>43</v>
      </c>
      <c r="AE1404" s="1" t="s">
        <v>52</v>
      </c>
    </row>
    <row r="1405" customFormat="false" ht="12.8" hidden="false" customHeight="false" outlineLevel="0" collapsed="false">
      <c r="A1405" s="0" t="n">
        <v>251673</v>
      </c>
      <c r="B1405" s="0" t="n">
        <v>275758</v>
      </c>
      <c r="C1405" s="0" t="n">
        <v>310109</v>
      </c>
      <c r="D1405" s="0" t="s">
        <v>35</v>
      </c>
      <c r="E1405" s="0" t="s">
        <v>35</v>
      </c>
      <c r="F1405" s="0" t="s">
        <v>480</v>
      </c>
      <c r="G1405" s="0" t="s">
        <v>37</v>
      </c>
      <c r="H1405" s="0" t="s">
        <v>4939</v>
      </c>
      <c r="I1405" s="0" t="s">
        <v>4940</v>
      </c>
      <c r="J1405" s="0" t="s">
        <v>4939</v>
      </c>
      <c r="M1405" s="0" t="s">
        <v>4941</v>
      </c>
      <c r="N1405" s="1" t="s">
        <v>2102</v>
      </c>
      <c r="O1405" s="0" t="s">
        <v>1668</v>
      </c>
      <c r="P1405" s="0" t="n">
        <v>1946</v>
      </c>
      <c r="Q1405" s="0" t="s">
        <v>39</v>
      </c>
      <c r="R1405" s="0" t="s">
        <v>4942</v>
      </c>
      <c r="S1405" s="0" t="s">
        <v>4943</v>
      </c>
      <c r="T1405" s="0" t="s">
        <v>4952</v>
      </c>
      <c r="V1405" s="0" t="n">
        <v>1</v>
      </c>
      <c r="W1405" s="0" t="n">
        <v>1</v>
      </c>
      <c r="X1405" s="0" t="str">
        <f aca="false">"31811012029768"</f>
        <v>31811012029768</v>
      </c>
      <c r="Y1405" s="0" t="s">
        <v>39</v>
      </c>
      <c r="Z1405" s="0" t="s">
        <v>42</v>
      </c>
      <c r="AA1405" s="0" t="s">
        <v>43</v>
      </c>
      <c r="AE1405" s="1" t="s">
        <v>52</v>
      </c>
    </row>
    <row r="1406" customFormat="false" ht="12.8" hidden="false" customHeight="false" outlineLevel="0" collapsed="false">
      <c r="A1406" s="0" t="n">
        <v>251673</v>
      </c>
      <c r="B1406" s="0" t="n">
        <v>275758</v>
      </c>
      <c r="C1406" s="0" t="n">
        <v>310110</v>
      </c>
      <c r="D1406" s="0" t="s">
        <v>35</v>
      </c>
      <c r="E1406" s="0" t="s">
        <v>35</v>
      </c>
      <c r="F1406" s="0" t="s">
        <v>480</v>
      </c>
      <c r="G1406" s="0" t="s">
        <v>37</v>
      </c>
      <c r="H1406" s="0" t="s">
        <v>4939</v>
      </c>
      <c r="I1406" s="0" t="s">
        <v>4940</v>
      </c>
      <c r="J1406" s="0" t="s">
        <v>4939</v>
      </c>
      <c r="M1406" s="0" t="s">
        <v>4941</v>
      </c>
      <c r="N1406" s="1" t="s">
        <v>2102</v>
      </c>
      <c r="O1406" s="0" t="s">
        <v>1668</v>
      </c>
      <c r="P1406" s="0" t="n">
        <v>1946</v>
      </c>
      <c r="Q1406" s="0" t="s">
        <v>39</v>
      </c>
      <c r="R1406" s="0" t="s">
        <v>4942</v>
      </c>
      <c r="S1406" s="0" t="s">
        <v>4943</v>
      </c>
      <c r="T1406" s="0" t="s">
        <v>4953</v>
      </c>
      <c r="V1406" s="0" t="n">
        <v>1</v>
      </c>
      <c r="W1406" s="0" t="n">
        <v>1</v>
      </c>
      <c r="X1406" s="0" t="str">
        <f aca="false">"31811012029628"</f>
        <v>31811012029628</v>
      </c>
      <c r="Y1406" s="0" t="s">
        <v>39</v>
      </c>
      <c r="Z1406" s="0" t="s">
        <v>42</v>
      </c>
      <c r="AA1406" s="0" t="s">
        <v>43</v>
      </c>
      <c r="AE1406" s="1" t="s">
        <v>52</v>
      </c>
    </row>
    <row r="1407" customFormat="false" ht="12.8" hidden="false" customHeight="false" outlineLevel="0" collapsed="false">
      <c r="A1407" s="0" t="n">
        <v>251673</v>
      </c>
      <c r="B1407" s="0" t="n">
        <v>275758</v>
      </c>
      <c r="C1407" s="0" t="n">
        <v>310111</v>
      </c>
      <c r="D1407" s="0" t="s">
        <v>35</v>
      </c>
      <c r="E1407" s="0" t="s">
        <v>35</v>
      </c>
      <c r="F1407" s="0" t="s">
        <v>480</v>
      </c>
      <c r="G1407" s="0" t="s">
        <v>37</v>
      </c>
      <c r="H1407" s="0" t="s">
        <v>4939</v>
      </c>
      <c r="I1407" s="0" t="s">
        <v>4940</v>
      </c>
      <c r="J1407" s="0" t="s">
        <v>4939</v>
      </c>
      <c r="M1407" s="0" t="s">
        <v>4941</v>
      </c>
      <c r="N1407" s="1" t="s">
        <v>2102</v>
      </c>
      <c r="O1407" s="0" t="s">
        <v>1668</v>
      </c>
      <c r="P1407" s="0" t="n">
        <v>1946</v>
      </c>
      <c r="Q1407" s="0" t="s">
        <v>39</v>
      </c>
      <c r="R1407" s="0" t="s">
        <v>4942</v>
      </c>
      <c r="S1407" s="0" t="s">
        <v>4943</v>
      </c>
      <c r="T1407" s="0" t="s">
        <v>4954</v>
      </c>
      <c r="V1407" s="0" t="n">
        <v>1</v>
      </c>
      <c r="W1407" s="0" t="n">
        <v>1</v>
      </c>
      <c r="X1407" s="0" t="str">
        <f aca="false">"31811012029636"</f>
        <v>31811012029636</v>
      </c>
      <c r="Y1407" s="0" t="s">
        <v>39</v>
      </c>
      <c r="Z1407" s="0" t="s">
        <v>42</v>
      </c>
      <c r="AA1407" s="0" t="s">
        <v>43</v>
      </c>
      <c r="AE1407" s="1" t="s">
        <v>52</v>
      </c>
    </row>
    <row r="1408" customFormat="false" ht="12.8" hidden="false" customHeight="false" outlineLevel="0" collapsed="false">
      <c r="A1408" s="0" t="n">
        <v>251673</v>
      </c>
      <c r="B1408" s="0" t="n">
        <v>275758</v>
      </c>
      <c r="C1408" s="0" t="n">
        <v>310112</v>
      </c>
      <c r="D1408" s="0" t="s">
        <v>35</v>
      </c>
      <c r="E1408" s="0" t="s">
        <v>35</v>
      </c>
      <c r="F1408" s="0" t="s">
        <v>480</v>
      </c>
      <c r="G1408" s="0" t="s">
        <v>37</v>
      </c>
      <c r="H1408" s="0" t="s">
        <v>4939</v>
      </c>
      <c r="I1408" s="0" t="s">
        <v>4940</v>
      </c>
      <c r="J1408" s="0" t="s">
        <v>4939</v>
      </c>
      <c r="M1408" s="0" t="s">
        <v>4941</v>
      </c>
      <c r="N1408" s="1" t="s">
        <v>2102</v>
      </c>
      <c r="O1408" s="0" t="s">
        <v>1668</v>
      </c>
      <c r="P1408" s="0" t="n">
        <v>1946</v>
      </c>
      <c r="Q1408" s="0" t="s">
        <v>39</v>
      </c>
      <c r="R1408" s="0" t="s">
        <v>4942</v>
      </c>
      <c r="S1408" s="0" t="s">
        <v>4943</v>
      </c>
      <c r="T1408" s="0" t="s">
        <v>4955</v>
      </c>
      <c r="V1408" s="0" t="n">
        <v>1</v>
      </c>
      <c r="W1408" s="0" t="n">
        <v>1</v>
      </c>
      <c r="X1408" s="0" t="str">
        <f aca="false">"31811012029644"</f>
        <v>31811012029644</v>
      </c>
      <c r="Y1408" s="0" t="s">
        <v>39</v>
      </c>
      <c r="Z1408" s="0" t="s">
        <v>42</v>
      </c>
      <c r="AA1408" s="0" t="s">
        <v>43</v>
      </c>
      <c r="AE1408" s="1" t="s">
        <v>52</v>
      </c>
    </row>
    <row r="1409" customFormat="false" ht="12.8" hidden="false" customHeight="false" outlineLevel="0" collapsed="false">
      <c r="A1409" s="0" t="n">
        <v>251673</v>
      </c>
      <c r="B1409" s="0" t="n">
        <v>275758</v>
      </c>
      <c r="C1409" s="0" t="n">
        <v>310113</v>
      </c>
      <c r="D1409" s="0" t="s">
        <v>35</v>
      </c>
      <c r="E1409" s="0" t="s">
        <v>35</v>
      </c>
      <c r="F1409" s="0" t="s">
        <v>480</v>
      </c>
      <c r="G1409" s="0" t="s">
        <v>37</v>
      </c>
      <c r="H1409" s="0" t="s">
        <v>4939</v>
      </c>
      <c r="I1409" s="0" t="s">
        <v>4940</v>
      </c>
      <c r="J1409" s="0" t="s">
        <v>4939</v>
      </c>
      <c r="M1409" s="0" t="s">
        <v>4941</v>
      </c>
      <c r="N1409" s="1" t="s">
        <v>2102</v>
      </c>
      <c r="O1409" s="0" t="s">
        <v>1668</v>
      </c>
      <c r="P1409" s="0" t="n">
        <v>1946</v>
      </c>
      <c r="Q1409" s="0" t="s">
        <v>39</v>
      </c>
      <c r="R1409" s="0" t="s">
        <v>4942</v>
      </c>
      <c r="S1409" s="0" t="s">
        <v>4943</v>
      </c>
      <c r="T1409" s="0" t="s">
        <v>4956</v>
      </c>
      <c r="V1409" s="0" t="n">
        <v>1</v>
      </c>
      <c r="W1409" s="0" t="n">
        <v>1</v>
      </c>
      <c r="X1409" s="0" t="str">
        <f aca="false">"31811012029693"</f>
        <v>31811012029693</v>
      </c>
      <c r="Y1409" s="0" t="s">
        <v>39</v>
      </c>
      <c r="Z1409" s="0" t="s">
        <v>42</v>
      </c>
      <c r="AA1409" s="0" t="s">
        <v>43</v>
      </c>
      <c r="AE1409" s="1" t="s">
        <v>52</v>
      </c>
    </row>
    <row r="1410" customFormat="false" ht="12.8" hidden="false" customHeight="false" outlineLevel="0" collapsed="false">
      <c r="A1410" s="0" t="n">
        <v>251673</v>
      </c>
      <c r="B1410" s="0" t="n">
        <v>275758</v>
      </c>
      <c r="C1410" s="0" t="n">
        <v>310114</v>
      </c>
      <c r="D1410" s="0" t="s">
        <v>35</v>
      </c>
      <c r="E1410" s="0" t="s">
        <v>35</v>
      </c>
      <c r="F1410" s="0" t="s">
        <v>480</v>
      </c>
      <c r="G1410" s="0" t="s">
        <v>37</v>
      </c>
      <c r="H1410" s="0" t="s">
        <v>4939</v>
      </c>
      <c r="I1410" s="0" t="s">
        <v>4940</v>
      </c>
      <c r="J1410" s="0" t="s">
        <v>4939</v>
      </c>
      <c r="M1410" s="0" t="s">
        <v>4941</v>
      </c>
      <c r="N1410" s="1" t="s">
        <v>2102</v>
      </c>
      <c r="O1410" s="0" t="s">
        <v>1668</v>
      </c>
      <c r="P1410" s="0" t="n">
        <v>1946</v>
      </c>
      <c r="Q1410" s="0" t="s">
        <v>39</v>
      </c>
      <c r="R1410" s="0" t="s">
        <v>4942</v>
      </c>
      <c r="S1410" s="0" t="s">
        <v>4943</v>
      </c>
      <c r="T1410" s="0" t="s">
        <v>4957</v>
      </c>
      <c r="V1410" s="0" t="n">
        <v>1</v>
      </c>
      <c r="W1410" s="0" t="n">
        <v>1</v>
      </c>
      <c r="X1410" s="0" t="str">
        <f aca="false">"31811012029701"</f>
        <v>31811012029701</v>
      </c>
      <c r="Y1410" s="0" t="s">
        <v>39</v>
      </c>
      <c r="Z1410" s="0" t="s">
        <v>42</v>
      </c>
      <c r="AA1410" s="0" t="s">
        <v>43</v>
      </c>
      <c r="AE1410" s="1" t="s">
        <v>52</v>
      </c>
    </row>
    <row r="1411" customFormat="false" ht="12.8" hidden="false" customHeight="false" outlineLevel="0" collapsed="false">
      <c r="A1411" s="0" t="n">
        <v>251673</v>
      </c>
      <c r="B1411" s="0" t="n">
        <v>275758</v>
      </c>
      <c r="C1411" s="0" t="n">
        <v>310115</v>
      </c>
      <c r="D1411" s="0" t="s">
        <v>35</v>
      </c>
      <c r="E1411" s="0" t="s">
        <v>35</v>
      </c>
      <c r="F1411" s="0" t="s">
        <v>480</v>
      </c>
      <c r="G1411" s="0" t="s">
        <v>37</v>
      </c>
      <c r="H1411" s="0" t="s">
        <v>4939</v>
      </c>
      <c r="I1411" s="0" t="s">
        <v>4940</v>
      </c>
      <c r="J1411" s="0" t="s">
        <v>4939</v>
      </c>
      <c r="M1411" s="0" t="s">
        <v>4941</v>
      </c>
      <c r="N1411" s="1" t="s">
        <v>2102</v>
      </c>
      <c r="O1411" s="0" t="s">
        <v>1668</v>
      </c>
      <c r="P1411" s="0" t="n">
        <v>1946</v>
      </c>
      <c r="Q1411" s="0" t="s">
        <v>39</v>
      </c>
      <c r="R1411" s="0" t="s">
        <v>4942</v>
      </c>
      <c r="S1411" s="0" t="s">
        <v>4943</v>
      </c>
      <c r="T1411" s="0" t="s">
        <v>4958</v>
      </c>
      <c r="V1411" s="0" t="n">
        <v>1</v>
      </c>
      <c r="W1411" s="0" t="n">
        <v>1</v>
      </c>
      <c r="X1411" s="0" t="str">
        <f aca="false">"31811012029719"</f>
        <v>31811012029719</v>
      </c>
      <c r="Y1411" s="0" t="s">
        <v>39</v>
      </c>
      <c r="Z1411" s="0" t="s">
        <v>42</v>
      </c>
      <c r="AA1411" s="0" t="s">
        <v>43</v>
      </c>
      <c r="AE1411" s="1" t="s">
        <v>52</v>
      </c>
    </row>
    <row r="1412" customFormat="false" ht="12.8" hidden="false" customHeight="false" outlineLevel="0" collapsed="false">
      <c r="A1412" s="0" t="n">
        <v>251673</v>
      </c>
      <c r="B1412" s="0" t="n">
        <v>275758</v>
      </c>
      <c r="C1412" s="0" t="n">
        <v>310116</v>
      </c>
      <c r="D1412" s="0" t="s">
        <v>35</v>
      </c>
      <c r="E1412" s="0" t="s">
        <v>35</v>
      </c>
      <c r="F1412" s="0" t="s">
        <v>480</v>
      </c>
      <c r="G1412" s="0" t="s">
        <v>37</v>
      </c>
      <c r="H1412" s="0" t="s">
        <v>4939</v>
      </c>
      <c r="I1412" s="0" t="s">
        <v>4940</v>
      </c>
      <c r="J1412" s="0" t="s">
        <v>4939</v>
      </c>
      <c r="M1412" s="0" t="s">
        <v>4941</v>
      </c>
      <c r="N1412" s="1" t="s">
        <v>2102</v>
      </c>
      <c r="O1412" s="0" t="s">
        <v>1668</v>
      </c>
      <c r="P1412" s="0" t="n">
        <v>1946</v>
      </c>
      <c r="Q1412" s="0" t="s">
        <v>39</v>
      </c>
      <c r="R1412" s="0" t="s">
        <v>4942</v>
      </c>
      <c r="S1412" s="0" t="s">
        <v>4943</v>
      </c>
      <c r="T1412" s="0" t="s">
        <v>4959</v>
      </c>
      <c r="V1412" s="0" t="n">
        <v>1</v>
      </c>
      <c r="W1412" s="0" t="n">
        <v>1</v>
      </c>
      <c r="X1412" s="0" t="str">
        <f aca="false">"31811012029727"</f>
        <v>31811012029727</v>
      </c>
      <c r="Y1412" s="0" t="s">
        <v>39</v>
      </c>
      <c r="Z1412" s="0" t="s">
        <v>42</v>
      </c>
      <c r="AA1412" s="0" t="s">
        <v>43</v>
      </c>
      <c r="AE1412" s="1" t="s">
        <v>52</v>
      </c>
    </row>
    <row r="1413" customFormat="false" ht="12.8" hidden="false" customHeight="false" outlineLevel="0" collapsed="false">
      <c r="A1413" s="0" t="n">
        <v>251673</v>
      </c>
      <c r="B1413" s="0" t="n">
        <v>275758</v>
      </c>
      <c r="C1413" s="0" t="n">
        <v>310117</v>
      </c>
      <c r="D1413" s="0" t="s">
        <v>35</v>
      </c>
      <c r="E1413" s="0" t="s">
        <v>35</v>
      </c>
      <c r="F1413" s="0" t="s">
        <v>480</v>
      </c>
      <c r="G1413" s="0" t="s">
        <v>37</v>
      </c>
      <c r="H1413" s="0" t="s">
        <v>4939</v>
      </c>
      <c r="I1413" s="0" t="s">
        <v>4940</v>
      </c>
      <c r="J1413" s="0" t="s">
        <v>4939</v>
      </c>
      <c r="M1413" s="0" t="s">
        <v>4941</v>
      </c>
      <c r="N1413" s="1" t="s">
        <v>2102</v>
      </c>
      <c r="O1413" s="0" t="s">
        <v>1668</v>
      </c>
      <c r="P1413" s="0" t="n">
        <v>1946</v>
      </c>
      <c r="Q1413" s="0" t="s">
        <v>39</v>
      </c>
      <c r="R1413" s="0" t="s">
        <v>4942</v>
      </c>
      <c r="S1413" s="0" t="s">
        <v>4943</v>
      </c>
      <c r="T1413" s="0" t="s">
        <v>4960</v>
      </c>
      <c r="V1413" s="0" t="n">
        <v>1</v>
      </c>
      <c r="W1413" s="0" t="n">
        <v>1</v>
      </c>
      <c r="X1413" s="0" t="str">
        <f aca="false">"31811012029651"</f>
        <v>31811012029651</v>
      </c>
      <c r="Y1413" s="0" t="s">
        <v>39</v>
      </c>
      <c r="Z1413" s="0" t="s">
        <v>42</v>
      </c>
      <c r="AA1413" s="0" t="s">
        <v>43</v>
      </c>
      <c r="AE1413" s="1" t="s">
        <v>52</v>
      </c>
    </row>
    <row r="1414" customFormat="false" ht="12.8" hidden="false" customHeight="false" outlineLevel="0" collapsed="false">
      <c r="A1414" s="0" t="n">
        <v>251673</v>
      </c>
      <c r="B1414" s="0" t="n">
        <v>275758</v>
      </c>
      <c r="C1414" s="0" t="n">
        <v>310118</v>
      </c>
      <c r="D1414" s="0" t="s">
        <v>35</v>
      </c>
      <c r="E1414" s="0" t="s">
        <v>35</v>
      </c>
      <c r="F1414" s="0" t="s">
        <v>480</v>
      </c>
      <c r="G1414" s="0" t="s">
        <v>37</v>
      </c>
      <c r="H1414" s="0" t="s">
        <v>4939</v>
      </c>
      <c r="I1414" s="0" t="s">
        <v>4940</v>
      </c>
      <c r="J1414" s="0" t="s">
        <v>4939</v>
      </c>
      <c r="M1414" s="0" t="s">
        <v>4941</v>
      </c>
      <c r="N1414" s="1" t="s">
        <v>2102</v>
      </c>
      <c r="O1414" s="0" t="s">
        <v>1668</v>
      </c>
      <c r="P1414" s="0" t="n">
        <v>1946</v>
      </c>
      <c r="Q1414" s="0" t="s">
        <v>39</v>
      </c>
      <c r="R1414" s="0" t="s">
        <v>4942</v>
      </c>
      <c r="S1414" s="0" t="s">
        <v>4943</v>
      </c>
      <c r="T1414" s="0" t="s">
        <v>4961</v>
      </c>
      <c r="V1414" s="0" t="n">
        <v>1</v>
      </c>
      <c r="W1414" s="0" t="n">
        <v>1</v>
      </c>
      <c r="X1414" s="0" t="str">
        <f aca="false">"31811012029669"</f>
        <v>31811012029669</v>
      </c>
      <c r="Y1414" s="0" t="s">
        <v>39</v>
      </c>
      <c r="Z1414" s="0" t="s">
        <v>42</v>
      </c>
      <c r="AA1414" s="0" t="s">
        <v>43</v>
      </c>
      <c r="AE1414" s="1" t="s">
        <v>52</v>
      </c>
    </row>
    <row r="1415" customFormat="false" ht="12.8" hidden="false" customHeight="false" outlineLevel="0" collapsed="false">
      <c r="A1415" s="0" t="n">
        <v>251673</v>
      </c>
      <c r="B1415" s="0" t="n">
        <v>275758</v>
      </c>
      <c r="C1415" s="0" t="n">
        <v>310119</v>
      </c>
      <c r="D1415" s="0" t="s">
        <v>35</v>
      </c>
      <c r="E1415" s="0" t="s">
        <v>35</v>
      </c>
      <c r="F1415" s="0" t="s">
        <v>480</v>
      </c>
      <c r="G1415" s="0" t="s">
        <v>37</v>
      </c>
      <c r="H1415" s="0" t="s">
        <v>4939</v>
      </c>
      <c r="I1415" s="0" t="s">
        <v>4940</v>
      </c>
      <c r="J1415" s="0" t="s">
        <v>4939</v>
      </c>
      <c r="M1415" s="0" t="s">
        <v>4941</v>
      </c>
      <c r="N1415" s="1" t="s">
        <v>2102</v>
      </c>
      <c r="O1415" s="0" t="s">
        <v>1668</v>
      </c>
      <c r="P1415" s="0" t="n">
        <v>1946</v>
      </c>
      <c r="Q1415" s="0" t="s">
        <v>39</v>
      </c>
      <c r="R1415" s="0" t="s">
        <v>4942</v>
      </c>
      <c r="S1415" s="0" t="s">
        <v>4943</v>
      </c>
      <c r="T1415" s="0" t="s">
        <v>4962</v>
      </c>
      <c r="V1415" s="0" t="n">
        <v>1</v>
      </c>
      <c r="W1415" s="0" t="n">
        <v>1</v>
      </c>
      <c r="X1415" s="0" t="str">
        <f aca="false">"31811012029677"</f>
        <v>31811012029677</v>
      </c>
      <c r="Y1415" s="0" t="s">
        <v>39</v>
      </c>
      <c r="Z1415" s="0" t="s">
        <v>42</v>
      </c>
      <c r="AA1415" s="0" t="s">
        <v>43</v>
      </c>
      <c r="AE1415" s="1" t="s">
        <v>52</v>
      </c>
    </row>
    <row r="1416" customFormat="false" ht="12.8" hidden="false" customHeight="false" outlineLevel="0" collapsed="false">
      <c r="A1416" s="0" t="n">
        <v>251673</v>
      </c>
      <c r="B1416" s="0" t="n">
        <v>275758</v>
      </c>
      <c r="C1416" s="0" t="n">
        <v>310120</v>
      </c>
      <c r="D1416" s="0" t="s">
        <v>35</v>
      </c>
      <c r="E1416" s="0" t="s">
        <v>35</v>
      </c>
      <c r="F1416" s="0" t="s">
        <v>480</v>
      </c>
      <c r="G1416" s="0" t="s">
        <v>37</v>
      </c>
      <c r="H1416" s="0" t="s">
        <v>4939</v>
      </c>
      <c r="I1416" s="0" t="s">
        <v>4940</v>
      </c>
      <c r="J1416" s="0" t="s">
        <v>4939</v>
      </c>
      <c r="M1416" s="0" t="s">
        <v>4941</v>
      </c>
      <c r="N1416" s="1" t="s">
        <v>2102</v>
      </c>
      <c r="O1416" s="0" t="s">
        <v>1668</v>
      </c>
      <c r="P1416" s="0" t="n">
        <v>1946</v>
      </c>
      <c r="Q1416" s="0" t="s">
        <v>39</v>
      </c>
      <c r="R1416" s="0" t="s">
        <v>4942</v>
      </c>
      <c r="S1416" s="0" t="s">
        <v>4943</v>
      </c>
      <c r="T1416" s="0" t="s">
        <v>4963</v>
      </c>
      <c r="V1416" s="0" t="n">
        <v>1</v>
      </c>
      <c r="W1416" s="0" t="n">
        <v>1</v>
      </c>
      <c r="X1416" s="0" t="str">
        <f aca="false">"31811012029685"</f>
        <v>31811012029685</v>
      </c>
      <c r="Y1416" s="0" t="s">
        <v>39</v>
      </c>
      <c r="Z1416" s="0" t="s">
        <v>42</v>
      </c>
      <c r="AA1416" s="0" t="s">
        <v>43</v>
      </c>
      <c r="AE1416" s="1" t="s">
        <v>52</v>
      </c>
    </row>
    <row r="1417" customFormat="false" ht="12.8" hidden="false" customHeight="false" outlineLevel="0" collapsed="false">
      <c r="A1417" s="0" t="n">
        <v>251673</v>
      </c>
      <c r="B1417" s="0" t="n">
        <v>275758</v>
      </c>
      <c r="C1417" s="0" t="n">
        <v>310121</v>
      </c>
      <c r="D1417" s="0" t="s">
        <v>35</v>
      </c>
      <c r="E1417" s="0" t="s">
        <v>35</v>
      </c>
      <c r="F1417" s="0" t="s">
        <v>480</v>
      </c>
      <c r="G1417" s="0" t="s">
        <v>37</v>
      </c>
      <c r="H1417" s="0" t="s">
        <v>4939</v>
      </c>
      <c r="I1417" s="0" t="s">
        <v>4940</v>
      </c>
      <c r="J1417" s="0" t="s">
        <v>4939</v>
      </c>
      <c r="M1417" s="0" t="s">
        <v>4941</v>
      </c>
      <c r="N1417" s="1" t="s">
        <v>2102</v>
      </c>
      <c r="O1417" s="0" t="s">
        <v>1668</v>
      </c>
      <c r="P1417" s="0" t="n">
        <v>1946</v>
      </c>
      <c r="Q1417" s="0" t="s">
        <v>39</v>
      </c>
      <c r="R1417" s="0" t="s">
        <v>4942</v>
      </c>
      <c r="S1417" s="0" t="s">
        <v>4943</v>
      </c>
      <c r="T1417" s="0" t="s">
        <v>4964</v>
      </c>
      <c r="V1417" s="0" t="n">
        <v>1</v>
      </c>
      <c r="W1417" s="0" t="n">
        <v>1</v>
      </c>
      <c r="X1417" s="0" t="str">
        <f aca="false">"31811012019538"</f>
        <v>31811012019538</v>
      </c>
      <c r="Y1417" s="0" t="s">
        <v>39</v>
      </c>
      <c r="Z1417" s="0" t="s">
        <v>42</v>
      </c>
      <c r="AA1417" s="0" t="s">
        <v>43</v>
      </c>
      <c r="AE1417" s="1" t="s">
        <v>52</v>
      </c>
    </row>
    <row r="1418" customFormat="false" ht="12.8" hidden="false" customHeight="false" outlineLevel="0" collapsed="false">
      <c r="A1418" s="0" t="n">
        <v>251673</v>
      </c>
      <c r="B1418" s="0" t="n">
        <v>275758</v>
      </c>
      <c r="C1418" s="0" t="n">
        <v>310122</v>
      </c>
      <c r="D1418" s="0" t="s">
        <v>35</v>
      </c>
      <c r="E1418" s="0" t="s">
        <v>35</v>
      </c>
      <c r="F1418" s="0" t="s">
        <v>480</v>
      </c>
      <c r="G1418" s="0" t="s">
        <v>37</v>
      </c>
      <c r="H1418" s="0" t="s">
        <v>4939</v>
      </c>
      <c r="I1418" s="0" t="s">
        <v>4940</v>
      </c>
      <c r="J1418" s="0" t="s">
        <v>4939</v>
      </c>
      <c r="M1418" s="0" t="s">
        <v>4941</v>
      </c>
      <c r="N1418" s="1" t="s">
        <v>2102</v>
      </c>
      <c r="O1418" s="0" t="s">
        <v>1668</v>
      </c>
      <c r="P1418" s="0" t="n">
        <v>1946</v>
      </c>
      <c r="Q1418" s="0" t="s">
        <v>39</v>
      </c>
      <c r="R1418" s="0" t="s">
        <v>4942</v>
      </c>
      <c r="S1418" s="0" t="s">
        <v>4943</v>
      </c>
      <c r="T1418" s="0" t="s">
        <v>4965</v>
      </c>
      <c r="V1418" s="0" t="n">
        <v>1</v>
      </c>
      <c r="W1418" s="0" t="n">
        <v>1</v>
      </c>
      <c r="X1418" s="0" t="str">
        <f aca="false">"31811012019546"</f>
        <v>31811012019546</v>
      </c>
      <c r="Y1418" s="0" t="s">
        <v>39</v>
      </c>
      <c r="Z1418" s="0" t="s">
        <v>42</v>
      </c>
      <c r="AA1418" s="0" t="s">
        <v>43</v>
      </c>
      <c r="AE1418" s="1" t="s">
        <v>52</v>
      </c>
    </row>
    <row r="1419" customFormat="false" ht="12.8" hidden="false" customHeight="false" outlineLevel="0" collapsed="false">
      <c r="A1419" s="0" t="n">
        <v>251673</v>
      </c>
      <c r="B1419" s="0" t="n">
        <v>275758</v>
      </c>
      <c r="C1419" s="0" t="n">
        <v>310123</v>
      </c>
      <c r="D1419" s="0" t="s">
        <v>35</v>
      </c>
      <c r="E1419" s="0" t="s">
        <v>35</v>
      </c>
      <c r="F1419" s="0" t="s">
        <v>480</v>
      </c>
      <c r="G1419" s="0" t="s">
        <v>37</v>
      </c>
      <c r="H1419" s="0" t="s">
        <v>4939</v>
      </c>
      <c r="I1419" s="0" t="s">
        <v>4940</v>
      </c>
      <c r="J1419" s="0" t="s">
        <v>4939</v>
      </c>
      <c r="M1419" s="0" t="s">
        <v>4941</v>
      </c>
      <c r="N1419" s="1" t="s">
        <v>2102</v>
      </c>
      <c r="O1419" s="0" t="s">
        <v>1668</v>
      </c>
      <c r="P1419" s="0" t="n">
        <v>1946</v>
      </c>
      <c r="Q1419" s="0" t="s">
        <v>39</v>
      </c>
      <c r="R1419" s="0" t="s">
        <v>4942</v>
      </c>
      <c r="S1419" s="0" t="s">
        <v>4943</v>
      </c>
      <c r="T1419" s="0" t="s">
        <v>4966</v>
      </c>
      <c r="V1419" s="0" t="n">
        <v>1</v>
      </c>
      <c r="W1419" s="0" t="n">
        <v>1</v>
      </c>
      <c r="X1419" s="0" t="str">
        <f aca="false">"31811012019553"</f>
        <v>31811012019553</v>
      </c>
      <c r="Y1419" s="0" t="s">
        <v>39</v>
      </c>
      <c r="Z1419" s="0" t="s">
        <v>42</v>
      </c>
      <c r="AA1419" s="0" t="s">
        <v>43</v>
      </c>
      <c r="AE1419" s="1" t="s">
        <v>52</v>
      </c>
    </row>
    <row r="1420" customFormat="false" ht="12.8" hidden="false" customHeight="false" outlineLevel="0" collapsed="false">
      <c r="A1420" s="0" t="n">
        <v>251673</v>
      </c>
      <c r="B1420" s="0" t="n">
        <v>275758</v>
      </c>
      <c r="C1420" s="0" t="n">
        <v>310124</v>
      </c>
      <c r="D1420" s="0" t="s">
        <v>35</v>
      </c>
      <c r="E1420" s="0" t="s">
        <v>35</v>
      </c>
      <c r="F1420" s="0" t="s">
        <v>480</v>
      </c>
      <c r="G1420" s="0" t="s">
        <v>37</v>
      </c>
      <c r="H1420" s="0" t="s">
        <v>4939</v>
      </c>
      <c r="I1420" s="0" t="s">
        <v>4940</v>
      </c>
      <c r="J1420" s="0" t="s">
        <v>4939</v>
      </c>
      <c r="M1420" s="0" t="s">
        <v>4941</v>
      </c>
      <c r="N1420" s="1" t="s">
        <v>2102</v>
      </c>
      <c r="O1420" s="0" t="s">
        <v>1668</v>
      </c>
      <c r="P1420" s="0" t="n">
        <v>1946</v>
      </c>
      <c r="Q1420" s="0" t="s">
        <v>39</v>
      </c>
      <c r="R1420" s="0" t="s">
        <v>4942</v>
      </c>
      <c r="S1420" s="0" t="s">
        <v>4943</v>
      </c>
      <c r="T1420" s="0" t="s">
        <v>4967</v>
      </c>
      <c r="V1420" s="0" t="n">
        <v>1</v>
      </c>
      <c r="W1420" s="0" t="n">
        <v>1</v>
      </c>
      <c r="X1420" s="0" t="str">
        <f aca="false">"31811012019561"</f>
        <v>31811012019561</v>
      </c>
      <c r="Y1420" s="0" t="s">
        <v>39</v>
      </c>
      <c r="Z1420" s="0" t="s">
        <v>42</v>
      </c>
      <c r="AA1420" s="0" t="s">
        <v>43</v>
      </c>
      <c r="AE1420" s="1" t="s">
        <v>52</v>
      </c>
    </row>
    <row r="1421" customFormat="false" ht="12.8" hidden="false" customHeight="false" outlineLevel="0" collapsed="false">
      <c r="A1421" s="0" t="n">
        <v>251673</v>
      </c>
      <c r="B1421" s="0" t="n">
        <v>275758</v>
      </c>
      <c r="C1421" s="0" t="n">
        <v>310125</v>
      </c>
      <c r="D1421" s="0" t="s">
        <v>35</v>
      </c>
      <c r="E1421" s="0" t="s">
        <v>35</v>
      </c>
      <c r="F1421" s="0" t="s">
        <v>480</v>
      </c>
      <c r="G1421" s="0" t="s">
        <v>37</v>
      </c>
      <c r="H1421" s="0" t="s">
        <v>4939</v>
      </c>
      <c r="I1421" s="0" t="s">
        <v>4940</v>
      </c>
      <c r="J1421" s="0" t="s">
        <v>4939</v>
      </c>
      <c r="M1421" s="0" t="s">
        <v>4941</v>
      </c>
      <c r="N1421" s="1" t="s">
        <v>2102</v>
      </c>
      <c r="O1421" s="0" t="s">
        <v>1668</v>
      </c>
      <c r="P1421" s="0" t="n">
        <v>1946</v>
      </c>
      <c r="Q1421" s="0" t="s">
        <v>39</v>
      </c>
      <c r="R1421" s="0" t="s">
        <v>4942</v>
      </c>
      <c r="S1421" s="0" t="s">
        <v>4943</v>
      </c>
      <c r="T1421" s="0" t="s">
        <v>4968</v>
      </c>
      <c r="V1421" s="0" t="n">
        <v>1</v>
      </c>
      <c r="W1421" s="0" t="n">
        <v>1</v>
      </c>
      <c r="X1421" s="0" t="str">
        <f aca="false">"31811012019520"</f>
        <v>31811012019520</v>
      </c>
      <c r="Y1421" s="0" t="s">
        <v>39</v>
      </c>
      <c r="Z1421" s="0" t="s">
        <v>42</v>
      </c>
      <c r="AA1421" s="0" t="s">
        <v>43</v>
      </c>
      <c r="AE1421" s="1" t="s">
        <v>52</v>
      </c>
    </row>
    <row r="1422" customFormat="false" ht="12.8" hidden="false" customHeight="false" outlineLevel="0" collapsed="false">
      <c r="A1422" s="0" t="n">
        <v>251673</v>
      </c>
      <c r="B1422" s="0" t="n">
        <v>275758</v>
      </c>
      <c r="C1422" s="0" t="n">
        <v>310126</v>
      </c>
      <c r="D1422" s="0" t="s">
        <v>35</v>
      </c>
      <c r="E1422" s="0" t="s">
        <v>35</v>
      </c>
      <c r="F1422" s="0" t="s">
        <v>480</v>
      </c>
      <c r="G1422" s="0" t="s">
        <v>37</v>
      </c>
      <c r="H1422" s="0" t="s">
        <v>4939</v>
      </c>
      <c r="I1422" s="0" t="s">
        <v>4940</v>
      </c>
      <c r="J1422" s="0" t="s">
        <v>4939</v>
      </c>
      <c r="M1422" s="0" t="s">
        <v>4941</v>
      </c>
      <c r="N1422" s="1" t="s">
        <v>2102</v>
      </c>
      <c r="O1422" s="0" t="s">
        <v>1668</v>
      </c>
      <c r="P1422" s="0" t="n">
        <v>1946</v>
      </c>
      <c r="Q1422" s="0" t="s">
        <v>39</v>
      </c>
      <c r="R1422" s="0" t="s">
        <v>4942</v>
      </c>
      <c r="S1422" s="0" t="s">
        <v>4943</v>
      </c>
      <c r="T1422" s="0" t="s">
        <v>4969</v>
      </c>
      <c r="V1422" s="0" t="n">
        <v>1</v>
      </c>
      <c r="W1422" s="0" t="n">
        <v>1</v>
      </c>
      <c r="X1422" s="0" t="str">
        <f aca="false">"31811012019231"</f>
        <v>31811012019231</v>
      </c>
      <c r="Y1422" s="0" t="s">
        <v>39</v>
      </c>
      <c r="Z1422" s="0" t="s">
        <v>42</v>
      </c>
      <c r="AA1422" s="0" t="s">
        <v>43</v>
      </c>
      <c r="AE1422" s="1" t="s">
        <v>52</v>
      </c>
    </row>
    <row r="1423" customFormat="false" ht="12.8" hidden="false" customHeight="false" outlineLevel="0" collapsed="false">
      <c r="A1423" s="0" t="n">
        <v>251673</v>
      </c>
      <c r="B1423" s="0" t="n">
        <v>275758</v>
      </c>
      <c r="C1423" s="0" t="n">
        <v>310127</v>
      </c>
      <c r="D1423" s="0" t="s">
        <v>35</v>
      </c>
      <c r="E1423" s="0" t="s">
        <v>35</v>
      </c>
      <c r="F1423" s="0" t="s">
        <v>480</v>
      </c>
      <c r="G1423" s="0" t="s">
        <v>37</v>
      </c>
      <c r="H1423" s="0" t="s">
        <v>4939</v>
      </c>
      <c r="I1423" s="0" t="s">
        <v>4940</v>
      </c>
      <c r="J1423" s="0" t="s">
        <v>4939</v>
      </c>
      <c r="M1423" s="0" t="s">
        <v>4941</v>
      </c>
      <c r="N1423" s="1" t="s">
        <v>2102</v>
      </c>
      <c r="O1423" s="0" t="s">
        <v>1668</v>
      </c>
      <c r="P1423" s="0" t="n">
        <v>1946</v>
      </c>
      <c r="Q1423" s="0" t="s">
        <v>39</v>
      </c>
      <c r="R1423" s="0" t="s">
        <v>4942</v>
      </c>
      <c r="S1423" s="0" t="s">
        <v>4943</v>
      </c>
      <c r="T1423" s="0" t="s">
        <v>4970</v>
      </c>
      <c r="V1423" s="0" t="n">
        <v>1</v>
      </c>
      <c r="W1423" s="0" t="n">
        <v>1</v>
      </c>
      <c r="X1423" s="0" t="str">
        <f aca="false">"31811012019223"</f>
        <v>31811012019223</v>
      </c>
      <c r="Y1423" s="0" t="s">
        <v>39</v>
      </c>
      <c r="Z1423" s="0" t="s">
        <v>42</v>
      </c>
      <c r="AA1423" s="0" t="s">
        <v>43</v>
      </c>
      <c r="AE1423" s="1" t="s">
        <v>52</v>
      </c>
    </row>
    <row r="1424" customFormat="false" ht="12.8" hidden="false" customHeight="false" outlineLevel="0" collapsed="false">
      <c r="A1424" s="0" t="n">
        <v>385667</v>
      </c>
      <c r="B1424" s="0" t="n">
        <v>417151</v>
      </c>
      <c r="C1424" s="0" t="n">
        <v>465511</v>
      </c>
      <c r="D1424" s="0" t="s">
        <v>35</v>
      </c>
      <c r="E1424" s="0" t="s">
        <v>35</v>
      </c>
      <c r="F1424" s="0" t="s">
        <v>480</v>
      </c>
      <c r="G1424" s="0" t="s">
        <v>37</v>
      </c>
      <c r="H1424" s="0" t="s">
        <v>4971</v>
      </c>
      <c r="I1424" s="0" t="s">
        <v>4940</v>
      </c>
      <c r="J1424" s="0" t="s">
        <v>4971</v>
      </c>
      <c r="M1424" s="0" t="s">
        <v>4972</v>
      </c>
      <c r="P1424" s="0" t="s">
        <v>1298</v>
      </c>
      <c r="Q1424" s="0" t="s">
        <v>39</v>
      </c>
      <c r="R1424" s="0" t="s">
        <v>4973</v>
      </c>
      <c r="S1424" s="0" t="s">
        <v>4974</v>
      </c>
      <c r="T1424" s="0" t="s">
        <v>4975</v>
      </c>
      <c r="V1424" s="0" t="n">
        <v>1</v>
      </c>
      <c r="W1424" s="0" t="n">
        <v>1</v>
      </c>
      <c r="X1424" s="0" t="str">
        <f aca="false">"31811012019512"</f>
        <v>31811012019512</v>
      </c>
      <c r="Y1424" s="0" t="s">
        <v>39</v>
      </c>
      <c r="Z1424" s="0" t="s">
        <v>42</v>
      </c>
      <c r="AA1424" s="0" t="s">
        <v>43</v>
      </c>
      <c r="AE1424" s="1" t="s">
        <v>52</v>
      </c>
    </row>
    <row r="1425" customFormat="false" ht="12.8" hidden="false" customHeight="false" outlineLevel="0" collapsed="false">
      <c r="A1425" s="0" t="n">
        <v>302440</v>
      </c>
      <c r="B1425" s="0" t="n">
        <v>329888</v>
      </c>
      <c r="C1425" s="0" t="n">
        <v>368348</v>
      </c>
      <c r="D1425" s="0" t="s">
        <v>35</v>
      </c>
      <c r="E1425" s="0" t="s">
        <v>35</v>
      </c>
      <c r="F1425" s="0" t="s">
        <v>36</v>
      </c>
      <c r="G1425" s="0" t="s">
        <v>37</v>
      </c>
      <c r="H1425" s="0" t="s">
        <v>4976</v>
      </c>
      <c r="I1425" s="0" t="s">
        <v>4977</v>
      </c>
      <c r="J1425" s="0" t="s">
        <v>4976</v>
      </c>
      <c r="M1425" s="0" t="s">
        <v>4978</v>
      </c>
      <c r="N1425" s="0" t="n">
        <v>1951</v>
      </c>
      <c r="O1425" s="0" t="s">
        <v>4979</v>
      </c>
      <c r="P1425" s="0" t="n">
        <v>1951</v>
      </c>
      <c r="Q1425" s="0" t="s">
        <v>39</v>
      </c>
      <c r="R1425" s="0" t="s">
        <v>4980</v>
      </c>
      <c r="S1425" s="0" t="s">
        <v>4981</v>
      </c>
      <c r="V1425" s="0" t="n">
        <v>1</v>
      </c>
      <c r="W1425" s="0" t="n">
        <v>1</v>
      </c>
      <c r="X1425" s="0" t="str">
        <f aca="false">"31811010369208"</f>
        <v>31811010369208</v>
      </c>
      <c r="Y1425" s="0" t="s">
        <v>39</v>
      </c>
      <c r="Z1425" s="0" t="s">
        <v>42</v>
      </c>
      <c r="AA1425" s="0" t="s">
        <v>43</v>
      </c>
      <c r="AE1425" s="1" t="s">
        <v>52</v>
      </c>
    </row>
    <row r="1426" customFormat="false" ht="12.8" hidden="false" customHeight="false" outlineLevel="0" collapsed="false">
      <c r="A1426" s="0" t="n">
        <v>223992</v>
      </c>
      <c r="B1426" s="0" t="n">
        <v>245712</v>
      </c>
      <c r="C1426" s="0" t="n">
        <v>276913</v>
      </c>
      <c r="D1426" s="0" t="s">
        <v>35</v>
      </c>
      <c r="E1426" s="0" t="s">
        <v>35</v>
      </c>
      <c r="F1426" s="0" t="s">
        <v>36</v>
      </c>
      <c r="G1426" s="0" t="s">
        <v>37</v>
      </c>
      <c r="H1426" s="0" t="s">
        <v>4982</v>
      </c>
      <c r="I1426" s="0" t="s">
        <v>4983</v>
      </c>
      <c r="J1426" s="0" t="s">
        <v>4984</v>
      </c>
      <c r="M1426" s="0" t="s">
        <v>4985</v>
      </c>
      <c r="N1426" s="0" t="s">
        <v>1612</v>
      </c>
      <c r="O1426" s="0" t="s">
        <v>4986</v>
      </c>
      <c r="P1426" s="0" t="n">
        <v>1967</v>
      </c>
      <c r="Q1426" s="0" t="s">
        <v>39</v>
      </c>
      <c r="R1426" s="0" t="s">
        <v>4987</v>
      </c>
      <c r="S1426" s="0" t="s">
        <v>4988</v>
      </c>
      <c r="V1426" s="0" t="n">
        <v>1</v>
      </c>
      <c r="W1426" s="0" t="n">
        <v>1</v>
      </c>
      <c r="X1426" s="0" t="str">
        <f aca="false">"31811010369190"</f>
        <v>31811010369190</v>
      </c>
      <c r="Y1426" s="0" t="s">
        <v>39</v>
      </c>
      <c r="Z1426" s="0" t="s">
        <v>42</v>
      </c>
      <c r="AA1426" s="0" t="s">
        <v>43</v>
      </c>
      <c r="AE1426" s="1" t="s">
        <v>52</v>
      </c>
    </row>
    <row r="1427" customFormat="false" ht="12.8" hidden="false" customHeight="false" outlineLevel="0" collapsed="false">
      <c r="A1427" s="0" t="n">
        <v>273453</v>
      </c>
      <c r="B1427" s="0" t="n">
        <v>299234</v>
      </c>
      <c r="C1427" s="0" t="n">
        <v>335535</v>
      </c>
      <c r="D1427" s="0" t="s">
        <v>35</v>
      </c>
      <c r="E1427" s="0" t="s">
        <v>35</v>
      </c>
      <c r="F1427" s="0" t="s">
        <v>36</v>
      </c>
      <c r="G1427" s="0" t="s">
        <v>37</v>
      </c>
      <c r="H1427" s="0" t="s">
        <v>4989</v>
      </c>
      <c r="I1427" s="0" t="s">
        <v>4990</v>
      </c>
      <c r="J1427" s="0" t="s">
        <v>4991</v>
      </c>
      <c r="M1427" s="0" t="s">
        <v>4992</v>
      </c>
      <c r="N1427" s="0" t="n">
        <v>1967</v>
      </c>
      <c r="O1427" s="0" t="s">
        <v>4930</v>
      </c>
      <c r="P1427" s="0" t="n">
        <v>1967</v>
      </c>
      <c r="Q1427" s="0" t="s">
        <v>39</v>
      </c>
      <c r="R1427" s="0" t="s">
        <v>4993</v>
      </c>
      <c r="S1427" s="0" t="s">
        <v>4994</v>
      </c>
      <c r="V1427" s="0" t="n">
        <v>1</v>
      </c>
      <c r="W1427" s="0" t="n">
        <v>1</v>
      </c>
      <c r="X1427" s="0" t="str">
        <f aca="false">"31811010369174"</f>
        <v>31811010369174</v>
      </c>
      <c r="Y1427" s="0" t="s">
        <v>39</v>
      </c>
      <c r="Z1427" s="0" t="s">
        <v>42</v>
      </c>
      <c r="AA1427" s="0" t="s">
        <v>43</v>
      </c>
      <c r="AE1427" s="1" t="s">
        <v>52</v>
      </c>
    </row>
    <row r="1428" customFormat="false" ht="12.8" hidden="false" customHeight="false" outlineLevel="0" collapsed="false">
      <c r="A1428" s="0" t="n">
        <v>115437</v>
      </c>
      <c r="B1428" s="0" t="n">
        <v>124201</v>
      </c>
      <c r="C1428" s="0" t="n">
        <v>138397</v>
      </c>
      <c r="D1428" s="0" t="s">
        <v>35</v>
      </c>
      <c r="E1428" s="0" t="s">
        <v>35</v>
      </c>
      <c r="F1428" s="0" t="s">
        <v>36</v>
      </c>
      <c r="G1428" s="0" t="s">
        <v>37</v>
      </c>
      <c r="H1428" s="0" t="s">
        <v>4995</v>
      </c>
      <c r="I1428" s="0" t="s">
        <v>4996</v>
      </c>
      <c r="J1428" s="0" t="s">
        <v>4997</v>
      </c>
      <c r="M1428" s="0" t="s">
        <v>4998</v>
      </c>
      <c r="N1428" s="0" t="n">
        <v>1957</v>
      </c>
      <c r="O1428" s="0" t="s">
        <v>3905</v>
      </c>
      <c r="P1428" s="0" t="n">
        <v>1957</v>
      </c>
      <c r="Q1428" s="0" t="s">
        <v>39</v>
      </c>
      <c r="R1428" s="0" t="s">
        <v>4999</v>
      </c>
      <c r="S1428" s="0" t="s">
        <v>5000</v>
      </c>
      <c r="V1428" s="0" t="n">
        <v>1</v>
      </c>
      <c r="W1428" s="0" t="n">
        <v>1</v>
      </c>
      <c r="X1428" s="0" t="str">
        <f aca="false">"31811010369240"</f>
        <v>31811010369240</v>
      </c>
      <c r="Y1428" s="0" t="s">
        <v>39</v>
      </c>
      <c r="Z1428" s="0" t="s">
        <v>42</v>
      </c>
      <c r="AA1428" s="0" t="s">
        <v>43</v>
      </c>
      <c r="AE1428" s="1" t="s">
        <v>52</v>
      </c>
    </row>
    <row r="1429" customFormat="false" ht="12.8" hidden="false" customHeight="false" outlineLevel="0" collapsed="false">
      <c r="A1429" s="0" t="n">
        <v>21010</v>
      </c>
      <c r="B1429" s="0" t="n">
        <v>23426</v>
      </c>
      <c r="C1429" s="0" t="n">
        <v>27101</v>
      </c>
      <c r="D1429" s="0" t="s">
        <v>35</v>
      </c>
      <c r="E1429" s="0" t="s">
        <v>35</v>
      </c>
      <c r="F1429" s="0" t="s">
        <v>36</v>
      </c>
      <c r="G1429" s="0" t="s">
        <v>37</v>
      </c>
      <c r="H1429" s="0" t="s">
        <v>5001</v>
      </c>
      <c r="I1429" s="0" t="s">
        <v>5002</v>
      </c>
      <c r="J1429" s="0" t="s">
        <v>5001</v>
      </c>
      <c r="M1429" s="0" t="s">
        <v>5003</v>
      </c>
      <c r="N1429" s="0" t="s">
        <v>172</v>
      </c>
      <c r="O1429" s="0" t="s">
        <v>3358</v>
      </c>
      <c r="P1429" s="0" t="n">
        <v>1974</v>
      </c>
      <c r="Q1429" s="0" t="s">
        <v>39</v>
      </c>
      <c r="R1429" s="0" t="s">
        <v>5004</v>
      </c>
      <c r="S1429" s="0" t="s">
        <v>5005</v>
      </c>
      <c r="V1429" s="0" t="n">
        <v>1</v>
      </c>
      <c r="W1429" s="0" t="n">
        <v>1</v>
      </c>
      <c r="X1429" s="0" t="str">
        <f aca="false">"31811010369232"</f>
        <v>31811010369232</v>
      </c>
      <c r="Y1429" s="0" t="s">
        <v>39</v>
      </c>
      <c r="Z1429" s="0" t="s">
        <v>42</v>
      </c>
      <c r="AA1429" s="0" t="s">
        <v>43</v>
      </c>
      <c r="AE1429" s="1" t="s">
        <v>52</v>
      </c>
    </row>
    <row r="1430" customFormat="false" ht="12.8" hidden="false" customHeight="false" outlineLevel="0" collapsed="false">
      <c r="A1430" s="0" t="n">
        <v>80829</v>
      </c>
      <c r="B1430" s="0" t="n">
        <v>87560</v>
      </c>
      <c r="C1430" s="0" t="n">
        <v>98504</v>
      </c>
      <c r="D1430" s="0" t="s">
        <v>35</v>
      </c>
      <c r="E1430" s="0" t="s">
        <v>35</v>
      </c>
      <c r="F1430" s="0" t="s">
        <v>36</v>
      </c>
      <c r="G1430" s="0" t="s">
        <v>37</v>
      </c>
      <c r="H1430" s="0" t="s">
        <v>5006</v>
      </c>
      <c r="I1430" s="0" t="s">
        <v>5007</v>
      </c>
      <c r="J1430" s="0" t="s">
        <v>5008</v>
      </c>
      <c r="M1430" s="0" t="s">
        <v>5009</v>
      </c>
      <c r="N1430" s="0" t="n">
        <v>1981</v>
      </c>
      <c r="O1430" s="0" t="s">
        <v>1668</v>
      </c>
      <c r="P1430" s="0" t="n">
        <v>1981</v>
      </c>
      <c r="Q1430" s="0" t="s">
        <v>39</v>
      </c>
      <c r="R1430" s="0" t="s">
        <v>5010</v>
      </c>
      <c r="S1430" s="0" t="s">
        <v>5011</v>
      </c>
      <c r="V1430" s="0" t="n">
        <v>1</v>
      </c>
      <c r="W1430" s="0" t="n">
        <v>1</v>
      </c>
      <c r="X1430" s="0" t="str">
        <f aca="false">"31811010369224"</f>
        <v>31811010369224</v>
      </c>
      <c r="Y1430" s="0" t="s">
        <v>39</v>
      </c>
      <c r="Z1430" s="0" t="s">
        <v>42</v>
      </c>
      <c r="AA1430" s="0" t="s">
        <v>43</v>
      </c>
      <c r="AE1430" s="1" t="s">
        <v>52</v>
      </c>
    </row>
    <row r="1431" customFormat="false" ht="12.8" hidden="false" customHeight="false" outlineLevel="0" collapsed="false">
      <c r="A1431" s="0" t="n">
        <v>220018</v>
      </c>
      <c r="B1431" s="0" t="n">
        <v>241345</v>
      </c>
      <c r="C1431" s="0" t="n">
        <v>271971</v>
      </c>
      <c r="D1431" s="0" t="s">
        <v>35</v>
      </c>
      <c r="E1431" s="0" t="s">
        <v>35</v>
      </c>
      <c r="F1431" s="0" t="s">
        <v>36</v>
      </c>
      <c r="G1431" s="0" t="s">
        <v>37</v>
      </c>
      <c r="H1431" s="0" t="s">
        <v>5012</v>
      </c>
      <c r="I1431" s="0" t="s">
        <v>5013</v>
      </c>
      <c r="J1431" s="0" t="s">
        <v>5012</v>
      </c>
      <c r="M1431" s="0" t="s">
        <v>5014</v>
      </c>
      <c r="N1431" s="0" t="n">
        <v>1964</v>
      </c>
      <c r="O1431" s="0" t="s">
        <v>920</v>
      </c>
      <c r="P1431" s="0" t="n">
        <v>1964</v>
      </c>
      <c r="Q1431" s="0" t="s">
        <v>39</v>
      </c>
      <c r="R1431" s="0" t="s">
        <v>5015</v>
      </c>
      <c r="S1431" s="0" t="s">
        <v>5016</v>
      </c>
      <c r="V1431" s="0" t="n">
        <v>1</v>
      </c>
      <c r="W1431" s="0" t="n">
        <v>1</v>
      </c>
      <c r="X1431" s="0" t="str">
        <f aca="false">"31811010369216"</f>
        <v>31811010369216</v>
      </c>
      <c r="Y1431" s="0" t="s">
        <v>39</v>
      </c>
      <c r="Z1431" s="0" t="s">
        <v>42</v>
      </c>
      <c r="AA1431" s="0" t="s">
        <v>43</v>
      </c>
      <c r="AE1431" s="1" t="s">
        <v>52</v>
      </c>
    </row>
    <row r="1432" customFormat="false" ht="12.8" hidden="false" customHeight="false" outlineLevel="0" collapsed="false">
      <c r="A1432" s="0" t="n">
        <v>51139</v>
      </c>
      <c r="B1432" s="0" t="n">
        <v>55370</v>
      </c>
      <c r="C1432" s="0" t="n">
        <v>61072</v>
      </c>
      <c r="D1432" s="0" t="s">
        <v>35</v>
      </c>
      <c r="E1432" s="0" t="s">
        <v>35</v>
      </c>
      <c r="F1432" s="0" t="s">
        <v>36</v>
      </c>
      <c r="G1432" s="0" t="s">
        <v>37</v>
      </c>
      <c r="H1432" s="0" t="s">
        <v>5017</v>
      </c>
      <c r="I1432" s="0" t="s">
        <v>5018</v>
      </c>
      <c r="J1432" s="0" t="s">
        <v>5017</v>
      </c>
      <c r="K1432" s="0" t="s">
        <v>108</v>
      </c>
      <c r="M1432" s="0" t="s">
        <v>5019</v>
      </c>
      <c r="N1432" s="0" t="s">
        <v>282</v>
      </c>
      <c r="O1432" s="0" t="s">
        <v>5020</v>
      </c>
      <c r="P1432" s="0" t="n">
        <v>1963</v>
      </c>
      <c r="Q1432" s="0" t="s">
        <v>39</v>
      </c>
      <c r="R1432" s="0" t="s">
        <v>5021</v>
      </c>
      <c r="S1432" s="0" t="s">
        <v>5022</v>
      </c>
      <c r="V1432" s="0" t="n">
        <v>1</v>
      </c>
      <c r="W1432" s="0" t="n">
        <v>1</v>
      </c>
      <c r="X1432" s="0" t="str">
        <f aca="false">"31811010369281"</f>
        <v>31811010369281</v>
      </c>
      <c r="Y1432" s="0" t="s">
        <v>39</v>
      </c>
      <c r="Z1432" s="0" t="s">
        <v>42</v>
      </c>
      <c r="AA1432" s="0" t="s">
        <v>43</v>
      </c>
      <c r="AE1432" s="1" t="s">
        <v>52</v>
      </c>
    </row>
    <row r="1433" customFormat="false" ht="12.8" hidden="false" customHeight="false" outlineLevel="0" collapsed="false">
      <c r="A1433" s="0" t="n">
        <v>329769</v>
      </c>
      <c r="B1433" s="0" t="n">
        <v>358286</v>
      </c>
      <c r="C1433" s="0" t="n">
        <v>399515</v>
      </c>
      <c r="D1433" s="0" t="s">
        <v>35</v>
      </c>
      <c r="E1433" s="0" t="s">
        <v>35</v>
      </c>
      <c r="F1433" s="0" t="s">
        <v>36</v>
      </c>
      <c r="G1433" s="0" t="s">
        <v>37</v>
      </c>
      <c r="H1433" s="0" t="s">
        <v>5023</v>
      </c>
      <c r="J1433" s="0" t="s">
        <v>5023</v>
      </c>
      <c r="M1433" s="0" t="s">
        <v>5024</v>
      </c>
      <c r="N1433" s="0" t="s">
        <v>365</v>
      </c>
      <c r="O1433" s="0" t="s">
        <v>3358</v>
      </c>
      <c r="P1433" s="0" t="n">
        <v>1966</v>
      </c>
      <c r="Q1433" s="0" t="s">
        <v>39</v>
      </c>
      <c r="R1433" s="0" t="s">
        <v>5025</v>
      </c>
      <c r="S1433" s="0" t="s">
        <v>5026</v>
      </c>
      <c r="V1433" s="0" t="n">
        <v>1</v>
      </c>
      <c r="W1433" s="0" t="n">
        <v>1</v>
      </c>
      <c r="X1433" s="0" t="str">
        <f aca="false">"31811010369273"</f>
        <v>31811010369273</v>
      </c>
      <c r="Y1433" s="0" t="s">
        <v>39</v>
      </c>
      <c r="Z1433" s="0" t="s">
        <v>42</v>
      </c>
      <c r="AA1433" s="0" t="s">
        <v>43</v>
      </c>
      <c r="AE1433" s="1" t="s">
        <v>52</v>
      </c>
    </row>
    <row r="1434" customFormat="false" ht="12.8" hidden="false" customHeight="false" outlineLevel="0" collapsed="false">
      <c r="A1434" s="0" t="n">
        <v>197801</v>
      </c>
      <c r="B1434" s="0" t="n">
        <v>216909</v>
      </c>
      <c r="C1434" s="0" t="n">
        <v>243798</v>
      </c>
      <c r="D1434" s="0" t="s">
        <v>35</v>
      </c>
      <c r="E1434" s="0" t="s">
        <v>35</v>
      </c>
      <c r="F1434" s="0" t="s">
        <v>36</v>
      </c>
      <c r="G1434" s="0" t="s">
        <v>37</v>
      </c>
      <c r="H1434" s="0" t="s">
        <v>5027</v>
      </c>
      <c r="I1434" s="0" t="s">
        <v>5028</v>
      </c>
      <c r="J1434" s="0" t="s">
        <v>5027</v>
      </c>
      <c r="M1434" s="0" t="s">
        <v>5029</v>
      </c>
      <c r="N1434" s="0" t="n">
        <v>1948</v>
      </c>
      <c r="O1434" s="0" t="s">
        <v>5030</v>
      </c>
      <c r="P1434" s="0" t="n">
        <v>1948</v>
      </c>
      <c r="Q1434" s="0" t="s">
        <v>39</v>
      </c>
      <c r="R1434" s="0" t="s">
        <v>5031</v>
      </c>
      <c r="S1434" s="0" t="s">
        <v>5032</v>
      </c>
      <c r="V1434" s="0" t="n">
        <v>1</v>
      </c>
      <c r="W1434" s="0" t="n">
        <v>1</v>
      </c>
      <c r="X1434" s="0" t="str">
        <f aca="false">"31811011629162"</f>
        <v>31811011629162</v>
      </c>
      <c r="Y1434" s="0" t="s">
        <v>39</v>
      </c>
      <c r="Z1434" s="0" t="s">
        <v>42</v>
      </c>
      <c r="AA1434" s="0" t="s">
        <v>43</v>
      </c>
      <c r="AE1434" s="1" t="s">
        <v>52</v>
      </c>
    </row>
    <row r="1435" customFormat="false" ht="12.8" hidden="false" customHeight="false" outlineLevel="0" collapsed="false">
      <c r="A1435" s="0" t="n">
        <v>463614</v>
      </c>
      <c r="B1435" s="0" t="n">
        <v>495421</v>
      </c>
      <c r="C1435" s="0" t="n">
        <v>556423</v>
      </c>
      <c r="D1435" s="0" t="s">
        <v>35</v>
      </c>
      <c r="E1435" s="0" t="s">
        <v>35</v>
      </c>
      <c r="F1435" s="0" t="s">
        <v>36</v>
      </c>
      <c r="G1435" s="0" t="s">
        <v>37</v>
      </c>
      <c r="H1435" s="0" t="s">
        <v>5033</v>
      </c>
      <c r="I1435" s="0" t="s">
        <v>5034</v>
      </c>
      <c r="J1435" s="0" t="s">
        <v>5035</v>
      </c>
      <c r="M1435" s="0" t="s">
        <v>5036</v>
      </c>
      <c r="N1435" s="0" t="n">
        <v>1967</v>
      </c>
      <c r="O1435" s="0" t="s">
        <v>5037</v>
      </c>
      <c r="P1435" s="0" t="n">
        <v>1967</v>
      </c>
      <c r="Q1435" s="0" t="s">
        <v>39</v>
      </c>
      <c r="R1435" s="0" t="s">
        <v>5038</v>
      </c>
      <c r="S1435" s="0" t="s">
        <v>5039</v>
      </c>
      <c r="V1435" s="0" t="n">
        <v>1</v>
      </c>
      <c r="W1435" s="0" t="n">
        <v>1</v>
      </c>
      <c r="X1435" s="0" t="str">
        <f aca="false">"31811010386723"</f>
        <v>31811010386723</v>
      </c>
      <c r="Y1435" s="0" t="s">
        <v>39</v>
      </c>
      <c r="Z1435" s="0" t="s">
        <v>42</v>
      </c>
      <c r="AA1435" s="0" t="s">
        <v>43</v>
      </c>
      <c r="AE1435" s="1" t="s">
        <v>52</v>
      </c>
    </row>
    <row r="1436" customFormat="false" ht="12.8" hidden="false" customHeight="false" outlineLevel="0" collapsed="false">
      <c r="A1436" s="0" t="n">
        <v>474177</v>
      </c>
      <c r="B1436" s="0" t="n">
        <v>506312</v>
      </c>
      <c r="C1436" s="0" t="n">
        <v>568636</v>
      </c>
      <c r="D1436" s="0" t="s">
        <v>35</v>
      </c>
      <c r="E1436" s="0" t="s">
        <v>35</v>
      </c>
      <c r="F1436" s="0" t="s">
        <v>36</v>
      </c>
      <c r="G1436" s="0" t="s">
        <v>37</v>
      </c>
      <c r="H1436" s="0" t="s">
        <v>5040</v>
      </c>
      <c r="I1436" s="0" t="s">
        <v>5041</v>
      </c>
      <c r="J1436" s="0" t="s">
        <v>5042</v>
      </c>
      <c r="M1436" s="0" t="s">
        <v>5043</v>
      </c>
      <c r="N1436" s="0" t="n">
        <v>1967</v>
      </c>
      <c r="O1436" s="0" t="s">
        <v>5044</v>
      </c>
      <c r="P1436" s="0" t="n">
        <v>1967</v>
      </c>
      <c r="Q1436" s="0" t="s">
        <v>39</v>
      </c>
      <c r="R1436" s="0" t="s">
        <v>5045</v>
      </c>
      <c r="S1436" s="0" t="s">
        <v>5046</v>
      </c>
      <c r="V1436" s="0" t="n">
        <v>1</v>
      </c>
      <c r="W1436" s="0" t="n">
        <v>1</v>
      </c>
      <c r="X1436" s="0" t="str">
        <f aca="false">"31811010386715"</f>
        <v>31811010386715</v>
      </c>
      <c r="Y1436" s="0" t="s">
        <v>39</v>
      </c>
      <c r="Z1436" s="0" t="s">
        <v>42</v>
      </c>
      <c r="AA1436" s="0" t="s">
        <v>43</v>
      </c>
      <c r="AE1436" s="1" t="s">
        <v>52</v>
      </c>
    </row>
    <row r="1437" customFormat="false" ht="12.8" hidden="false" customHeight="false" outlineLevel="0" collapsed="false">
      <c r="A1437" s="0" t="n">
        <v>475829</v>
      </c>
      <c r="B1437" s="0" t="n">
        <v>507997</v>
      </c>
      <c r="C1437" s="0" t="n">
        <v>570394</v>
      </c>
      <c r="D1437" s="0" t="s">
        <v>35</v>
      </c>
      <c r="E1437" s="0" t="s">
        <v>35</v>
      </c>
      <c r="F1437" s="0" t="s">
        <v>36</v>
      </c>
      <c r="G1437" s="0" t="s">
        <v>37</v>
      </c>
      <c r="H1437" s="0" t="s">
        <v>5047</v>
      </c>
      <c r="I1437" s="0" t="s">
        <v>5048</v>
      </c>
      <c r="J1437" s="0" t="s">
        <v>5049</v>
      </c>
      <c r="M1437" s="0" t="s">
        <v>5050</v>
      </c>
      <c r="N1437" s="0" t="s">
        <v>2569</v>
      </c>
      <c r="O1437" s="0" t="s">
        <v>5051</v>
      </c>
      <c r="P1437" s="0" t="n">
        <v>1926</v>
      </c>
      <c r="Q1437" s="0" t="s">
        <v>39</v>
      </c>
      <c r="R1437" s="0" t="s">
        <v>5052</v>
      </c>
      <c r="S1437" s="0" t="s">
        <v>5053</v>
      </c>
      <c r="V1437" s="0" t="n">
        <v>1</v>
      </c>
      <c r="W1437" s="0" t="n">
        <v>1</v>
      </c>
      <c r="X1437" s="0" t="str">
        <f aca="false">"31811010386707"</f>
        <v>31811010386707</v>
      </c>
      <c r="Y1437" s="0" t="s">
        <v>39</v>
      </c>
      <c r="Z1437" s="0" t="s">
        <v>42</v>
      </c>
      <c r="AA1437" s="0" t="s">
        <v>43</v>
      </c>
      <c r="AE1437" s="1" t="s">
        <v>52</v>
      </c>
    </row>
    <row r="1438" customFormat="false" ht="12.8" hidden="false" customHeight="false" outlineLevel="0" collapsed="false">
      <c r="A1438" s="0" t="n">
        <v>17377</v>
      </c>
      <c r="B1438" s="0" t="n">
        <v>19561</v>
      </c>
      <c r="C1438" s="0" t="n">
        <v>22975</v>
      </c>
      <c r="D1438" s="0" t="s">
        <v>35</v>
      </c>
      <c r="E1438" s="0" t="s">
        <v>35</v>
      </c>
      <c r="F1438" s="0" t="s">
        <v>36</v>
      </c>
      <c r="G1438" s="0" t="s">
        <v>37</v>
      </c>
      <c r="H1438" s="0" t="s">
        <v>5054</v>
      </c>
      <c r="I1438" s="0" t="s">
        <v>5055</v>
      </c>
      <c r="J1438" s="0" t="s">
        <v>5056</v>
      </c>
      <c r="L1438" s="0" t="n">
        <v>816507716</v>
      </c>
      <c r="M1438" s="0" t="s">
        <v>5057</v>
      </c>
      <c r="N1438" s="0" t="s">
        <v>1596</v>
      </c>
      <c r="O1438" s="0" t="s">
        <v>5058</v>
      </c>
      <c r="P1438" s="0" t="n">
        <v>1982</v>
      </c>
      <c r="Q1438" s="0" t="s">
        <v>39</v>
      </c>
      <c r="R1438" s="0" t="s">
        <v>5059</v>
      </c>
      <c r="S1438" s="0" t="s">
        <v>5060</v>
      </c>
      <c r="V1438" s="0" t="n">
        <v>1</v>
      </c>
      <c r="W1438" s="0" t="n">
        <v>1</v>
      </c>
      <c r="X1438" s="0" t="str">
        <f aca="false">"31811010748310"</f>
        <v>31811010748310</v>
      </c>
      <c r="Y1438" s="0" t="s">
        <v>39</v>
      </c>
      <c r="Z1438" s="0" t="s">
        <v>42</v>
      </c>
      <c r="AA1438" s="0" t="s">
        <v>43</v>
      </c>
      <c r="AE1438" s="1" t="s">
        <v>52</v>
      </c>
    </row>
    <row r="1439" customFormat="false" ht="12.8" hidden="false" customHeight="false" outlineLevel="0" collapsed="false">
      <c r="A1439" s="0" t="n">
        <v>328250</v>
      </c>
      <c r="B1439" s="0" t="n">
        <v>356732</v>
      </c>
      <c r="C1439" s="0" t="n">
        <v>397896</v>
      </c>
      <c r="D1439" s="0" t="s">
        <v>35</v>
      </c>
      <c r="E1439" s="0" t="s">
        <v>35</v>
      </c>
      <c r="F1439" s="0" t="s">
        <v>36</v>
      </c>
      <c r="G1439" s="0" t="s">
        <v>37</v>
      </c>
      <c r="H1439" s="0" t="s">
        <v>5061</v>
      </c>
      <c r="I1439" s="0" t="s">
        <v>5062</v>
      </c>
      <c r="J1439" s="0" t="s">
        <v>5063</v>
      </c>
      <c r="M1439" s="0" t="s">
        <v>5064</v>
      </c>
      <c r="N1439" s="0" t="n">
        <v>1961</v>
      </c>
      <c r="P1439" s="0" t="n">
        <v>1961</v>
      </c>
      <c r="Q1439" s="0" t="s">
        <v>39</v>
      </c>
      <c r="R1439" s="0" t="s">
        <v>5065</v>
      </c>
      <c r="S1439" s="0" t="s">
        <v>5066</v>
      </c>
      <c r="V1439" s="0" t="n">
        <v>1</v>
      </c>
      <c r="W1439" s="0" t="n">
        <v>1</v>
      </c>
      <c r="X1439" s="0" t="str">
        <f aca="false">"31811010748328"</f>
        <v>31811010748328</v>
      </c>
      <c r="Y1439" s="0" t="s">
        <v>39</v>
      </c>
      <c r="Z1439" s="0" t="s">
        <v>42</v>
      </c>
      <c r="AA1439" s="0" t="s">
        <v>43</v>
      </c>
      <c r="AE1439" s="1" t="s">
        <v>52</v>
      </c>
    </row>
    <row r="1440" customFormat="false" ht="12.8" hidden="false" customHeight="false" outlineLevel="0" collapsed="false">
      <c r="A1440" s="0" t="n">
        <v>525204</v>
      </c>
      <c r="B1440" s="0" t="n">
        <v>562742</v>
      </c>
      <c r="C1440" s="0" t="n">
        <v>635993</v>
      </c>
      <c r="D1440" s="0" t="s">
        <v>35</v>
      </c>
      <c r="E1440" s="0" t="s">
        <v>35</v>
      </c>
      <c r="F1440" s="0" t="s">
        <v>36</v>
      </c>
      <c r="G1440" s="0" t="s">
        <v>37</v>
      </c>
      <c r="H1440" s="0" t="s">
        <v>5067</v>
      </c>
      <c r="I1440" s="0" t="s">
        <v>5068</v>
      </c>
      <c r="J1440" s="0" t="s">
        <v>5069</v>
      </c>
      <c r="M1440" s="0" t="s">
        <v>5070</v>
      </c>
      <c r="N1440" s="0" t="n">
        <v>1949</v>
      </c>
      <c r="O1440" s="0" t="s">
        <v>5071</v>
      </c>
      <c r="P1440" s="0" t="n">
        <v>1949</v>
      </c>
      <c r="Q1440" s="0" t="s">
        <v>39</v>
      </c>
      <c r="R1440" s="0" t="s">
        <v>5072</v>
      </c>
      <c r="S1440" s="0" t="s">
        <v>5073</v>
      </c>
      <c r="T1440" s="0" t="s">
        <v>1659</v>
      </c>
      <c r="V1440" s="0" t="n">
        <v>1</v>
      </c>
      <c r="W1440" s="0" t="n">
        <v>1</v>
      </c>
      <c r="X1440" s="0" t="str">
        <f aca="false">"31811012021294"</f>
        <v>31811012021294</v>
      </c>
      <c r="Y1440" s="0" t="s">
        <v>39</v>
      </c>
      <c r="Z1440" s="0" t="s">
        <v>42</v>
      </c>
      <c r="AA1440" s="0" t="s">
        <v>43</v>
      </c>
      <c r="AE1440" s="1" t="s">
        <v>52</v>
      </c>
    </row>
    <row r="1441" customFormat="false" ht="12.8" hidden="false" customHeight="false" outlineLevel="0" collapsed="false">
      <c r="A1441" s="0" t="n">
        <v>320419</v>
      </c>
      <c r="B1441" s="0" t="n">
        <v>348644</v>
      </c>
      <c r="C1441" s="0" t="n">
        <v>389117</v>
      </c>
      <c r="D1441" s="0" t="s">
        <v>35</v>
      </c>
      <c r="E1441" s="0" t="s">
        <v>35</v>
      </c>
      <c r="F1441" s="0" t="s">
        <v>36</v>
      </c>
      <c r="G1441" s="0" t="s">
        <v>37</v>
      </c>
      <c r="H1441" s="0" t="s">
        <v>5074</v>
      </c>
      <c r="I1441" s="0" t="s">
        <v>5075</v>
      </c>
      <c r="J1441" s="0" t="s">
        <v>5074</v>
      </c>
      <c r="K1441" s="0" t="s">
        <v>5076</v>
      </c>
      <c r="L1441" s="0" t="n">
        <v>842014101</v>
      </c>
      <c r="M1441" s="0" t="s">
        <v>5077</v>
      </c>
      <c r="N1441" s="0" t="s">
        <v>326</v>
      </c>
      <c r="O1441" s="0" t="s">
        <v>5078</v>
      </c>
      <c r="P1441" s="0" t="n">
        <v>1973</v>
      </c>
      <c r="Q1441" s="0" t="s">
        <v>39</v>
      </c>
      <c r="R1441" s="0" t="s">
        <v>5079</v>
      </c>
      <c r="S1441" s="0" t="s">
        <v>5080</v>
      </c>
      <c r="V1441" s="0" t="n">
        <v>1</v>
      </c>
      <c r="W1441" s="0" t="n">
        <v>1</v>
      </c>
      <c r="X1441" s="0" t="str">
        <f aca="false">"31811010748260"</f>
        <v>31811010748260</v>
      </c>
      <c r="Y1441" s="0" t="s">
        <v>39</v>
      </c>
      <c r="Z1441" s="0" t="s">
        <v>42</v>
      </c>
      <c r="AA1441" s="0" t="s">
        <v>43</v>
      </c>
      <c r="AE1441" s="1" t="s">
        <v>52</v>
      </c>
    </row>
    <row r="1442" customFormat="false" ht="12.8" hidden="false" customHeight="false" outlineLevel="0" collapsed="false">
      <c r="A1442" s="0" t="n">
        <v>382969</v>
      </c>
      <c r="B1442" s="0" t="n">
        <v>414349</v>
      </c>
      <c r="C1442" s="0" t="n">
        <v>462070</v>
      </c>
      <c r="D1442" s="0" t="s">
        <v>35</v>
      </c>
      <c r="E1442" s="0" t="s">
        <v>35</v>
      </c>
      <c r="F1442" s="0" t="s">
        <v>480</v>
      </c>
      <c r="G1442" s="0" t="s">
        <v>37</v>
      </c>
      <c r="H1442" s="0" t="s">
        <v>5081</v>
      </c>
      <c r="I1442" s="0" t="s">
        <v>5082</v>
      </c>
      <c r="J1442" s="0" t="s">
        <v>5081</v>
      </c>
      <c r="M1442" s="0" t="s">
        <v>5083</v>
      </c>
      <c r="N1442" s="0" t="s">
        <v>5084</v>
      </c>
      <c r="O1442" s="0" t="s">
        <v>5085</v>
      </c>
      <c r="P1442" s="0" t="n">
        <v>1954</v>
      </c>
      <c r="Q1442" s="0" t="s">
        <v>39</v>
      </c>
      <c r="R1442" s="0" t="s">
        <v>5086</v>
      </c>
      <c r="S1442" s="0" t="s">
        <v>5087</v>
      </c>
      <c r="T1442" s="0" t="s">
        <v>55</v>
      </c>
      <c r="V1442" s="0" t="n">
        <v>1</v>
      </c>
      <c r="W1442" s="0" t="n">
        <v>1</v>
      </c>
      <c r="X1442" s="0" t="str">
        <f aca="false">"31811012021310"</f>
        <v>31811012021310</v>
      </c>
      <c r="Y1442" s="0" t="s">
        <v>39</v>
      </c>
      <c r="Z1442" s="0" t="s">
        <v>42</v>
      </c>
      <c r="AA1442" s="0" t="s">
        <v>622</v>
      </c>
      <c r="AE1442" s="1" t="s">
        <v>52</v>
      </c>
    </row>
    <row r="1443" customFormat="false" ht="12.8" hidden="false" customHeight="false" outlineLevel="0" collapsed="false">
      <c r="A1443" s="0" t="n">
        <v>382969</v>
      </c>
      <c r="B1443" s="0" t="n">
        <v>414349</v>
      </c>
      <c r="C1443" s="0" t="n">
        <v>462071</v>
      </c>
      <c r="D1443" s="0" t="s">
        <v>35</v>
      </c>
      <c r="E1443" s="0" t="s">
        <v>35</v>
      </c>
      <c r="F1443" s="0" t="s">
        <v>480</v>
      </c>
      <c r="G1443" s="0" t="s">
        <v>37</v>
      </c>
      <c r="H1443" s="0" t="s">
        <v>5081</v>
      </c>
      <c r="I1443" s="0" t="s">
        <v>5082</v>
      </c>
      <c r="J1443" s="0" t="s">
        <v>5081</v>
      </c>
      <c r="M1443" s="0" t="s">
        <v>5083</v>
      </c>
      <c r="N1443" s="0" t="s">
        <v>5084</v>
      </c>
      <c r="O1443" s="0" t="s">
        <v>5085</v>
      </c>
      <c r="P1443" s="0" t="n">
        <v>1954</v>
      </c>
      <c r="Q1443" s="0" t="s">
        <v>39</v>
      </c>
      <c r="R1443" s="0" t="s">
        <v>5086</v>
      </c>
      <c r="S1443" s="0" t="s">
        <v>5087</v>
      </c>
      <c r="T1443" s="0" t="s">
        <v>511</v>
      </c>
      <c r="V1443" s="0" t="n">
        <v>1</v>
      </c>
      <c r="W1443" s="0" t="n">
        <v>1</v>
      </c>
      <c r="X1443" s="0" t="str">
        <f aca="false">"31811012021302"</f>
        <v>31811012021302</v>
      </c>
      <c r="Y1443" s="0" t="s">
        <v>39</v>
      </c>
      <c r="Z1443" s="0" t="s">
        <v>42</v>
      </c>
      <c r="AA1443" s="0" t="s">
        <v>622</v>
      </c>
      <c r="AE1443" s="1" t="s">
        <v>52</v>
      </c>
    </row>
    <row r="1444" customFormat="false" ht="12.8" hidden="false" customHeight="false" outlineLevel="0" collapsed="false">
      <c r="A1444" s="0" t="n">
        <v>382969</v>
      </c>
      <c r="B1444" s="0" t="n">
        <v>414349</v>
      </c>
      <c r="C1444" s="0" t="n">
        <v>462072</v>
      </c>
      <c r="D1444" s="0" t="s">
        <v>35</v>
      </c>
      <c r="E1444" s="0" t="s">
        <v>35</v>
      </c>
      <c r="F1444" s="0" t="s">
        <v>480</v>
      </c>
      <c r="G1444" s="0" t="s">
        <v>37</v>
      </c>
      <c r="H1444" s="0" t="s">
        <v>5081</v>
      </c>
      <c r="I1444" s="0" t="s">
        <v>5082</v>
      </c>
      <c r="J1444" s="0" t="s">
        <v>5081</v>
      </c>
      <c r="M1444" s="0" t="s">
        <v>5083</v>
      </c>
      <c r="N1444" s="0" t="s">
        <v>5084</v>
      </c>
      <c r="O1444" s="0" t="s">
        <v>5085</v>
      </c>
      <c r="P1444" s="0" t="n">
        <v>1954</v>
      </c>
      <c r="Q1444" s="0" t="s">
        <v>39</v>
      </c>
      <c r="R1444" s="0" t="s">
        <v>5086</v>
      </c>
      <c r="S1444" s="0" t="s">
        <v>5087</v>
      </c>
      <c r="T1444" s="0" t="s">
        <v>58</v>
      </c>
      <c r="V1444" s="0" t="n">
        <v>1</v>
      </c>
      <c r="W1444" s="0" t="n">
        <v>1</v>
      </c>
      <c r="X1444" s="0" t="str">
        <f aca="false">"31811012052489"</f>
        <v>31811012052489</v>
      </c>
      <c r="Y1444" s="0" t="s">
        <v>39</v>
      </c>
      <c r="Z1444" s="0" t="s">
        <v>42</v>
      </c>
      <c r="AA1444" s="0" t="s">
        <v>622</v>
      </c>
      <c r="AE1444" s="1" t="s">
        <v>52</v>
      </c>
    </row>
    <row r="1445" customFormat="false" ht="12.8" hidden="false" customHeight="false" outlineLevel="0" collapsed="false">
      <c r="A1445" s="0" t="n">
        <v>382969</v>
      </c>
      <c r="B1445" s="0" t="n">
        <v>414349</v>
      </c>
      <c r="C1445" s="0" t="n">
        <v>462073</v>
      </c>
      <c r="D1445" s="0" t="s">
        <v>35</v>
      </c>
      <c r="E1445" s="0" t="s">
        <v>35</v>
      </c>
      <c r="F1445" s="0" t="s">
        <v>480</v>
      </c>
      <c r="G1445" s="0" t="s">
        <v>37</v>
      </c>
      <c r="H1445" s="0" t="s">
        <v>5081</v>
      </c>
      <c r="I1445" s="0" t="s">
        <v>5082</v>
      </c>
      <c r="J1445" s="0" t="s">
        <v>5081</v>
      </c>
      <c r="M1445" s="0" t="s">
        <v>5083</v>
      </c>
      <c r="N1445" s="0" t="s">
        <v>5084</v>
      </c>
      <c r="O1445" s="0" t="s">
        <v>5085</v>
      </c>
      <c r="P1445" s="0" t="n">
        <v>1954</v>
      </c>
      <c r="Q1445" s="0" t="s">
        <v>39</v>
      </c>
      <c r="R1445" s="0" t="s">
        <v>5086</v>
      </c>
      <c r="S1445" s="0" t="s">
        <v>5087</v>
      </c>
      <c r="T1445" s="0" t="s">
        <v>60</v>
      </c>
      <c r="V1445" s="0" t="n">
        <v>1</v>
      </c>
      <c r="W1445" s="0" t="n">
        <v>1</v>
      </c>
      <c r="X1445" s="0" t="str">
        <f aca="false">"31811012052471"</f>
        <v>31811012052471</v>
      </c>
      <c r="Y1445" s="0" t="s">
        <v>39</v>
      </c>
      <c r="Z1445" s="0" t="s">
        <v>42</v>
      </c>
      <c r="AA1445" s="0" t="s">
        <v>622</v>
      </c>
      <c r="AE1445" s="1" t="s">
        <v>52</v>
      </c>
    </row>
    <row r="1446" customFormat="false" ht="12.8" hidden="false" customHeight="false" outlineLevel="0" collapsed="false">
      <c r="A1446" s="0" t="n">
        <v>382969</v>
      </c>
      <c r="B1446" s="0" t="n">
        <v>414349</v>
      </c>
      <c r="C1446" s="0" t="n">
        <v>462074</v>
      </c>
      <c r="D1446" s="0" t="s">
        <v>35</v>
      </c>
      <c r="E1446" s="0" t="s">
        <v>35</v>
      </c>
      <c r="F1446" s="0" t="s">
        <v>480</v>
      </c>
      <c r="G1446" s="0" t="s">
        <v>37</v>
      </c>
      <c r="H1446" s="0" t="s">
        <v>5081</v>
      </c>
      <c r="I1446" s="0" t="s">
        <v>5082</v>
      </c>
      <c r="J1446" s="0" t="s">
        <v>5081</v>
      </c>
      <c r="M1446" s="0" t="s">
        <v>5083</v>
      </c>
      <c r="N1446" s="0" t="s">
        <v>5084</v>
      </c>
      <c r="O1446" s="0" t="s">
        <v>5085</v>
      </c>
      <c r="P1446" s="0" t="n">
        <v>1954</v>
      </c>
      <c r="Q1446" s="0" t="s">
        <v>39</v>
      </c>
      <c r="R1446" s="0" t="s">
        <v>5086</v>
      </c>
      <c r="S1446" s="0" t="s">
        <v>5087</v>
      </c>
      <c r="T1446" s="0" t="s">
        <v>62</v>
      </c>
      <c r="V1446" s="0" t="n">
        <v>1</v>
      </c>
      <c r="W1446" s="0" t="n">
        <v>1</v>
      </c>
      <c r="X1446" s="0" t="str">
        <f aca="false">"31811012052463"</f>
        <v>31811012052463</v>
      </c>
      <c r="Y1446" s="0" t="s">
        <v>39</v>
      </c>
      <c r="Z1446" s="0" t="s">
        <v>42</v>
      </c>
      <c r="AA1446" s="0" t="s">
        <v>622</v>
      </c>
      <c r="AE1446" s="1" t="s">
        <v>52</v>
      </c>
    </row>
    <row r="1447" customFormat="false" ht="12.8" hidden="false" customHeight="false" outlineLevel="0" collapsed="false">
      <c r="A1447" s="0" t="n">
        <v>386843</v>
      </c>
      <c r="B1447" s="0" t="n">
        <v>418379</v>
      </c>
      <c r="C1447" s="0" t="n">
        <v>466872</v>
      </c>
      <c r="D1447" s="0" t="s">
        <v>35</v>
      </c>
      <c r="E1447" s="0" t="s">
        <v>35</v>
      </c>
      <c r="F1447" s="0" t="s">
        <v>36</v>
      </c>
      <c r="G1447" s="0" t="s">
        <v>37</v>
      </c>
      <c r="H1447" s="0" t="s">
        <v>5088</v>
      </c>
      <c r="I1447" s="0" t="s">
        <v>5089</v>
      </c>
      <c r="J1447" s="0" t="s">
        <v>5090</v>
      </c>
      <c r="L1447" s="0" t="s">
        <v>5091</v>
      </c>
      <c r="M1447" s="0" t="s">
        <v>5092</v>
      </c>
      <c r="N1447" s="0" t="s">
        <v>1980</v>
      </c>
      <c r="O1447" s="0" t="s">
        <v>5093</v>
      </c>
      <c r="P1447" s="0" t="n">
        <v>1990</v>
      </c>
      <c r="Q1447" s="0" t="s">
        <v>39</v>
      </c>
      <c r="R1447" s="0" t="s">
        <v>5094</v>
      </c>
      <c r="S1447" s="0" t="s">
        <v>5095</v>
      </c>
      <c r="V1447" s="0" t="n">
        <v>1</v>
      </c>
      <c r="W1447" s="0" t="n">
        <v>1</v>
      </c>
      <c r="X1447" s="0" t="str">
        <f aca="false">"31811010179565"</f>
        <v>31811010179565</v>
      </c>
      <c r="Y1447" s="0" t="s">
        <v>39</v>
      </c>
      <c r="Z1447" s="0" t="s">
        <v>42</v>
      </c>
      <c r="AA1447" s="0" t="s">
        <v>43</v>
      </c>
      <c r="AE1447" s="1" t="s">
        <v>52</v>
      </c>
    </row>
    <row r="1448" customFormat="false" ht="12.8" hidden="false" customHeight="false" outlineLevel="0" collapsed="false">
      <c r="A1448" s="0" t="n">
        <v>171650</v>
      </c>
      <c r="B1448" s="0" t="n">
        <v>187434</v>
      </c>
      <c r="C1448" s="0" t="n">
        <v>210408</v>
      </c>
      <c r="D1448" s="0" t="s">
        <v>35</v>
      </c>
      <c r="E1448" s="0" t="s">
        <v>35</v>
      </c>
      <c r="F1448" s="0" t="s">
        <v>36</v>
      </c>
      <c r="G1448" s="0" t="s">
        <v>37</v>
      </c>
      <c r="H1448" s="0" t="s">
        <v>5096</v>
      </c>
      <c r="I1448" s="0" t="s">
        <v>5097</v>
      </c>
      <c r="J1448" s="0" t="s">
        <v>5098</v>
      </c>
      <c r="L1448" s="0" t="n">
        <v>43800084</v>
      </c>
      <c r="M1448" s="0" t="s">
        <v>5099</v>
      </c>
      <c r="N1448" s="0" t="n">
        <v>1968</v>
      </c>
      <c r="O1448" s="0" t="s">
        <v>5100</v>
      </c>
      <c r="P1448" s="0" t="n">
        <v>1968</v>
      </c>
      <c r="Q1448" s="0" t="s">
        <v>39</v>
      </c>
      <c r="R1448" s="0" t="s">
        <v>5101</v>
      </c>
      <c r="S1448" s="0" t="s">
        <v>5102</v>
      </c>
      <c r="V1448" s="0" t="n">
        <v>1</v>
      </c>
      <c r="W1448" s="0" t="n">
        <v>1</v>
      </c>
      <c r="X1448" s="0" t="str">
        <f aca="false">"31811010369257"</f>
        <v>31811010369257</v>
      </c>
      <c r="Y1448" s="0" t="s">
        <v>39</v>
      </c>
      <c r="Z1448" s="0" t="s">
        <v>42</v>
      </c>
      <c r="AA1448" s="0" t="s">
        <v>43</v>
      </c>
      <c r="AE1448" s="1" t="s">
        <v>52</v>
      </c>
    </row>
    <row r="1449" customFormat="false" ht="12.8" hidden="false" customHeight="false" outlineLevel="0" collapsed="false">
      <c r="A1449" s="0" t="n">
        <v>318175</v>
      </c>
      <c r="B1449" s="0" t="n">
        <v>346345</v>
      </c>
      <c r="C1449" s="0" t="n">
        <v>386710</v>
      </c>
      <c r="D1449" s="0" t="s">
        <v>35</v>
      </c>
      <c r="E1449" s="0" t="s">
        <v>35</v>
      </c>
      <c r="F1449" s="0" t="s">
        <v>36</v>
      </c>
      <c r="G1449" s="0" t="s">
        <v>37</v>
      </c>
      <c r="H1449" s="0" t="s">
        <v>5103</v>
      </c>
      <c r="I1449" s="0" t="s">
        <v>5104</v>
      </c>
      <c r="J1449" s="0" t="s">
        <v>5105</v>
      </c>
      <c r="M1449" s="0" t="s">
        <v>5106</v>
      </c>
      <c r="N1449" s="0" t="s">
        <v>195</v>
      </c>
      <c r="O1449" s="0" t="s">
        <v>5107</v>
      </c>
      <c r="P1449" s="0" t="n">
        <v>1960</v>
      </c>
      <c r="Q1449" s="0" t="s">
        <v>39</v>
      </c>
      <c r="R1449" s="0" t="s">
        <v>5108</v>
      </c>
      <c r="S1449" s="0" t="s">
        <v>5109</v>
      </c>
      <c r="V1449" s="0" t="n">
        <v>1</v>
      </c>
      <c r="W1449" s="0" t="n">
        <v>1</v>
      </c>
      <c r="X1449" s="0" t="str">
        <f aca="false">"31811003178723"</f>
        <v>31811003178723</v>
      </c>
      <c r="Y1449" s="0" t="s">
        <v>39</v>
      </c>
      <c r="Z1449" s="0" t="s">
        <v>42</v>
      </c>
      <c r="AA1449" s="0" t="s">
        <v>43</v>
      </c>
      <c r="AE1449" s="1" t="s">
        <v>52</v>
      </c>
    </row>
    <row r="1450" customFormat="false" ht="12.8" hidden="false" customHeight="false" outlineLevel="0" collapsed="false">
      <c r="A1450" s="0" t="n">
        <v>185585</v>
      </c>
      <c r="B1450" s="0" t="n">
        <v>203188</v>
      </c>
      <c r="C1450" s="0" t="n">
        <v>228148</v>
      </c>
      <c r="D1450" s="0" t="s">
        <v>35</v>
      </c>
      <c r="E1450" s="0" t="s">
        <v>35</v>
      </c>
      <c r="F1450" s="0" t="s">
        <v>36</v>
      </c>
      <c r="G1450" s="0" t="s">
        <v>37</v>
      </c>
      <c r="H1450" s="0" t="s">
        <v>5110</v>
      </c>
      <c r="I1450" s="0" t="s">
        <v>5111</v>
      </c>
      <c r="J1450" s="0" t="s">
        <v>5112</v>
      </c>
      <c r="M1450" s="0" t="s">
        <v>5113</v>
      </c>
      <c r="N1450" s="0" t="s">
        <v>2873</v>
      </c>
      <c r="O1450" s="0" t="s">
        <v>5114</v>
      </c>
      <c r="P1450" s="0" t="n">
        <v>1955</v>
      </c>
      <c r="Q1450" s="0" t="s">
        <v>39</v>
      </c>
      <c r="R1450" s="0" t="s">
        <v>5115</v>
      </c>
      <c r="S1450" s="0" t="s">
        <v>5116</v>
      </c>
      <c r="V1450" s="0" t="n">
        <v>1</v>
      </c>
      <c r="W1450" s="0" t="n">
        <v>1</v>
      </c>
      <c r="X1450" s="0" t="str">
        <f aca="false">"31811010369471"</f>
        <v>31811010369471</v>
      </c>
      <c r="Y1450" s="0" t="s">
        <v>39</v>
      </c>
      <c r="Z1450" s="0" t="s">
        <v>42</v>
      </c>
      <c r="AA1450" s="0" t="s">
        <v>43</v>
      </c>
      <c r="AE1450" s="1" t="s">
        <v>52</v>
      </c>
    </row>
    <row r="1451" customFormat="false" ht="12.8" hidden="false" customHeight="false" outlineLevel="0" collapsed="false">
      <c r="A1451" s="0" t="n">
        <v>395594</v>
      </c>
      <c r="B1451" s="0" t="n">
        <v>427319</v>
      </c>
      <c r="C1451" s="0" t="n">
        <v>476450</v>
      </c>
      <c r="D1451" s="0" t="s">
        <v>35</v>
      </c>
      <c r="E1451" s="0" t="s">
        <v>35</v>
      </c>
      <c r="F1451" s="0" t="s">
        <v>36</v>
      </c>
      <c r="G1451" s="0" t="s">
        <v>412</v>
      </c>
      <c r="H1451" s="0" t="s">
        <v>5117</v>
      </c>
      <c r="I1451" s="0" t="s">
        <v>5118</v>
      </c>
      <c r="J1451" s="0" t="s">
        <v>5117</v>
      </c>
      <c r="M1451" s="0" t="s">
        <v>5119</v>
      </c>
      <c r="N1451" s="0" t="n">
        <v>1964</v>
      </c>
      <c r="P1451" s="0" t="n">
        <v>1964</v>
      </c>
      <c r="Q1451" s="0" t="s">
        <v>39</v>
      </c>
      <c r="R1451" s="0" t="s">
        <v>5120</v>
      </c>
      <c r="S1451" s="0" t="s">
        <v>5121</v>
      </c>
      <c r="V1451" s="0" t="n">
        <v>1</v>
      </c>
      <c r="W1451" s="0" t="n">
        <v>1</v>
      </c>
      <c r="X1451" s="0" t="str">
        <f aca="false">"31811010369463"</f>
        <v>31811010369463</v>
      </c>
      <c r="Y1451" s="0" t="s">
        <v>39</v>
      </c>
      <c r="Z1451" s="0" t="s">
        <v>42</v>
      </c>
      <c r="AA1451" s="0" t="s">
        <v>43</v>
      </c>
      <c r="AE1451" s="1" t="s">
        <v>52</v>
      </c>
    </row>
    <row r="1452" customFormat="false" ht="12.8" hidden="false" customHeight="false" outlineLevel="0" collapsed="false">
      <c r="A1452" s="0" t="n">
        <v>173716</v>
      </c>
      <c r="B1452" s="0" t="n">
        <v>189793</v>
      </c>
      <c r="C1452" s="0" t="n">
        <v>213025</v>
      </c>
      <c r="D1452" s="0" t="s">
        <v>35</v>
      </c>
      <c r="E1452" s="0" t="s">
        <v>35</v>
      </c>
      <c r="F1452" s="0" t="s">
        <v>36</v>
      </c>
      <c r="G1452" s="0" t="s">
        <v>37</v>
      </c>
      <c r="H1452" s="0" t="s">
        <v>5122</v>
      </c>
      <c r="I1452" s="0" t="s">
        <v>5123</v>
      </c>
      <c r="J1452" s="0" t="s">
        <v>5124</v>
      </c>
      <c r="L1452" s="0" t="n">
        <v>70826099</v>
      </c>
      <c r="M1452" s="0" t="s">
        <v>5125</v>
      </c>
      <c r="N1452" s="0" t="s">
        <v>1469</v>
      </c>
      <c r="O1452" s="0" t="s">
        <v>5126</v>
      </c>
      <c r="P1452" s="0" t="n">
        <v>1978</v>
      </c>
      <c r="Q1452" s="0" t="s">
        <v>39</v>
      </c>
      <c r="R1452" s="0" t="s">
        <v>5127</v>
      </c>
      <c r="S1452" s="0" t="s">
        <v>5128</v>
      </c>
      <c r="V1452" s="0" t="n">
        <v>1</v>
      </c>
      <c r="W1452" s="0" t="n">
        <v>1</v>
      </c>
      <c r="X1452" s="0" t="str">
        <f aca="false">"31811010369455"</f>
        <v>31811010369455</v>
      </c>
      <c r="Y1452" s="0" t="s">
        <v>39</v>
      </c>
      <c r="Z1452" s="0" t="s">
        <v>42</v>
      </c>
      <c r="AA1452" s="0" t="s">
        <v>43</v>
      </c>
      <c r="AE1452" s="1" t="s">
        <v>52</v>
      </c>
    </row>
    <row r="1453" customFormat="false" ht="12.8" hidden="false" customHeight="false" outlineLevel="0" collapsed="false">
      <c r="A1453" s="0" t="n">
        <v>86924</v>
      </c>
      <c r="B1453" s="0" t="n">
        <v>94054</v>
      </c>
      <c r="C1453" s="0" t="n">
        <v>105618</v>
      </c>
      <c r="D1453" s="0" t="s">
        <v>35</v>
      </c>
      <c r="E1453" s="0" t="s">
        <v>35</v>
      </c>
      <c r="F1453" s="0" t="s">
        <v>36</v>
      </c>
      <c r="G1453" s="0" t="s">
        <v>37</v>
      </c>
      <c r="H1453" s="0" t="s">
        <v>5129</v>
      </c>
      <c r="I1453" s="0" t="s">
        <v>5130</v>
      </c>
      <c r="J1453" s="0" t="s">
        <v>5131</v>
      </c>
      <c r="K1453" s="0" t="s">
        <v>1062</v>
      </c>
      <c r="L1453" s="0" t="n">
        <v>688026400</v>
      </c>
      <c r="M1453" s="0" t="s">
        <v>5132</v>
      </c>
      <c r="N1453" s="0" t="s">
        <v>5133</v>
      </c>
      <c r="O1453" s="0" t="s">
        <v>5134</v>
      </c>
      <c r="P1453" s="0" t="n">
        <v>1984</v>
      </c>
      <c r="Q1453" s="0" t="s">
        <v>39</v>
      </c>
      <c r="R1453" s="0" t="s">
        <v>5135</v>
      </c>
      <c r="S1453" s="0" t="s">
        <v>5136</v>
      </c>
      <c r="V1453" s="0" t="n">
        <v>1</v>
      </c>
      <c r="W1453" s="0" t="n">
        <v>1</v>
      </c>
      <c r="X1453" s="0" t="str">
        <f aca="false">"31811010369521"</f>
        <v>31811010369521</v>
      </c>
      <c r="Y1453" s="0" t="s">
        <v>39</v>
      </c>
      <c r="Z1453" s="0" t="s">
        <v>42</v>
      </c>
      <c r="AA1453" s="0" t="s">
        <v>43</v>
      </c>
      <c r="AE1453" s="1" t="s">
        <v>52</v>
      </c>
    </row>
    <row r="1454" customFormat="false" ht="12.8" hidden="false" customHeight="false" outlineLevel="0" collapsed="false">
      <c r="A1454" s="0" t="n">
        <v>57657</v>
      </c>
      <c r="B1454" s="0" t="n">
        <v>62600</v>
      </c>
      <c r="C1454" s="0" t="n">
        <v>69152</v>
      </c>
      <c r="D1454" s="0" t="s">
        <v>35</v>
      </c>
      <c r="E1454" s="0" t="s">
        <v>35</v>
      </c>
      <c r="F1454" s="0" t="s">
        <v>36</v>
      </c>
      <c r="G1454" s="0" t="s">
        <v>37</v>
      </c>
      <c r="H1454" s="0" t="s">
        <v>5137</v>
      </c>
      <c r="I1454" s="0" t="s">
        <v>5138</v>
      </c>
      <c r="J1454" s="0" t="s">
        <v>5139</v>
      </c>
      <c r="L1454" s="1" t="s">
        <v>5140</v>
      </c>
      <c r="M1454" s="0" t="s">
        <v>5141</v>
      </c>
      <c r="N1454" s="0" t="s">
        <v>349</v>
      </c>
      <c r="O1454" s="0" t="s">
        <v>5142</v>
      </c>
      <c r="P1454" s="0" t="n">
        <v>1979</v>
      </c>
      <c r="Q1454" s="0" t="s">
        <v>39</v>
      </c>
      <c r="R1454" s="0" t="s">
        <v>5143</v>
      </c>
      <c r="S1454" s="0" t="s">
        <v>5144</v>
      </c>
      <c r="V1454" s="0" t="n">
        <v>1</v>
      </c>
      <c r="W1454" s="0" t="n">
        <v>1</v>
      </c>
      <c r="X1454" s="0" t="str">
        <f aca="false">"31811010369513"</f>
        <v>31811010369513</v>
      </c>
      <c r="Y1454" s="0" t="s">
        <v>39</v>
      </c>
      <c r="Z1454" s="0" t="s">
        <v>42</v>
      </c>
      <c r="AA1454" s="0" t="s">
        <v>43</v>
      </c>
      <c r="AE1454" s="1" t="s">
        <v>52</v>
      </c>
    </row>
    <row r="1455" customFormat="false" ht="12.8" hidden="false" customHeight="false" outlineLevel="0" collapsed="false">
      <c r="A1455" s="0" t="n">
        <v>142211</v>
      </c>
      <c r="B1455" s="0" t="n">
        <v>153712</v>
      </c>
      <c r="C1455" s="0" t="n">
        <v>171786</v>
      </c>
      <c r="D1455" s="0" t="s">
        <v>35</v>
      </c>
      <c r="E1455" s="0" t="s">
        <v>35</v>
      </c>
      <c r="F1455" s="0" t="s">
        <v>36</v>
      </c>
      <c r="G1455" s="0" t="s">
        <v>37</v>
      </c>
      <c r="H1455" s="0" t="s">
        <v>5145</v>
      </c>
      <c r="I1455" s="0" t="s">
        <v>5146</v>
      </c>
      <c r="J1455" s="0" t="s">
        <v>5145</v>
      </c>
      <c r="M1455" s="0" t="s">
        <v>5147</v>
      </c>
      <c r="N1455" s="0" t="n">
        <v>1957</v>
      </c>
      <c r="O1455" s="0" t="s">
        <v>5148</v>
      </c>
      <c r="P1455" s="0" t="n">
        <v>1957</v>
      </c>
      <c r="Q1455" s="0" t="s">
        <v>39</v>
      </c>
      <c r="R1455" s="0" t="s">
        <v>5149</v>
      </c>
      <c r="S1455" s="0" t="s">
        <v>5150</v>
      </c>
      <c r="V1455" s="0" t="n">
        <v>1</v>
      </c>
      <c r="W1455" s="0" t="n">
        <v>1</v>
      </c>
      <c r="X1455" s="0" t="str">
        <f aca="false">"31811010369505"</f>
        <v>31811010369505</v>
      </c>
      <c r="Y1455" s="0" t="s">
        <v>39</v>
      </c>
      <c r="Z1455" s="0" t="s">
        <v>42</v>
      </c>
      <c r="AA1455" s="0" t="s">
        <v>43</v>
      </c>
      <c r="AE1455" s="1" t="s">
        <v>52</v>
      </c>
    </row>
    <row r="1456" customFormat="false" ht="12.8" hidden="false" customHeight="false" outlineLevel="0" collapsed="false">
      <c r="A1456" s="0" t="n">
        <v>142619</v>
      </c>
      <c r="B1456" s="0" t="n">
        <v>154182</v>
      </c>
      <c r="C1456" s="0" t="n">
        <v>172363</v>
      </c>
      <c r="D1456" s="0" t="s">
        <v>35</v>
      </c>
      <c r="E1456" s="0" t="s">
        <v>35</v>
      </c>
      <c r="F1456" s="0" t="s">
        <v>36</v>
      </c>
      <c r="G1456" s="0" t="s">
        <v>37</v>
      </c>
      <c r="H1456" s="0" t="s">
        <v>5151</v>
      </c>
      <c r="I1456" s="0" t="s">
        <v>5152</v>
      </c>
      <c r="J1456" s="0" t="s">
        <v>5151</v>
      </c>
      <c r="M1456" s="0" t="s">
        <v>5153</v>
      </c>
      <c r="N1456" s="0" t="s">
        <v>195</v>
      </c>
      <c r="O1456" s="0" t="s">
        <v>5107</v>
      </c>
      <c r="P1456" s="0" t="n">
        <v>1960</v>
      </c>
      <c r="Q1456" s="0" t="s">
        <v>39</v>
      </c>
      <c r="R1456" s="0" t="s">
        <v>5154</v>
      </c>
      <c r="S1456" s="0" t="s">
        <v>5155</v>
      </c>
      <c r="V1456" s="0" t="n">
        <v>1</v>
      </c>
      <c r="W1456" s="0" t="n">
        <v>1</v>
      </c>
      <c r="X1456" s="0" t="str">
        <f aca="false">"31811010369497"</f>
        <v>31811010369497</v>
      </c>
      <c r="Y1456" s="0" t="s">
        <v>39</v>
      </c>
      <c r="Z1456" s="0" t="s">
        <v>42</v>
      </c>
      <c r="AA1456" s="0" t="s">
        <v>43</v>
      </c>
      <c r="AE1456" s="1" t="s">
        <v>52</v>
      </c>
    </row>
    <row r="1457" customFormat="false" ht="12.8" hidden="false" customHeight="false" outlineLevel="0" collapsed="false">
      <c r="A1457" s="0" t="n">
        <v>111016</v>
      </c>
      <c r="B1457" s="0" t="n">
        <v>119489</v>
      </c>
      <c r="C1457" s="0" t="n">
        <v>133336</v>
      </c>
      <c r="D1457" s="0" t="s">
        <v>35</v>
      </c>
      <c r="E1457" s="0" t="s">
        <v>35</v>
      </c>
      <c r="F1457" s="0" t="s">
        <v>36</v>
      </c>
      <c r="G1457" s="0" t="s">
        <v>37</v>
      </c>
      <c r="H1457" s="0" t="s">
        <v>5156</v>
      </c>
      <c r="J1457" s="0" t="s">
        <v>5157</v>
      </c>
      <c r="L1457" s="0" t="n">
        <v>875897460</v>
      </c>
      <c r="M1457" s="0" t="s">
        <v>5158</v>
      </c>
      <c r="N1457" s="0" t="s">
        <v>1942</v>
      </c>
      <c r="O1457" s="0" t="s">
        <v>5159</v>
      </c>
      <c r="P1457" s="0" t="n">
        <v>1985</v>
      </c>
      <c r="Q1457" s="0" t="s">
        <v>39</v>
      </c>
      <c r="R1457" s="0" t="s">
        <v>5160</v>
      </c>
      <c r="S1457" s="0" t="s">
        <v>5161</v>
      </c>
      <c r="V1457" s="0" t="n">
        <v>1</v>
      </c>
      <c r="W1457" s="0" t="n">
        <v>1</v>
      </c>
      <c r="X1457" s="0" t="str">
        <f aca="false">"31811010369562"</f>
        <v>31811010369562</v>
      </c>
      <c r="Y1457" s="0" t="s">
        <v>39</v>
      </c>
      <c r="Z1457" s="0" t="s">
        <v>42</v>
      </c>
      <c r="AA1457" s="0" t="s">
        <v>43</v>
      </c>
      <c r="AE1457" s="1" t="s">
        <v>52</v>
      </c>
    </row>
    <row r="1458" customFormat="false" ht="12.8" hidden="false" customHeight="false" outlineLevel="0" collapsed="false">
      <c r="A1458" s="0" t="n">
        <v>302452</v>
      </c>
      <c r="B1458" s="0" t="n">
        <v>329900</v>
      </c>
      <c r="C1458" s="0" t="n">
        <v>368378</v>
      </c>
      <c r="D1458" s="0" t="s">
        <v>35</v>
      </c>
      <c r="E1458" s="0" t="s">
        <v>35</v>
      </c>
      <c r="F1458" s="0" t="s">
        <v>36</v>
      </c>
      <c r="G1458" s="0" t="s">
        <v>37</v>
      </c>
      <c r="H1458" s="0" t="s">
        <v>5162</v>
      </c>
      <c r="I1458" s="0" t="s">
        <v>5163</v>
      </c>
      <c r="J1458" s="0" t="s">
        <v>5164</v>
      </c>
      <c r="M1458" s="0" t="s">
        <v>5165</v>
      </c>
      <c r="N1458" s="0" t="s">
        <v>5166</v>
      </c>
      <c r="P1458" s="0" t="n">
        <v>1958</v>
      </c>
      <c r="Q1458" s="0" t="s">
        <v>39</v>
      </c>
      <c r="R1458" s="0" t="s">
        <v>5167</v>
      </c>
      <c r="S1458" s="0" t="s">
        <v>5168</v>
      </c>
      <c r="V1458" s="0" t="n">
        <v>1</v>
      </c>
      <c r="W1458" s="0" t="n">
        <v>1</v>
      </c>
      <c r="X1458" s="0" t="str">
        <f aca="false">"31811010369554"</f>
        <v>31811010369554</v>
      </c>
      <c r="Y1458" s="0" t="s">
        <v>39</v>
      </c>
      <c r="Z1458" s="0" t="s">
        <v>42</v>
      </c>
      <c r="AA1458" s="0" t="s">
        <v>43</v>
      </c>
      <c r="AE1458" s="1" t="s">
        <v>52</v>
      </c>
    </row>
    <row r="1459" customFormat="false" ht="12.8" hidden="false" customHeight="false" outlineLevel="0" collapsed="false">
      <c r="A1459" s="0" t="n">
        <v>456196</v>
      </c>
      <c r="B1459" s="0" t="n">
        <v>542625</v>
      </c>
      <c r="C1459" s="0" t="n">
        <v>611596</v>
      </c>
      <c r="D1459" s="0" t="s">
        <v>35</v>
      </c>
      <c r="E1459" s="0" t="s">
        <v>35</v>
      </c>
      <c r="F1459" s="0" t="s">
        <v>36</v>
      </c>
      <c r="G1459" s="0" t="s">
        <v>37</v>
      </c>
      <c r="H1459" s="0" t="s">
        <v>5169</v>
      </c>
      <c r="I1459" s="0" t="s">
        <v>5170</v>
      </c>
      <c r="J1459" s="0" t="s">
        <v>5171</v>
      </c>
      <c r="L1459" s="0" t="s">
        <v>5172</v>
      </c>
      <c r="M1459" s="0" t="s">
        <v>5173</v>
      </c>
      <c r="N1459" s="0" t="s">
        <v>943</v>
      </c>
      <c r="O1459" s="0" t="s">
        <v>5174</v>
      </c>
      <c r="P1459" s="0" t="n">
        <v>1993</v>
      </c>
      <c r="Q1459" s="0" t="s">
        <v>39</v>
      </c>
      <c r="R1459" s="0" t="s">
        <v>5175</v>
      </c>
      <c r="S1459" s="0" t="s">
        <v>5176</v>
      </c>
      <c r="V1459" s="0" t="n">
        <v>1</v>
      </c>
      <c r="W1459" s="0" t="n">
        <v>1</v>
      </c>
      <c r="X1459" s="0" t="str">
        <f aca="false">"31811013308682"</f>
        <v>31811013308682</v>
      </c>
      <c r="Y1459" s="0" t="s">
        <v>39</v>
      </c>
      <c r="Z1459" s="0" t="s">
        <v>42</v>
      </c>
      <c r="AA1459" s="0" t="s">
        <v>43</v>
      </c>
      <c r="AE1459" s="1" t="s">
        <v>52</v>
      </c>
      <c r="AH1459" s="1" t="s">
        <v>5177</v>
      </c>
    </row>
    <row r="1460" customFormat="false" ht="12.8" hidden="false" customHeight="false" outlineLevel="0" collapsed="false">
      <c r="A1460" s="0" t="n">
        <v>366716</v>
      </c>
      <c r="B1460" s="0" t="n">
        <v>396486</v>
      </c>
      <c r="C1460" s="0" t="n">
        <v>440804</v>
      </c>
      <c r="D1460" s="0" t="s">
        <v>35</v>
      </c>
      <c r="E1460" s="0" t="s">
        <v>35</v>
      </c>
      <c r="F1460" s="0" t="s">
        <v>36</v>
      </c>
      <c r="G1460" s="0" t="s">
        <v>37</v>
      </c>
      <c r="H1460" s="0" t="s">
        <v>5178</v>
      </c>
      <c r="I1460" s="0" t="s">
        <v>5179</v>
      </c>
      <c r="J1460" s="0" t="s">
        <v>5180</v>
      </c>
      <c r="M1460" s="0" t="s">
        <v>5181</v>
      </c>
      <c r="N1460" s="0" t="n">
        <v>1960</v>
      </c>
      <c r="O1460" s="0" t="s">
        <v>5182</v>
      </c>
      <c r="P1460" s="0" t="n">
        <v>1960</v>
      </c>
      <c r="Q1460" s="0" t="s">
        <v>39</v>
      </c>
      <c r="R1460" s="0" t="s">
        <v>5183</v>
      </c>
      <c r="S1460" s="0" t="s">
        <v>5184</v>
      </c>
      <c r="V1460" s="0" t="n">
        <v>1</v>
      </c>
      <c r="W1460" s="0" t="n">
        <v>1</v>
      </c>
      <c r="X1460" s="0" t="str">
        <f aca="false">"31811010369547"</f>
        <v>31811010369547</v>
      </c>
      <c r="Y1460" s="0" t="s">
        <v>39</v>
      </c>
      <c r="Z1460" s="0" t="s">
        <v>42</v>
      </c>
      <c r="AA1460" s="0" t="s">
        <v>43</v>
      </c>
      <c r="AE1460" s="1" t="s">
        <v>52</v>
      </c>
    </row>
    <row r="1461" customFormat="false" ht="12.8" hidden="false" customHeight="false" outlineLevel="0" collapsed="false">
      <c r="A1461" s="0" t="n">
        <v>74640</v>
      </c>
      <c r="B1461" s="0" t="n">
        <v>80893</v>
      </c>
      <c r="C1461" s="0" t="n">
        <v>90618</v>
      </c>
      <c r="D1461" s="0" t="s">
        <v>35</v>
      </c>
      <c r="E1461" s="0" t="s">
        <v>35</v>
      </c>
      <c r="F1461" s="0" t="s">
        <v>36</v>
      </c>
      <c r="G1461" s="0" t="s">
        <v>37</v>
      </c>
      <c r="H1461" s="0" t="s">
        <v>5185</v>
      </c>
      <c r="J1461" s="0" t="s">
        <v>5186</v>
      </c>
      <c r="M1461" s="0" t="s">
        <v>5187</v>
      </c>
      <c r="N1461" s="0" t="n">
        <v>1966</v>
      </c>
      <c r="O1461" s="0" t="s">
        <v>5188</v>
      </c>
      <c r="P1461" s="0" t="n">
        <v>1966</v>
      </c>
      <c r="Q1461" s="0" t="s">
        <v>39</v>
      </c>
      <c r="R1461" s="0" t="s">
        <v>5189</v>
      </c>
      <c r="S1461" s="0" t="s">
        <v>5190</v>
      </c>
      <c r="V1461" s="0" t="n">
        <v>1</v>
      </c>
      <c r="W1461" s="0" t="n">
        <v>1</v>
      </c>
      <c r="X1461" s="0" t="str">
        <f aca="false">"31811010369539"</f>
        <v>31811010369539</v>
      </c>
      <c r="Y1461" s="0" t="s">
        <v>39</v>
      </c>
      <c r="Z1461" s="0" t="s">
        <v>42</v>
      </c>
      <c r="AA1461" s="0" t="s">
        <v>43</v>
      </c>
      <c r="AE1461" s="1" t="s">
        <v>52</v>
      </c>
      <c r="AH1461" s="1" t="s">
        <v>5191</v>
      </c>
    </row>
    <row r="1462" customFormat="false" ht="12.8" hidden="false" customHeight="false" outlineLevel="0" collapsed="false">
      <c r="A1462" s="0" t="n">
        <v>188351</v>
      </c>
      <c r="B1462" s="0" t="n">
        <v>206221</v>
      </c>
      <c r="C1462" s="0" t="n">
        <v>231870</v>
      </c>
      <c r="D1462" s="0" t="s">
        <v>35</v>
      </c>
      <c r="E1462" s="0" t="s">
        <v>35</v>
      </c>
      <c r="F1462" s="0" t="s">
        <v>36</v>
      </c>
      <c r="G1462" s="0" t="s">
        <v>37</v>
      </c>
      <c r="H1462" s="0" t="s">
        <v>5192</v>
      </c>
      <c r="I1462" s="0" t="s">
        <v>5193</v>
      </c>
      <c r="J1462" s="0" t="s">
        <v>5194</v>
      </c>
      <c r="M1462" s="0" t="s">
        <v>5195</v>
      </c>
      <c r="N1462" s="0" t="s">
        <v>148</v>
      </c>
      <c r="O1462" s="0" t="s">
        <v>5196</v>
      </c>
      <c r="P1462" s="0" t="n">
        <v>1969</v>
      </c>
      <c r="Q1462" s="0" t="s">
        <v>39</v>
      </c>
      <c r="R1462" s="0" t="s">
        <v>5197</v>
      </c>
      <c r="S1462" s="0" t="s">
        <v>5198</v>
      </c>
      <c r="V1462" s="0" t="n">
        <v>1</v>
      </c>
      <c r="W1462" s="0" t="n">
        <v>1</v>
      </c>
      <c r="X1462" s="0" t="str">
        <f aca="false">"31811010369604"</f>
        <v>31811010369604</v>
      </c>
      <c r="Y1462" s="0" t="s">
        <v>39</v>
      </c>
      <c r="Z1462" s="0" t="s">
        <v>42</v>
      </c>
      <c r="AA1462" s="0" t="s">
        <v>43</v>
      </c>
      <c r="AE1462" s="1" t="s">
        <v>52</v>
      </c>
    </row>
    <row r="1463" customFormat="false" ht="12.8" hidden="false" customHeight="false" outlineLevel="0" collapsed="false">
      <c r="A1463" s="0" t="n">
        <v>122149</v>
      </c>
      <c r="B1463" s="0" t="n">
        <v>131430</v>
      </c>
      <c r="C1463" s="0" t="n">
        <v>146281</v>
      </c>
      <c r="D1463" s="0" t="s">
        <v>35</v>
      </c>
      <c r="E1463" s="0" t="s">
        <v>35</v>
      </c>
      <c r="F1463" s="0" t="s">
        <v>36</v>
      </c>
      <c r="G1463" s="0" t="s">
        <v>37</v>
      </c>
      <c r="H1463" s="0" t="s">
        <v>5199</v>
      </c>
      <c r="I1463" s="0" t="s">
        <v>5200</v>
      </c>
      <c r="J1463" s="0" t="s">
        <v>5199</v>
      </c>
      <c r="M1463" s="0" t="s">
        <v>5201</v>
      </c>
      <c r="N1463" s="0" t="n">
        <v>1967</v>
      </c>
      <c r="O1463" s="0" t="s">
        <v>5202</v>
      </c>
      <c r="P1463" s="0" t="n">
        <v>1967</v>
      </c>
      <c r="Q1463" s="0" t="s">
        <v>39</v>
      </c>
      <c r="R1463" s="0" t="s">
        <v>5203</v>
      </c>
      <c r="S1463" s="0" t="s">
        <v>5204</v>
      </c>
      <c r="V1463" s="0" t="n">
        <v>1</v>
      </c>
      <c r="W1463" s="0" t="n">
        <v>1</v>
      </c>
      <c r="X1463" s="0" t="str">
        <f aca="false">"31811010369596"</f>
        <v>31811010369596</v>
      </c>
      <c r="Y1463" s="0" t="s">
        <v>39</v>
      </c>
      <c r="Z1463" s="0" t="s">
        <v>42</v>
      </c>
      <c r="AA1463" s="0" t="s">
        <v>43</v>
      </c>
      <c r="AE1463" s="1" t="s">
        <v>52</v>
      </c>
    </row>
    <row r="1464" customFormat="false" ht="12.8" hidden="false" customHeight="false" outlineLevel="0" collapsed="false">
      <c r="A1464" s="0" t="n">
        <v>200672</v>
      </c>
      <c r="B1464" s="0" t="n">
        <v>220139</v>
      </c>
      <c r="C1464" s="0" t="n">
        <v>247565</v>
      </c>
      <c r="D1464" s="0" t="s">
        <v>35</v>
      </c>
      <c r="E1464" s="0" t="s">
        <v>35</v>
      </c>
      <c r="F1464" s="0" t="s">
        <v>36</v>
      </c>
      <c r="G1464" s="0" t="s">
        <v>37</v>
      </c>
      <c r="H1464" s="0" t="s">
        <v>5205</v>
      </c>
      <c r="I1464" s="0" t="s">
        <v>5206</v>
      </c>
      <c r="J1464" s="0" t="s">
        <v>5207</v>
      </c>
      <c r="L1464" s="0" t="s">
        <v>5208</v>
      </c>
      <c r="M1464" s="0" t="s">
        <v>5209</v>
      </c>
      <c r="N1464" s="0" t="s">
        <v>408</v>
      </c>
      <c r="O1464" s="0" t="s">
        <v>5142</v>
      </c>
      <c r="P1464" s="0" t="n">
        <v>1981</v>
      </c>
      <c r="Q1464" s="0" t="s">
        <v>39</v>
      </c>
      <c r="R1464" s="0" t="s">
        <v>5210</v>
      </c>
      <c r="S1464" s="0" t="s">
        <v>5211</v>
      </c>
      <c r="V1464" s="0" t="n">
        <v>1</v>
      </c>
      <c r="W1464" s="0" t="n">
        <v>1</v>
      </c>
      <c r="X1464" s="0" t="str">
        <f aca="false">"31811010369588"</f>
        <v>31811010369588</v>
      </c>
      <c r="Y1464" s="0" t="s">
        <v>39</v>
      </c>
      <c r="Z1464" s="0" t="s">
        <v>42</v>
      </c>
      <c r="AA1464" s="0" t="s">
        <v>43</v>
      </c>
      <c r="AE1464" s="1" t="s">
        <v>52</v>
      </c>
    </row>
    <row r="1465" customFormat="false" ht="12.8" hidden="false" customHeight="false" outlineLevel="0" collapsed="false">
      <c r="A1465" s="0" t="n">
        <v>84024</v>
      </c>
      <c r="B1465" s="0" t="n">
        <v>90953</v>
      </c>
      <c r="C1465" s="0" t="n">
        <v>102136</v>
      </c>
      <c r="D1465" s="0" t="s">
        <v>35</v>
      </c>
      <c r="E1465" s="0" t="s">
        <v>35</v>
      </c>
      <c r="F1465" s="0" t="s">
        <v>36</v>
      </c>
      <c r="G1465" s="0" t="s">
        <v>37</v>
      </c>
      <c r="H1465" s="0" t="s">
        <v>5212</v>
      </c>
      <c r="I1465" s="0" t="s">
        <v>5213</v>
      </c>
      <c r="J1465" s="0" t="s">
        <v>5214</v>
      </c>
      <c r="L1465" s="0" t="n">
        <v>134251997</v>
      </c>
      <c r="M1465" s="0" t="s">
        <v>5215</v>
      </c>
      <c r="N1465" s="0" t="s">
        <v>1919</v>
      </c>
      <c r="O1465" s="0" t="s">
        <v>4844</v>
      </c>
      <c r="P1465" s="0" t="n">
        <v>1983</v>
      </c>
      <c r="Q1465" s="0" t="s">
        <v>39</v>
      </c>
      <c r="R1465" s="0" t="s">
        <v>5216</v>
      </c>
      <c r="S1465" s="0" t="s">
        <v>5217</v>
      </c>
      <c r="V1465" s="0" t="n">
        <v>1</v>
      </c>
      <c r="W1465" s="0" t="n">
        <v>1</v>
      </c>
      <c r="X1465" s="0" t="str">
        <f aca="false">"31811010369570"</f>
        <v>31811010369570</v>
      </c>
      <c r="Y1465" s="0" t="s">
        <v>39</v>
      </c>
      <c r="Z1465" s="0" t="s">
        <v>42</v>
      </c>
      <c r="AA1465" s="0" t="s">
        <v>43</v>
      </c>
      <c r="AE1465" s="1" t="s">
        <v>52</v>
      </c>
    </row>
    <row r="1466" customFormat="false" ht="12.8" hidden="false" customHeight="false" outlineLevel="0" collapsed="false">
      <c r="A1466" s="0" t="n">
        <v>44848</v>
      </c>
      <c r="B1466" s="0" t="n">
        <v>48652</v>
      </c>
      <c r="C1466" s="0" t="n">
        <v>53738</v>
      </c>
      <c r="D1466" s="0" t="s">
        <v>35</v>
      </c>
      <c r="E1466" s="0" t="s">
        <v>35</v>
      </c>
      <c r="F1466" s="0" t="s">
        <v>36</v>
      </c>
      <c r="G1466" s="0" t="s">
        <v>37</v>
      </c>
      <c r="H1466" s="0" t="s">
        <v>5218</v>
      </c>
      <c r="I1466" s="0" t="s">
        <v>5219</v>
      </c>
      <c r="J1466" s="0" t="s">
        <v>5220</v>
      </c>
      <c r="L1466" s="0" t="n">
        <v>872011402</v>
      </c>
      <c r="M1466" s="0" t="s">
        <v>5221</v>
      </c>
      <c r="N1466" s="0" t="s">
        <v>156</v>
      </c>
      <c r="O1466" s="0" t="s">
        <v>5222</v>
      </c>
      <c r="P1466" s="0" t="n">
        <v>1977</v>
      </c>
      <c r="Q1466" s="0" t="s">
        <v>39</v>
      </c>
      <c r="R1466" s="0" t="s">
        <v>5223</v>
      </c>
      <c r="S1466" s="0" t="s">
        <v>5224</v>
      </c>
      <c r="V1466" s="0" t="n">
        <v>1</v>
      </c>
      <c r="W1466" s="0" t="n">
        <v>1</v>
      </c>
      <c r="X1466" s="0" t="str">
        <f aca="false">"31811010369323"</f>
        <v>31811010369323</v>
      </c>
      <c r="Y1466" s="0" t="s">
        <v>39</v>
      </c>
      <c r="Z1466" s="0" t="s">
        <v>42</v>
      </c>
      <c r="AA1466" s="0" t="s">
        <v>43</v>
      </c>
      <c r="AE1466" s="1" t="s">
        <v>52</v>
      </c>
    </row>
    <row r="1467" customFormat="false" ht="12.8" hidden="false" customHeight="false" outlineLevel="0" collapsed="false">
      <c r="A1467" s="0" t="n">
        <v>73077</v>
      </c>
      <c r="B1467" s="0" t="n">
        <v>79194</v>
      </c>
      <c r="C1467" s="0" t="n">
        <v>88107</v>
      </c>
      <c r="D1467" s="0" t="s">
        <v>35</v>
      </c>
      <c r="E1467" s="0" t="s">
        <v>35</v>
      </c>
      <c r="F1467" s="0" t="s">
        <v>36</v>
      </c>
      <c r="G1467" s="0" t="s">
        <v>37</v>
      </c>
      <c r="H1467" s="0" t="s">
        <v>5225</v>
      </c>
      <c r="I1467" s="0" t="s">
        <v>5226</v>
      </c>
      <c r="J1467" s="0" t="s">
        <v>5227</v>
      </c>
      <c r="M1467" s="0" t="s">
        <v>5228</v>
      </c>
      <c r="N1467" s="0" t="s">
        <v>148</v>
      </c>
      <c r="O1467" s="0" t="s">
        <v>5229</v>
      </c>
      <c r="P1467" s="0" t="n">
        <v>1969</v>
      </c>
      <c r="Q1467" s="0" t="s">
        <v>39</v>
      </c>
      <c r="R1467" s="0" t="s">
        <v>5230</v>
      </c>
      <c r="S1467" s="0" t="s">
        <v>5231</v>
      </c>
      <c r="V1467" s="0" t="n">
        <v>1</v>
      </c>
      <c r="W1467" s="0" t="n">
        <v>1</v>
      </c>
      <c r="X1467" s="0" t="str">
        <f aca="false">"31811010369315"</f>
        <v>31811010369315</v>
      </c>
      <c r="Y1467" s="0" t="s">
        <v>39</v>
      </c>
      <c r="Z1467" s="0" t="s">
        <v>42</v>
      </c>
      <c r="AA1467" s="0" t="s">
        <v>43</v>
      </c>
      <c r="AE1467" s="1" t="s">
        <v>52</v>
      </c>
    </row>
    <row r="1468" customFormat="false" ht="12.8" hidden="false" customHeight="false" outlineLevel="0" collapsed="false">
      <c r="A1468" s="0" t="n">
        <v>55551</v>
      </c>
      <c r="B1468" s="0" t="n">
        <v>60295</v>
      </c>
      <c r="C1468" s="0" t="n">
        <v>66561</v>
      </c>
      <c r="D1468" s="0" t="s">
        <v>35</v>
      </c>
      <c r="E1468" s="0" t="s">
        <v>35</v>
      </c>
      <c r="F1468" s="0" t="s">
        <v>36</v>
      </c>
      <c r="G1468" s="0" t="s">
        <v>37</v>
      </c>
      <c r="H1468" s="0" t="s">
        <v>5232</v>
      </c>
      <c r="I1468" s="0" t="s">
        <v>5226</v>
      </c>
      <c r="J1468" s="0" t="s">
        <v>5233</v>
      </c>
      <c r="L1468" s="0" t="n">
        <v>201052636</v>
      </c>
      <c r="M1468" s="0" t="s">
        <v>5234</v>
      </c>
      <c r="N1468" s="0" t="s">
        <v>349</v>
      </c>
      <c r="O1468" s="0" t="s">
        <v>5235</v>
      </c>
      <c r="P1468" s="0" t="n">
        <v>1979</v>
      </c>
      <c r="Q1468" s="0" t="s">
        <v>39</v>
      </c>
      <c r="R1468" s="0" t="s">
        <v>5236</v>
      </c>
      <c r="S1468" s="0" t="s">
        <v>5237</v>
      </c>
      <c r="V1468" s="0" t="n">
        <v>1</v>
      </c>
      <c r="W1468" s="0" t="n">
        <v>1</v>
      </c>
      <c r="X1468" s="0" t="str">
        <f aca="false">"31811010369307"</f>
        <v>31811010369307</v>
      </c>
      <c r="Y1468" s="0" t="s">
        <v>39</v>
      </c>
      <c r="Z1468" s="0" t="s">
        <v>42</v>
      </c>
      <c r="AA1468" s="0" t="s">
        <v>43</v>
      </c>
      <c r="AE1468" s="1" t="s">
        <v>52</v>
      </c>
    </row>
    <row r="1469" customFormat="false" ht="12.8" hidden="false" customHeight="false" outlineLevel="0" collapsed="false">
      <c r="A1469" s="0" t="n">
        <v>88573</v>
      </c>
      <c r="B1469" s="0" t="n">
        <v>95836</v>
      </c>
      <c r="C1469" s="0" t="n">
        <v>107589</v>
      </c>
      <c r="D1469" s="0" t="s">
        <v>35</v>
      </c>
      <c r="E1469" s="0" t="s">
        <v>35</v>
      </c>
      <c r="F1469" s="0" t="s">
        <v>36</v>
      </c>
      <c r="G1469" s="0" t="s">
        <v>37</v>
      </c>
      <c r="H1469" s="0" t="s">
        <v>5238</v>
      </c>
      <c r="I1469" s="0" t="s">
        <v>5239</v>
      </c>
      <c r="J1469" s="0" t="s">
        <v>5240</v>
      </c>
      <c r="L1469" s="0" t="n">
        <v>138633657</v>
      </c>
      <c r="M1469" s="0" t="s">
        <v>5241</v>
      </c>
      <c r="N1469" s="0" t="s">
        <v>1919</v>
      </c>
      <c r="O1469" s="0" t="s">
        <v>4844</v>
      </c>
      <c r="P1469" s="0" t="n">
        <v>1983</v>
      </c>
      <c r="Q1469" s="0" t="s">
        <v>39</v>
      </c>
      <c r="R1469" s="0" t="s">
        <v>5242</v>
      </c>
      <c r="S1469" s="0" t="s">
        <v>5243</v>
      </c>
      <c r="V1469" s="0" t="n">
        <v>1</v>
      </c>
      <c r="W1469" s="0" t="n">
        <v>1</v>
      </c>
      <c r="X1469" s="0" t="str">
        <f aca="false">"31811010369299"</f>
        <v>31811010369299</v>
      </c>
      <c r="Y1469" s="0" t="s">
        <v>39</v>
      </c>
      <c r="Z1469" s="0" t="s">
        <v>42</v>
      </c>
      <c r="AA1469" s="0" t="s">
        <v>43</v>
      </c>
      <c r="AE1469" s="1" t="s">
        <v>52</v>
      </c>
    </row>
    <row r="1470" customFormat="false" ht="12.8" hidden="false" customHeight="false" outlineLevel="0" collapsed="false">
      <c r="A1470" s="0" t="n">
        <v>252708</v>
      </c>
      <c r="B1470" s="0" t="n">
        <v>276874</v>
      </c>
      <c r="C1470" s="0" t="n">
        <v>311286</v>
      </c>
      <c r="D1470" s="0" t="s">
        <v>35</v>
      </c>
      <c r="E1470" s="0" t="s">
        <v>35</v>
      </c>
      <c r="F1470" s="0" t="s">
        <v>36</v>
      </c>
      <c r="G1470" s="0" t="s">
        <v>37</v>
      </c>
      <c r="H1470" s="0" t="s">
        <v>5244</v>
      </c>
      <c r="I1470" s="0" t="s">
        <v>5245</v>
      </c>
      <c r="J1470" s="0" t="s">
        <v>5246</v>
      </c>
      <c r="K1470" s="0" t="s">
        <v>5247</v>
      </c>
      <c r="M1470" s="0" t="s">
        <v>5248</v>
      </c>
      <c r="N1470" s="0" t="s">
        <v>282</v>
      </c>
      <c r="O1470" s="0" t="s">
        <v>5196</v>
      </c>
      <c r="P1470" s="0" t="n">
        <v>1963</v>
      </c>
      <c r="Q1470" s="0" t="s">
        <v>39</v>
      </c>
      <c r="R1470" s="0" t="s">
        <v>5249</v>
      </c>
      <c r="S1470" s="0" t="s">
        <v>5250</v>
      </c>
      <c r="V1470" s="0" t="n">
        <v>1</v>
      </c>
      <c r="W1470" s="0" t="n">
        <v>1</v>
      </c>
      <c r="X1470" s="0" t="str">
        <f aca="false">"31811010369364"</f>
        <v>31811010369364</v>
      </c>
      <c r="Y1470" s="0" t="s">
        <v>39</v>
      </c>
      <c r="Z1470" s="0" t="s">
        <v>42</v>
      </c>
      <c r="AA1470" s="0" t="s">
        <v>43</v>
      </c>
      <c r="AE1470" s="1" t="s">
        <v>52</v>
      </c>
    </row>
    <row r="1471" customFormat="false" ht="12.8" hidden="false" customHeight="false" outlineLevel="0" collapsed="false">
      <c r="A1471" s="0" t="n">
        <v>199953</v>
      </c>
      <c r="B1471" s="0" t="n">
        <v>219348</v>
      </c>
      <c r="C1471" s="0" t="n">
        <v>246563</v>
      </c>
      <c r="D1471" s="0" t="s">
        <v>35</v>
      </c>
      <c r="E1471" s="0" t="s">
        <v>35</v>
      </c>
      <c r="F1471" s="0" t="s">
        <v>36</v>
      </c>
      <c r="G1471" s="0" t="s">
        <v>37</v>
      </c>
      <c r="H1471" s="0" t="s">
        <v>5251</v>
      </c>
      <c r="I1471" s="0" t="s">
        <v>5252</v>
      </c>
      <c r="J1471" s="0" t="s">
        <v>5253</v>
      </c>
      <c r="K1471" s="0" t="s">
        <v>428</v>
      </c>
      <c r="L1471" s="0" t="n">
        <v>850386446</v>
      </c>
      <c r="M1471" s="0" t="s">
        <v>5254</v>
      </c>
      <c r="N1471" s="0" t="n">
        <v>1984</v>
      </c>
      <c r="O1471" s="0" t="s">
        <v>5255</v>
      </c>
      <c r="P1471" s="0" t="n">
        <v>1984</v>
      </c>
      <c r="Q1471" s="0" t="s">
        <v>39</v>
      </c>
      <c r="R1471" s="0" t="s">
        <v>5256</v>
      </c>
      <c r="S1471" s="0" t="s">
        <v>5257</v>
      </c>
      <c r="V1471" s="0" t="n">
        <v>1</v>
      </c>
      <c r="W1471" s="0" t="n">
        <v>1</v>
      </c>
      <c r="X1471" s="0" t="str">
        <f aca="false">"31811010369356"</f>
        <v>31811010369356</v>
      </c>
      <c r="Y1471" s="0" t="s">
        <v>39</v>
      </c>
      <c r="Z1471" s="0" t="s">
        <v>42</v>
      </c>
      <c r="AA1471" s="0" t="s">
        <v>43</v>
      </c>
      <c r="AE1471" s="1" t="s">
        <v>52</v>
      </c>
    </row>
    <row r="1472" customFormat="false" ht="12.8" hidden="false" customHeight="false" outlineLevel="0" collapsed="false">
      <c r="A1472" s="0" t="n">
        <v>601421</v>
      </c>
      <c r="B1472" s="0" t="n">
        <v>642893</v>
      </c>
      <c r="C1472" s="0" t="n">
        <v>719138</v>
      </c>
      <c r="D1472" s="0" t="s">
        <v>35</v>
      </c>
      <c r="E1472" s="0" t="s">
        <v>35</v>
      </c>
      <c r="F1472" s="0" t="s">
        <v>36</v>
      </c>
      <c r="G1472" s="0" t="s">
        <v>37</v>
      </c>
      <c r="H1472" s="0" t="s">
        <v>5258</v>
      </c>
      <c r="I1472" s="0" t="s">
        <v>5259</v>
      </c>
      <c r="J1472" s="0" t="s">
        <v>5260</v>
      </c>
      <c r="L1472" s="0" t="n">
        <v>471527084</v>
      </c>
      <c r="M1472" s="0" t="s">
        <v>5261</v>
      </c>
      <c r="N1472" s="0" t="s">
        <v>1980</v>
      </c>
      <c r="O1472" s="0" t="s">
        <v>5262</v>
      </c>
      <c r="P1472" s="0" t="n">
        <v>1990</v>
      </c>
      <c r="Q1472" s="0" t="s">
        <v>39</v>
      </c>
      <c r="R1472" s="0" t="s">
        <v>5263</v>
      </c>
      <c r="S1472" s="0" t="s">
        <v>5264</v>
      </c>
      <c r="V1472" s="0" t="n">
        <v>1</v>
      </c>
      <c r="W1472" s="0" t="n">
        <v>1</v>
      </c>
      <c r="X1472" s="0" t="str">
        <f aca="false">"31811012981893"</f>
        <v>31811012981893</v>
      </c>
      <c r="Y1472" s="0" t="s">
        <v>39</v>
      </c>
      <c r="Z1472" s="0" t="s">
        <v>42</v>
      </c>
      <c r="AA1472" s="0" t="s">
        <v>43</v>
      </c>
      <c r="AE1472" s="1" t="s">
        <v>5265</v>
      </c>
      <c r="AH1472" s="1" t="s">
        <v>5177</v>
      </c>
    </row>
    <row r="1473" customFormat="false" ht="12.8" hidden="false" customHeight="false" outlineLevel="0" collapsed="false">
      <c r="A1473" s="0" t="n">
        <v>251664</v>
      </c>
      <c r="B1473" s="0" t="n">
        <v>275749</v>
      </c>
      <c r="C1473" s="0" t="n">
        <v>310083</v>
      </c>
      <c r="D1473" s="0" t="s">
        <v>35</v>
      </c>
      <c r="E1473" s="0" t="s">
        <v>35</v>
      </c>
      <c r="F1473" s="0" t="s">
        <v>36</v>
      </c>
      <c r="G1473" s="0" t="s">
        <v>37</v>
      </c>
      <c r="H1473" s="0" t="s">
        <v>5266</v>
      </c>
      <c r="I1473" s="0" t="s">
        <v>5267</v>
      </c>
      <c r="J1473" s="0" t="s">
        <v>5268</v>
      </c>
      <c r="M1473" s="0" t="s">
        <v>5269</v>
      </c>
      <c r="N1473" s="0" t="n">
        <v>1933</v>
      </c>
      <c r="O1473" s="0" t="s">
        <v>248</v>
      </c>
      <c r="P1473" s="0" t="n">
        <v>1933</v>
      </c>
      <c r="Q1473" s="0" t="s">
        <v>39</v>
      </c>
      <c r="R1473" s="0" t="s">
        <v>5270</v>
      </c>
      <c r="S1473" s="0" t="s">
        <v>5271</v>
      </c>
      <c r="V1473" s="0" t="n">
        <v>1</v>
      </c>
      <c r="W1473" s="0" t="n">
        <v>1</v>
      </c>
      <c r="X1473" s="0" t="str">
        <f aca="false">"31811010370461"</f>
        <v>31811010370461</v>
      </c>
      <c r="Y1473" s="0" t="s">
        <v>39</v>
      </c>
      <c r="Z1473" s="0" t="s">
        <v>42</v>
      </c>
      <c r="AA1473" s="0" t="s">
        <v>43</v>
      </c>
      <c r="AE1473" s="1" t="s">
        <v>52</v>
      </c>
    </row>
    <row r="1474" customFormat="false" ht="12.8" hidden="false" customHeight="false" outlineLevel="0" collapsed="false">
      <c r="A1474" s="0" t="n">
        <v>495446</v>
      </c>
      <c r="B1474" s="0" t="n">
        <v>476551</v>
      </c>
      <c r="C1474" s="0" t="n">
        <v>534028</v>
      </c>
      <c r="D1474" s="0" t="s">
        <v>35</v>
      </c>
      <c r="E1474" s="0" t="s">
        <v>35</v>
      </c>
      <c r="F1474" s="0" t="s">
        <v>36</v>
      </c>
      <c r="G1474" s="0" t="s">
        <v>37</v>
      </c>
      <c r="H1474" s="0" t="s">
        <v>5272</v>
      </c>
      <c r="I1474" s="0" t="s">
        <v>5273</v>
      </c>
      <c r="J1474" s="0" t="s">
        <v>5272</v>
      </c>
      <c r="M1474" s="0" t="s">
        <v>5274</v>
      </c>
      <c r="N1474" s="0" t="s">
        <v>4189</v>
      </c>
      <c r="O1474" s="0" t="s">
        <v>5275</v>
      </c>
      <c r="P1474" s="0" t="n">
        <v>1962</v>
      </c>
      <c r="Q1474" s="0" t="s">
        <v>39</v>
      </c>
      <c r="R1474" s="0" t="s">
        <v>5276</v>
      </c>
      <c r="S1474" s="0" t="s">
        <v>5277</v>
      </c>
      <c r="V1474" s="0" t="n">
        <v>1</v>
      </c>
      <c r="W1474" s="0" t="n">
        <v>1</v>
      </c>
      <c r="X1474" s="0" t="str">
        <f aca="false">"31811010370503"</f>
        <v>31811010370503</v>
      </c>
      <c r="Y1474" s="0" t="s">
        <v>39</v>
      </c>
      <c r="Z1474" s="0" t="s">
        <v>42</v>
      </c>
      <c r="AA1474" s="0" t="s">
        <v>43</v>
      </c>
      <c r="AE1474" s="1" t="s">
        <v>52</v>
      </c>
    </row>
    <row r="1475" customFormat="false" ht="12.8" hidden="false" customHeight="false" outlineLevel="0" collapsed="false">
      <c r="A1475" s="0" t="n">
        <v>232900</v>
      </c>
      <c r="B1475" s="0" t="n">
        <v>255318</v>
      </c>
      <c r="C1475" s="0" t="n">
        <v>287342</v>
      </c>
      <c r="D1475" s="0" t="s">
        <v>35</v>
      </c>
      <c r="E1475" s="0" t="s">
        <v>35</v>
      </c>
      <c r="F1475" s="0" t="s">
        <v>36</v>
      </c>
      <c r="G1475" s="0" t="s">
        <v>37</v>
      </c>
      <c r="H1475" s="0" t="s">
        <v>5278</v>
      </c>
      <c r="I1475" s="0" t="s">
        <v>5279</v>
      </c>
      <c r="J1475" s="0" t="s">
        <v>5280</v>
      </c>
      <c r="M1475" s="0" t="s">
        <v>5281</v>
      </c>
      <c r="N1475" s="0" t="s">
        <v>652</v>
      </c>
      <c r="O1475" s="0" t="s">
        <v>698</v>
      </c>
      <c r="P1475" s="0" t="n">
        <v>1958</v>
      </c>
      <c r="Q1475" s="0" t="s">
        <v>39</v>
      </c>
      <c r="R1475" s="0" t="s">
        <v>5282</v>
      </c>
      <c r="S1475" s="0" t="s">
        <v>5283</v>
      </c>
      <c r="V1475" s="0" t="n">
        <v>1</v>
      </c>
      <c r="W1475" s="0" t="n">
        <v>1</v>
      </c>
      <c r="X1475" s="0" t="str">
        <f aca="false">"31811010370545"</f>
        <v>31811010370545</v>
      </c>
      <c r="Y1475" s="0" t="s">
        <v>39</v>
      </c>
      <c r="Z1475" s="0" t="s">
        <v>42</v>
      </c>
      <c r="AA1475" s="0" t="s">
        <v>43</v>
      </c>
      <c r="AE1475" s="1" t="s">
        <v>52</v>
      </c>
    </row>
    <row r="1476" customFormat="false" ht="12.8" hidden="false" customHeight="false" outlineLevel="0" collapsed="false">
      <c r="A1476" s="0" t="n">
        <v>232972</v>
      </c>
      <c r="B1476" s="0" t="n">
        <v>255394</v>
      </c>
      <c r="C1476" s="0" t="n">
        <v>287408</v>
      </c>
      <c r="D1476" s="0" t="s">
        <v>35</v>
      </c>
      <c r="E1476" s="0" t="s">
        <v>35</v>
      </c>
      <c r="F1476" s="0" t="s">
        <v>36</v>
      </c>
      <c r="G1476" s="0" t="s">
        <v>37</v>
      </c>
      <c r="H1476" s="0" t="s">
        <v>5284</v>
      </c>
      <c r="I1476" s="0" t="s">
        <v>5285</v>
      </c>
      <c r="J1476" s="0" t="s">
        <v>5284</v>
      </c>
      <c r="M1476" s="0" t="s">
        <v>5286</v>
      </c>
      <c r="N1476" s="0" t="n">
        <v>1958</v>
      </c>
      <c r="O1476" s="0" t="s">
        <v>2504</v>
      </c>
      <c r="P1476" s="0" t="n">
        <v>1958</v>
      </c>
      <c r="Q1476" s="0" t="s">
        <v>39</v>
      </c>
      <c r="R1476" s="0" t="s">
        <v>5287</v>
      </c>
      <c r="S1476" s="0" t="s">
        <v>5288</v>
      </c>
      <c r="V1476" s="0" t="n">
        <v>1</v>
      </c>
      <c r="W1476" s="0" t="n">
        <v>1</v>
      </c>
      <c r="X1476" s="0" t="str">
        <f aca="false">"31811010370438"</f>
        <v>31811010370438</v>
      </c>
      <c r="Y1476" s="0" t="s">
        <v>39</v>
      </c>
      <c r="Z1476" s="0" t="s">
        <v>42</v>
      </c>
      <c r="AA1476" s="0" t="s">
        <v>43</v>
      </c>
      <c r="AE1476" s="1" t="s">
        <v>52</v>
      </c>
    </row>
    <row r="1477" customFormat="false" ht="12.8" hidden="false" customHeight="false" outlineLevel="0" collapsed="false">
      <c r="A1477" s="0" t="n">
        <v>499053</v>
      </c>
      <c r="B1477" s="0" t="n">
        <v>480216</v>
      </c>
      <c r="C1477" s="0" t="n">
        <v>538126</v>
      </c>
      <c r="D1477" s="0" t="s">
        <v>35</v>
      </c>
      <c r="E1477" s="0" t="s">
        <v>35</v>
      </c>
      <c r="F1477" s="0" t="s">
        <v>36</v>
      </c>
      <c r="G1477" s="0" t="s">
        <v>37</v>
      </c>
      <c r="H1477" s="0" t="s">
        <v>5289</v>
      </c>
      <c r="I1477" s="0" t="s">
        <v>5290</v>
      </c>
      <c r="J1477" s="0" t="s">
        <v>5291</v>
      </c>
      <c r="M1477" s="0" t="s">
        <v>5292</v>
      </c>
      <c r="N1477" s="0" t="s">
        <v>5293</v>
      </c>
      <c r="P1477" s="0" t="n">
        <v>1962</v>
      </c>
      <c r="Q1477" s="0" t="s">
        <v>39</v>
      </c>
      <c r="R1477" s="0" t="s">
        <v>5294</v>
      </c>
      <c r="S1477" s="0" t="s">
        <v>5295</v>
      </c>
      <c r="V1477" s="0" t="n">
        <v>1</v>
      </c>
      <c r="W1477" s="0" t="n">
        <v>1</v>
      </c>
      <c r="X1477" s="0" t="str">
        <f aca="false">"31811010370479"</f>
        <v>31811010370479</v>
      </c>
      <c r="Y1477" s="0" t="s">
        <v>39</v>
      </c>
      <c r="Z1477" s="0" t="s">
        <v>42</v>
      </c>
      <c r="AA1477" s="0" t="s">
        <v>43</v>
      </c>
      <c r="AE1477" s="1" t="s">
        <v>52</v>
      </c>
    </row>
    <row r="1478" customFormat="false" ht="12.8" hidden="false" customHeight="false" outlineLevel="0" collapsed="false">
      <c r="A1478" s="0" t="n">
        <v>185570</v>
      </c>
      <c r="B1478" s="0" t="n">
        <v>203172</v>
      </c>
      <c r="C1478" s="0" t="n">
        <v>228131</v>
      </c>
      <c r="D1478" s="0" t="s">
        <v>35</v>
      </c>
      <c r="E1478" s="0" t="s">
        <v>35</v>
      </c>
      <c r="F1478" s="0" t="s">
        <v>36</v>
      </c>
      <c r="G1478" s="0" t="s">
        <v>37</v>
      </c>
      <c r="H1478" s="0" t="s">
        <v>5296</v>
      </c>
      <c r="I1478" s="0" t="s">
        <v>5297</v>
      </c>
      <c r="J1478" s="0" t="s">
        <v>5298</v>
      </c>
      <c r="M1478" s="0" t="s">
        <v>5299</v>
      </c>
      <c r="N1478" s="0" t="n">
        <v>1954</v>
      </c>
      <c r="O1478" s="0" t="s">
        <v>5300</v>
      </c>
      <c r="P1478" s="0" t="n">
        <v>1954</v>
      </c>
      <c r="Q1478" s="0" t="s">
        <v>39</v>
      </c>
      <c r="R1478" s="0" t="s">
        <v>5301</v>
      </c>
      <c r="S1478" s="0" t="s">
        <v>5302</v>
      </c>
      <c r="V1478" s="0" t="n">
        <v>1</v>
      </c>
      <c r="W1478" s="0" t="n">
        <v>1</v>
      </c>
      <c r="X1478" s="0" t="str">
        <f aca="false">"31811010370511"</f>
        <v>31811010370511</v>
      </c>
      <c r="Y1478" s="0" t="s">
        <v>39</v>
      </c>
      <c r="Z1478" s="0" t="s">
        <v>42</v>
      </c>
      <c r="AA1478" s="0" t="s">
        <v>43</v>
      </c>
      <c r="AE1478" s="1" t="s">
        <v>52</v>
      </c>
    </row>
    <row r="1479" customFormat="false" ht="12.8" hidden="false" customHeight="false" outlineLevel="0" collapsed="false">
      <c r="A1479" s="0" t="n">
        <v>503642</v>
      </c>
      <c r="B1479" s="0" t="n">
        <v>485079</v>
      </c>
      <c r="C1479" s="0" t="n">
        <v>543486</v>
      </c>
      <c r="D1479" s="0" t="s">
        <v>35</v>
      </c>
      <c r="E1479" s="0" t="s">
        <v>35</v>
      </c>
      <c r="F1479" s="0" t="s">
        <v>36</v>
      </c>
      <c r="G1479" s="0" t="s">
        <v>37</v>
      </c>
      <c r="H1479" s="0" t="s">
        <v>5303</v>
      </c>
      <c r="I1479" s="0" t="s">
        <v>5304</v>
      </c>
      <c r="J1479" s="0" t="s">
        <v>5305</v>
      </c>
      <c r="L1479" s="0" t="s">
        <v>5306</v>
      </c>
      <c r="M1479" s="0" t="s">
        <v>5307</v>
      </c>
      <c r="N1479" s="0" t="s">
        <v>2050</v>
      </c>
      <c r="O1479" s="0" t="s">
        <v>5308</v>
      </c>
      <c r="P1479" s="0" t="n">
        <v>1996</v>
      </c>
      <c r="Q1479" s="0" t="s">
        <v>39</v>
      </c>
      <c r="R1479" s="0" t="s">
        <v>5309</v>
      </c>
      <c r="S1479" s="0" t="s">
        <v>5310</v>
      </c>
      <c r="V1479" s="0" t="n">
        <v>1</v>
      </c>
      <c r="W1479" s="0" t="n">
        <v>1</v>
      </c>
      <c r="X1479" s="0" t="str">
        <f aca="false">"31811011326116"</f>
        <v>31811011326116</v>
      </c>
      <c r="Y1479" s="0" t="s">
        <v>39</v>
      </c>
      <c r="Z1479" s="0" t="s">
        <v>42</v>
      </c>
      <c r="AA1479" s="0" t="s">
        <v>43</v>
      </c>
      <c r="AE1479" s="1" t="s">
        <v>52</v>
      </c>
    </row>
    <row r="1480" customFormat="false" ht="12.8" hidden="false" customHeight="false" outlineLevel="0" collapsed="false">
      <c r="A1480" s="0" t="n">
        <v>263472</v>
      </c>
      <c r="B1480" s="0" t="n">
        <v>288515</v>
      </c>
      <c r="C1480" s="0" t="n">
        <v>324091</v>
      </c>
      <c r="D1480" s="0" t="s">
        <v>35</v>
      </c>
      <c r="E1480" s="0" t="s">
        <v>35</v>
      </c>
      <c r="F1480" s="0" t="s">
        <v>36</v>
      </c>
      <c r="G1480" s="0" t="s">
        <v>37</v>
      </c>
      <c r="H1480" s="0" t="s">
        <v>5311</v>
      </c>
      <c r="I1480" s="0" t="s">
        <v>1527</v>
      </c>
      <c r="J1480" s="0" t="s">
        <v>5312</v>
      </c>
      <c r="L1480" s="0" t="n">
        <v>9230011517</v>
      </c>
      <c r="M1480" s="0" t="s">
        <v>5313</v>
      </c>
      <c r="N1480" s="0" t="n">
        <v>1974</v>
      </c>
      <c r="O1480" s="0" t="s">
        <v>1668</v>
      </c>
      <c r="P1480" s="0" t="n">
        <v>1974</v>
      </c>
      <c r="Q1480" s="0" t="s">
        <v>39</v>
      </c>
      <c r="R1480" s="0" t="s">
        <v>5314</v>
      </c>
      <c r="S1480" s="0" t="s">
        <v>5315</v>
      </c>
      <c r="V1480" s="0" t="n">
        <v>1</v>
      </c>
      <c r="W1480" s="0" t="n">
        <v>1</v>
      </c>
      <c r="X1480" s="0" t="str">
        <f aca="false">"31811010370552"</f>
        <v>31811010370552</v>
      </c>
      <c r="Y1480" s="0" t="s">
        <v>39</v>
      </c>
      <c r="Z1480" s="0" t="s">
        <v>42</v>
      </c>
      <c r="AA1480" s="0" t="s">
        <v>43</v>
      </c>
      <c r="AE1480" s="1" t="s">
        <v>52</v>
      </c>
    </row>
    <row r="1481" customFormat="false" ht="12.8" hidden="false" customHeight="false" outlineLevel="0" collapsed="false">
      <c r="A1481" s="0" t="n">
        <v>188354</v>
      </c>
      <c r="B1481" s="0" t="n">
        <v>206224</v>
      </c>
      <c r="C1481" s="0" t="n">
        <v>231873</v>
      </c>
      <c r="D1481" s="0" t="s">
        <v>35</v>
      </c>
      <c r="E1481" s="0" t="s">
        <v>35</v>
      </c>
      <c r="F1481" s="0" t="s">
        <v>36</v>
      </c>
      <c r="G1481" s="0" t="s">
        <v>37</v>
      </c>
      <c r="H1481" s="0" t="s">
        <v>5316</v>
      </c>
      <c r="I1481" s="0" t="s">
        <v>5317</v>
      </c>
      <c r="J1481" s="0" t="s">
        <v>5318</v>
      </c>
      <c r="M1481" s="0" t="s">
        <v>5319</v>
      </c>
      <c r="N1481" s="0" t="s">
        <v>148</v>
      </c>
      <c r="O1481" s="0" t="s">
        <v>692</v>
      </c>
      <c r="P1481" s="0" t="n">
        <v>1969</v>
      </c>
      <c r="Q1481" s="0" t="s">
        <v>39</v>
      </c>
      <c r="R1481" s="0" t="s">
        <v>5320</v>
      </c>
      <c r="S1481" s="0" t="s">
        <v>5321</v>
      </c>
      <c r="V1481" s="0" t="n">
        <v>1</v>
      </c>
      <c r="W1481" s="0" t="n">
        <v>1</v>
      </c>
      <c r="X1481" s="0" t="str">
        <f aca="false">"31811010370446"</f>
        <v>31811010370446</v>
      </c>
      <c r="Y1481" s="0" t="s">
        <v>39</v>
      </c>
      <c r="Z1481" s="0" t="s">
        <v>42</v>
      </c>
      <c r="AA1481" s="0" t="s">
        <v>43</v>
      </c>
      <c r="AE1481" s="1" t="s">
        <v>52</v>
      </c>
    </row>
    <row r="1482" customFormat="false" ht="12.8" hidden="false" customHeight="false" outlineLevel="0" collapsed="false">
      <c r="A1482" s="0" t="n">
        <v>391337</v>
      </c>
      <c r="B1482" s="0" t="n">
        <v>423008</v>
      </c>
      <c r="C1482" s="0" t="n">
        <v>471964</v>
      </c>
      <c r="D1482" s="0" t="s">
        <v>35</v>
      </c>
      <c r="E1482" s="0" t="s">
        <v>35</v>
      </c>
      <c r="F1482" s="0" t="s">
        <v>36</v>
      </c>
      <c r="G1482" s="0" t="s">
        <v>412</v>
      </c>
      <c r="H1482" s="0" t="s">
        <v>5322</v>
      </c>
      <c r="I1482" s="0" t="s">
        <v>5323</v>
      </c>
      <c r="J1482" s="0" t="s">
        <v>5322</v>
      </c>
      <c r="M1482" s="0" t="s">
        <v>5324</v>
      </c>
      <c r="N1482" s="0" t="n">
        <v>1970</v>
      </c>
      <c r="P1482" s="0" t="n">
        <v>1970</v>
      </c>
      <c r="Q1482" s="0" t="s">
        <v>39</v>
      </c>
      <c r="R1482" s="0" t="s">
        <v>5325</v>
      </c>
      <c r="S1482" s="0" t="s">
        <v>5326</v>
      </c>
      <c r="V1482" s="0" t="n">
        <v>1</v>
      </c>
      <c r="W1482" s="0" t="n">
        <v>1</v>
      </c>
      <c r="X1482" s="0" t="str">
        <f aca="false">"31811010370487"</f>
        <v>31811010370487</v>
      </c>
      <c r="Y1482" s="0" t="s">
        <v>39</v>
      </c>
      <c r="Z1482" s="0" t="s">
        <v>42</v>
      </c>
      <c r="AA1482" s="0" t="s">
        <v>43</v>
      </c>
      <c r="AE1482" s="1" t="s">
        <v>52</v>
      </c>
    </row>
    <row r="1483" customFormat="false" ht="12.8" hidden="false" customHeight="false" outlineLevel="0" collapsed="false">
      <c r="A1483" s="0" t="n">
        <v>148637</v>
      </c>
      <c r="B1483" s="0" t="n">
        <v>161110</v>
      </c>
      <c r="C1483" s="0" t="n">
        <v>180792</v>
      </c>
      <c r="D1483" s="0" t="s">
        <v>35</v>
      </c>
      <c r="E1483" s="0" t="s">
        <v>35</v>
      </c>
      <c r="F1483" s="0" t="s">
        <v>480</v>
      </c>
      <c r="G1483" s="0" t="s">
        <v>37</v>
      </c>
      <c r="H1483" s="0" t="s">
        <v>5327</v>
      </c>
      <c r="J1483" s="0" t="s">
        <v>5327</v>
      </c>
      <c r="M1483" s="0" t="s">
        <v>5328</v>
      </c>
      <c r="N1483" s="0" t="s">
        <v>5329</v>
      </c>
      <c r="O1483" s="0" t="s">
        <v>1106</v>
      </c>
      <c r="P1483" s="0" t="n">
        <v>1969</v>
      </c>
      <c r="Q1483" s="0" t="s">
        <v>39</v>
      </c>
      <c r="R1483" s="0" t="s">
        <v>5330</v>
      </c>
      <c r="S1483" s="0" t="s">
        <v>5331</v>
      </c>
      <c r="T1483" s="0" t="s">
        <v>5332</v>
      </c>
      <c r="V1483" s="0" t="n">
        <v>1</v>
      </c>
      <c r="W1483" s="0" t="n">
        <v>1</v>
      </c>
      <c r="X1483" s="0" t="str">
        <f aca="false">"31811013352946"</f>
        <v>31811013352946</v>
      </c>
      <c r="Y1483" s="0" t="s">
        <v>39</v>
      </c>
      <c r="Z1483" s="0" t="s">
        <v>42</v>
      </c>
      <c r="AA1483" s="0" t="s">
        <v>622</v>
      </c>
      <c r="AE1483" s="1" t="s">
        <v>52</v>
      </c>
      <c r="AF1483" s="1" t="s">
        <v>716</v>
      </c>
    </row>
    <row r="1484" customFormat="false" ht="12.8" hidden="false" customHeight="false" outlineLevel="0" collapsed="false">
      <c r="A1484" s="0" t="n">
        <v>148637</v>
      </c>
      <c r="B1484" s="0" t="n">
        <v>161110</v>
      </c>
      <c r="C1484" s="0" t="n">
        <v>180793</v>
      </c>
      <c r="D1484" s="0" t="s">
        <v>35</v>
      </c>
      <c r="E1484" s="0" t="s">
        <v>35</v>
      </c>
      <c r="F1484" s="0" t="s">
        <v>480</v>
      </c>
      <c r="G1484" s="0" t="s">
        <v>37</v>
      </c>
      <c r="H1484" s="0" t="s">
        <v>5327</v>
      </c>
      <c r="J1484" s="0" t="s">
        <v>5327</v>
      </c>
      <c r="M1484" s="0" t="s">
        <v>5328</v>
      </c>
      <c r="N1484" s="0" t="s">
        <v>5329</v>
      </c>
      <c r="O1484" s="0" t="s">
        <v>1106</v>
      </c>
      <c r="P1484" s="0" t="n">
        <v>1969</v>
      </c>
      <c r="Q1484" s="0" t="s">
        <v>39</v>
      </c>
      <c r="R1484" s="0" t="s">
        <v>5330</v>
      </c>
      <c r="S1484" s="0" t="s">
        <v>5331</v>
      </c>
      <c r="T1484" s="0" t="s">
        <v>5333</v>
      </c>
      <c r="V1484" s="0" t="n">
        <v>1</v>
      </c>
      <c r="W1484" s="0" t="n">
        <v>1</v>
      </c>
      <c r="X1484" s="0" t="str">
        <f aca="false">"31811013352854"</f>
        <v>31811013352854</v>
      </c>
      <c r="Y1484" s="0" t="s">
        <v>39</v>
      </c>
      <c r="Z1484" s="0" t="s">
        <v>42</v>
      </c>
      <c r="AA1484" s="0" t="s">
        <v>622</v>
      </c>
      <c r="AE1484" s="1" t="s">
        <v>52</v>
      </c>
      <c r="AF1484" s="1" t="s">
        <v>716</v>
      </c>
    </row>
    <row r="1485" customFormat="false" ht="12.8" hidden="false" customHeight="false" outlineLevel="0" collapsed="false">
      <c r="A1485" s="0" t="n">
        <v>212003</v>
      </c>
      <c r="B1485" s="0" t="n">
        <v>232592</v>
      </c>
      <c r="C1485" s="0" t="n">
        <v>261816</v>
      </c>
      <c r="D1485" s="0" t="s">
        <v>35</v>
      </c>
      <c r="E1485" s="0" t="s">
        <v>35</v>
      </c>
      <c r="F1485" s="0" t="s">
        <v>36</v>
      </c>
      <c r="G1485" s="0" t="s">
        <v>37</v>
      </c>
      <c r="H1485" s="0" t="s">
        <v>5334</v>
      </c>
      <c r="I1485" s="0" t="s">
        <v>5335</v>
      </c>
      <c r="J1485" s="0" t="s">
        <v>5336</v>
      </c>
      <c r="K1485" s="0" t="s">
        <v>154</v>
      </c>
      <c r="L1485" s="0" t="s">
        <v>5337</v>
      </c>
      <c r="M1485" s="0" t="s">
        <v>5338</v>
      </c>
      <c r="N1485" s="0" t="s">
        <v>326</v>
      </c>
      <c r="O1485" s="0" t="s">
        <v>5339</v>
      </c>
      <c r="P1485" s="0" t="n">
        <v>1973</v>
      </c>
      <c r="Q1485" s="0" t="s">
        <v>39</v>
      </c>
      <c r="R1485" s="0" t="s">
        <v>5340</v>
      </c>
      <c r="S1485" s="0" t="s">
        <v>5341</v>
      </c>
      <c r="V1485" s="0" t="n">
        <v>1</v>
      </c>
      <c r="W1485" s="0" t="n">
        <v>1</v>
      </c>
      <c r="X1485" s="0" t="str">
        <f aca="false">"31811010370529"</f>
        <v>31811010370529</v>
      </c>
      <c r="Y1485" s="0" t="s">
        <v>39</v>
      </c>
      <c r="Z1485" s="0" t="s">
        <v>42</v>
      </c>
      <c r="AA1485" s="0" t="s">
        <v>43</v>
      </c>
      <c r="AE1485" s="1" t="s">
        <v>52</v>
      </c>
    </row>
    <row r="1486" customFormat="false" ht="12.8" hidden="false" customHeight="false" outlineLevel="0" collapsed="false">
      <c r="A1486" s="0" t="n">
        <v>49712</v>
      </c>
      <c r="B1486" s="0" t="n">
        <v>53873</v>
      </c>
      <c r="C1486" s="0" t="n">
        <v>59512</v>
      </c>
      <c r="D1486" s="0" t="s">
        <v>35</v>
      </c>
      <c r="E1486" s="0" t="s">
        <v>35</v>
      </c>
      <c r="F1486" s="0" t="s">
        <v>36</v>
      </c>
      <c r="G1486" s="0" t="s">
        <v>37</v>
      </c>
      <c r="H1486" s="0" t="s">
        <v>5342</v>
      </c>
      <c r="J1486" s="0" t="s">
        <v>5343</v>
      </c>
      <c r="L1486" s="0" t="n">
        <v>80198708</v>
      </c>
      <c r="M1486" s="0" t="s">
        <v>5344</v>
      </c>
      <c r="N1486" s="0" t="s">
        <v>156</v>
      </c>
      <c r="O1486" s="0" t="s">
        <v>5345</v>
      </c>
      <c r="P1486" s="0" t="n">
        <v>1977</v>
      </c>
      <c r="Q1486" s="0" t="s">
        <v>39</v>
      </c>
      <c r="R1486" s="0" t="s">
        <v>5346</v>
      </c>
      <c r="S1486" s="0" t="s">
        <v>5347</v>
      </c>
      <c r="V1486" s="0" t="n">
        <v>1</v>
      </c>
      <c r="W1486" s="0" t="n">
        <v>1</v>
      </c>
      <c r="X1486" s="0" t="str">
        <f aca="false">"31811010370560"</f>
        <v>31811010370560</v>
      </c>
      <c r="Y1486" s="0" t="s">
        <v>39</v>
      </c>
      <c r="Z1486" s="0" t="s">
        <v>42</v>
      </c>
      <c r="AA1486" s="0" t="s">
        <v>43</v>
      </c>
      <c r="AE1486" s="1" t="s">
        <v>52</v>
      </c>
    </row>
    <row r="1487" customFormat="false" ht="12.8" hidden="false" customHeight="false" outlineLevel="0" collapsed="false">
      <c r="A1487" s="0" t="n">
        <v>184071</v>
      </c>
      <c r="B1487" s="0" t="n">
        <v>201472</v>
      </c>
      <c r="C1487" s="0" t="n">
        <v>226345</v>
      </c>
      <c r="D1487" s="0" t="s">
        <v>35</v>
      </c>
      <c r="E1487" s="0" t="s">
        <v>35</v>
      </c>
      <c r="F1487" s="0" t="s">
        <v>36</v>
      </c>
      <c r="G1487" s="0" t="s">
        <v>5348</v>
      </c>
      <c r="H1487" s="0" t="s">
        <v>5349</v>
      </c>
      <c r="J1487" s="0" t="s">
        <v>5350</v>
      </c>
      <c r="M1487" s="0" t="s">
        <v>5351</v>
      </c>
      <c r="N1487" s="0" t="n">
        <v>1981</v>
      </c>
      <c r="O1487" s="0" t="s">
        <v>5352</v>
      </c>
      <c r="P1487" s="0" t="n">
        <v>1981</v>
      </c>
      <c r="Q1487" s="0" t="s">
        <v>39</v>
      </c>
      <c r="R1487" s="0" t="s">
        <v>5353</v>
      </c>
      <c r="S1487" s="0" t="s">
        <v>5354</v>
      </c>
      <c r="V1487" s="0" t="n">
        <v>1</v>
      </c>
      <c r="W1487" s="0" t="n">
        <v>1</v>
      </c>
      <c r="X1487" s="0" t="str">
        <f aca="false">"31811010369414"</f>
        <v>31811010369414</v>
      </c>
      <c r="Y1487" s="0" t="s">
        <v>39</v>
      </c>
      <c r="Z1487" s="0" t="s">
        <v>42</v>
      </c>
      <c r="AA1487" s="0" t="s">
        <v>43</v>
      </c>
      <c r="AE1487" s="1" t="s">
        <v>52</v>
      </c>
    </row>
    <row r="1488" customFormat="false" ht="12.8" hidden="false" customHeight="false" outlineLevel="0" collapsed="false">
      <c r="A1488" s="0" t="n">
        <v>510377</v>
      </c>
      <c r="B1488" s="0" t="n">
        <v>547356</v>
      </c>
      <c r="C1488" s="0" t="n">
        <v>617336</v>
      </c>
      <c r="D1488" s="0" t="s">
        <v>35</v>
      </c>
      <c r="E1488" s="0" t="s">
        <v>35</v>
      </c>
      <c r="F1488" s="0" t="s">
        <v>36</v>
      </c>
      <c r="G1488" s="0" t="s">
        <v>37</v>
      </c>
      <c r="H1488" s="0" t="s">
        <v>5355</v>
      </c>
      <c r="I1488" s="0" t="s">
        <v>5356</v>
      </c>
      <c r="J1488" s="0" t="s">
        <v>5357</v>
      </c>
      <c r="M1488" s="0" t="s">
        <v>5358</v>
      </c>
      <c r="N1488" s="0" t="s">
        <v>4936</v>
      </c>
      <c r="P1488" s="0" t="n">
        <v>1970</v>
      </c>
      <c r="Q1488" s="0" t="s">
        <v>39</v>
      </c>
      <c r="R1488" s="0" t="s">
        <v>5359</v>
      </c>
      <c r="S1488" s="0" t="s">
        <v>5360</v>
      </c>
      <c r="V1488" s="0" t="n">
        <v>1</v>
      </c>
      <c r="W1488" s="0" t="n">
        <v>1</v>
      </c>
      <c r="X1488" s="0" t="str">
        <f aca="false">"31811010369422"</f>
        <v>31811010369422</v>
      </c>
      <c r="Y1488" s="0" t="s">
        <v>39</v>
      </c>
      <c r="Z1488" s="0" t="s">
        <v>42</v>
      </c>
      <c r="AA1488" s="0" t="s">
        <v>43</v>
      </c>
      <c r="AE1488" s="1" t="s">
        <v>52</v>
      </c>
    </row>
    <row r="1489" customFormat="false" ht="12.8" hidden="false" customHeight="false" outlineLevel="0" collapsed="false">
      <c r="A1489" s="0" t="n">
        <v>295557</v>
      </c>
      <c r="B1489" s="0" t="n">
        <v>322656</v>
      </c>
      <c r="C1489" s="0" t="n">
        <v>360594</v>
      </c>
      <c r="D1489" s="0" t="s">
        <v>35</v>
      </c>
      <c r="E1489" s="0" t="s">
        <v>35</v>
      </c>
      <c r="F1489" s="0" t="s">
        <v>36</v>
      </c>
      <c r="G1489" s="0" t="s">
        <v>37</v>
      </c>
      <c r="H1489" s="0" t="s">
        <v>5361</v>
      </c>
      <c r="I1489" s="0" t="s">
        <v>5362</v>
      </c>
      <c r="J1489" s="0" t="s">
        <v>5363</v>
      </c>
      <c r="K1489" s="0" t="s">
        <v>5364</v>
      </c>
      <c r="M1489" s="0" t="s">
        <v>5365</v>
      </c>
      <c r="N1489" s="0" t="n">
        <v>1962</v>
      </c>
      <c r="P1489" s="0" t="n">
        <v>1962</v>
      </c>
      <c r="Q1489" s="0" t="s">
        <v>39</v>
      </c>
      <c r="R1489" s="0" t="s">
        <v>5366</v>
      </c>
      <c r="S1489" s="0" t="s">
        <v>5367</v>
      </c>
      <c r="V1489" s="0" t="n">
        <v>1</v>
      </c>
      <c r="W1489" s="0" t="n">
        <v>1</v>
      </c>
      <c r="X1489" s="0" t="str">
        <f aca="false">"31811010369430"</f>
        <v>31811010369430</v>
      </c>
      <c r="Y1489" s="0" t="s">
        <v>39</v>
      </c>
      <c r="Z1489" s="0" t="s">
        <v>42</v>
      </c>
      <c r="AA1489" s="0" t="s">
        <v>43</v>
      </c>
      <c r="AE1489" s="1" t="s">
        <v>52</v>
      </c>
    </row>
    <row r="1490" customFormat="false" ht="12.8" hidden="false" customHeight="false" outlineLevel="0" collapsed="false">
      <c r="A1490" s="0" t="n">
        <v>302231</v>
      </c>
      <c r="B1490" s="0" t="n">
        <v>329670</v>
      </c>
      <c r="C1490" s="0" t="n">
        <v>368119</v>
      </c>
      <c r="D1490" s="0" t="s">
        <v>35</v>
      </c>
      <c r="E1490" s="0" t="s">
        <v>35</v>
      </c>
      <c r="F1490" s="0" t="s">
        <v>36</v>
      </c>
      <c r="G1490" s="0" t="s">
        <v>37</v>
      </c>
      <c r="H1490" s="0" t="s">
        <v>5368</v>
      </c>
      <c r="I1490" s="0" t="s">
        <v>5369</v>
      </c>
      <c r="J1490" s="0" t="s">
        <v>5370</v>
      </c>
      <c r="K1490" s="0" t="s">
        <v>5371</v>
      </c>
      <c r="M1490" s="0" t="s">
        <v>5372</v>
      </c>
      <c r="N1490" s="0" t="n">
        <v>1963</v>
      </c>
      <c r="O1490" s="0" t="s">
        <v>5373</v>
      </c>
      <c r="P1490" s="0" t="n">
        <v>1963</v>
      </c>
      <c r="Q1490" s="0" t="s">
        <v>39</v>
      </c>
      <c r="R1490" s="0" t="s">
        <v>5374</v>
      </c>
      <c r="S1490" s="0" t="s">
        <v>5375</v>
      </c>
      <c r="V1490" s="0" t="n">
        <v>1</v>
      </c>
      <c r="W1490" s="0" t="n">
        <v>1</v>
      </c>
      <c r="X1490" s="0" t="str">
        <f aca="false">"31811010369448"</f>
        <v>31811010369448</v>
      </c>
      <c r="Y1490" s="0" t="s">
        <v>39</v>
      </c>
      <c r="Z1490" s="0" t="s">
        <v>42</v>
      </c>
      <c r="AA1490" s="0" t="s">
        <v>43</v>
      </c>
      <c r="AE1490" s="1" t="s">
        <v>52</v>
      </c>
    </row>
    <row r="1491" customFormat="false" ht="12.8" hidden="false" customHeight="false" outlineLevel="0" collapsed="false">
      <c r="A1491" s="0" t="n">
        <v>515789</v>
      </c>
      <c r="B1491" s="0" t="n">
        <v>553071</v>
      </c>
      <c r="C1491" s="0" t="n">
        <v>624183</v>
      </c>
      <c r="D1491" s="0" t="s">
        <v>35</v>
      </c>
      <c r="E1491" s="0" t="s">
        <v>35</v>
      </c>
      <c r="F1491" s="0" t="s">
        <v>36</v>
      </c>
      <c r="G1491" s="0" t="s">
        <v>37</v>
      </c>
      <c r="H1491" s="0" t="s">
        <v>5376</v>
      </c>
      <c r="I1491" s="0" t="s">
        <v>1527</v>
      </c>
      <c r="J1491" s="0" t="s">
        <v>5376</v>
      </c>
      <c r="L1491" s="0" t="n">
        <v>9230011347</v>
      </c>
      <c r="M1491" s="0" t="s">
        <v>5377</v>
      </c>
      <c r="N1491" s="0" t="s">
        <v>172</v>
      </c>
      <c r="O1491" s="0" t="s">
        <v>3358</v>
      </c>
      <c r="P1491" s="0" t="n">
        <v>1974</v>
      </c>
      <c r="Q1491" s="0" t="s">
        <v>39</v>
      </c>
      <c r="R1491" s="0" t="s">
        <v>5378</v>
      </c>
      <c r="S1491" s="0" t="s">
        <v>5379</v>
      </c>
      <c r="V1491" s="0" t="n">
        <v>1</v>
      </c>
      <c r="W1491" s="0" t="n">
        <v>1</v>
      </c>
      <c r="X1491" s="0" t="str">
        <f aca="false">"31811010369372"</f>
        <v>31811010369372</v>
      </c>
      <c r="Y1491" s="0" t="s">
        <v>39</v>
      </c>
      <c r="Z1491" s="0" t="s">
        <v>42</v>
      </c>
      <c r="AA1491" s="0" t="s">
        <v>43</v>
      </c>
      <c r="AE1491" s="1" t="s">
        <v>52</v>
      </c>
    </row>
    <row r="1492" customFormat="false" ht="12.8" hidden="false" customHeight="false" outlineLevel="0" collapsed="false">
      <c r="A1492" s="0" t="n">
        <v>519938</v>
      </c>
      <c r="B1492" s="0" t="n">
        <v>557356</v>
      </c>
      <c r="C1492" s="0" t="n">
        <v>629256</v>
      </c>
      <c r="D1492" s="0" t="s">
        <v>35</v>
      </c>
      <c r="E1492" s="0" t="s">
        <v>35</v>
      </c>
      <c r="F1492" s="0" t="s">
        <v>480</v>
      </c>
      <c r="G1492" s="0" t="s">
        <v>37</v>
      </c>
      <c r="H1492" s="0" t="s">
        <v>5380</v>
      </c>
      <c r="I1492" s="0" t="s">
        <v>5381</v>
      </c>
      <c r="J1492" s="0" t="s">
        <v>5380</v>
      </c>
      <c r="M1492" s="0" t="s">
        <v>5382</v>
      </c>
      <c r="Q1492" s="0" t="s">
        <v>39</v>
      </c>
      <c r="R1492" s="0" t="s">
        <v>5383</v>
      </c>
      <c r="S1492" s="0" t="s">
        <v>5384</v>
      </c>
      <c r="T1492" s="0" t="s">
        <v>5385</v>
      </c>
      <c r="V1492" s="0" t="n">
        <v>1</v>
      </c>
      <c r="W1492" s="0" t="n">
        <v>1</v>
      </c>
      <c r="X1492" s="0" t="str">
        <f aca="false">"31811010386699"</f>
        <v>31811010386699</v>
      </c>
      <c r="Y1492" s="0" t="s">
        <v>39</v>
      </c>
      <c r="Z1492" s="0" t="s">
        <v>42</v>
      </c>
      <c r="AA1492" s="0" t="s">
        <v>43</v>
      </c>
      <c r="AE1492" s="1" t="s">
        <v>52</v>
      </c>
    </row>
    <row r="1493" customFormat="false" ht="12.8" hidden="false" customHeight="false" outlineLevel="0" collapsed="false">
      <c r="A1493" s="0" t="n">
        <v>183562</v>
      </c>
      <c r="B1493" s="0" t="n">
        <v>200902</v>
      </c>
      <c r="C1493" s="0" t="n">
        <v>225740</v>
      </c>
      <c r="D1493" s="0" t="s">
        <v>35</v>
      </c>
      <c r="E1493" s="0" t="s">
        <v>35</v>
      </c>
      <c r="F1493" s="0" t="s">
        <v>36</v>
      </c>
      <c r="G1493" s="0" t="s">
        <v>37</v>
      </c>
      <c r="H1493" s="0" t="s">
        <v>5386</v>
      </c>
      <c r="J1493" s="0" t="s">
        <v>5387</v>
      </c>
      <c r="M1493" s="0" t="s">
        <v>5388</v>
      </c>
      <c r="N1493" s="0" t="n">
        <v>1969</v>
      </c>
      <c r="O1493" s="0" t="s">
        <v>5389</v>
      </c>
      <c r="P1493" s="0" t="n">
        <v>1969</v>
      </c>
      <c r="Q1493" s="0" t="s">
        <v>39</v>
      </c>
      <c r="R1493" s="0" t="s">
        <v>5390</v>
      </c>
      <c r="S1493" s="0" t="s">
        <v>5391</v>
      </c>
      <c r="V1493" s="0" t="n">
        <v>1</v>
      </c>
      <c r="W1493" s="0" t="n">
        <v>1</v>
      </c>
      <c r="X1493" s="0" t="str">
        <f aca="false">"31811010369398"</f>
        <v>31811010369398</v>
      </c>
      <c r="Y1493" s="0" t="s">
        <v>39</v>
      </c>
      <c r="Z1493" s="0" t="s">
        <v>42</v>
      </c>
      <c r="AA1493" s="0" t="s">
        <v>43</v>
      </c>
      <c r="AE1493" s="1" t="s">
        <v>52</v>
      </c>
    </row>
    <row r="1494" customFormat="false" ht="12.8" hidden="false" customHeight="false" outlineLevel="0" collapsed="false">
      <c r="A1494" s="0" t="n">
        <v>183478</v>
      </c>
      <c r="B1494" s="0" t="n">
        <v>200799</v>
      </c>
      <c r="C1494" s="0" t="n">
        <v>225637</v>
      </c>
      <c r="D1494" s="0" t="s">
        <v>35</v>
      </c>
      <c r="E1494" s="0" t="s">
        <v>35</v>
      </c>
      <c r="F1494" s="0" t="s">
        <v>36</v>
      </c>
      <c r="G1494" s="0" t="s">
        <v>37</v>
      </c>
      <c r="H1494" s="0" t="s">
        <v>5392</v>
      </c>
      <c r="J1494" s="0" t="s">
        <v>5393</v>
      </c>
      <c r="M1494" s="0" t="s">
        <v>5394</v>
      </c>
      <c r="N1494" s="0" t="n">
        <v>1969</v>
      </c>
      <c r="O1494" s="0" t="s">
        <v>5389</v>
      </c>
      <c r="P1494" s="0" t="n">
        <v>1969</v>
      </c>
      <c r="Q1494" s="0" t="s">
        <v>39</v>
      </c>
      <c r="R1494" s="0" t="s">
        <v>5395</v>
      </c>
      <c r="S1494" s="0" t="s">
        <v>5396</v>
      </c>
      <c r="V1494" s="0" t="n">
        <v>1</v>
      </c>
      <c r="W1494" s="0" t="n">
        <v>1</v>
      </c>
      <c r="X1494" s="0" t="str">
        <f aca="false">"31811010369406"</f>
        <v>31811010369406</v>
      </c>
      <c r="Y1494" s="0" t="s">
        <v>39</v>
      </c>
      <c r="Z1494" s="0" t="s">
        <v>42</v>
      </c>
      <c r="AA1494" s="0" t="s">
        <v>43</v>
      </c>
      <c r="AE1494" s="1" t="s">
        <v>52</v>
      </c>
    </row>
    <row r="1495" customFormat="false" ht="12.8" hidden="false" customHeight="false" outlineLevel="0" collapsed="false">
      <c r="A1495" s="0" t="n">
        <v>183476</v>
      </c>
      <c r="B1495" s="0" t="n">
        <v>200797</v>
      </c>
      <c r="C1495" s="0" t="n">
        <v>225635</v>
      </c>
      <c r="D1495" s="0" t="s">
        <v>35</v>
      </c>
      <c r="E1495" s="0" t="s">
        <v>35</v>
      </c>
      <c r="F1495" s="0" t="s">
        <v>36</v>
      </c>
      <c r="G1495" s="0" t="s">
        <v>37</v>
      </c>
      <c r="H1495" s="0" t="s">
        <v>5397</v>
      </c>
      <c r="J1495" s="0" t="s">
        <v>5398</v>
      </c>
      <c r="M1495" s="0" t="s">
        <v>5399</v>
      </c>
      <c r="N1495" s="0" t="n">
        <v>1969</v>
      </c>
      <c r="O1495" s="0" t="s">
        <v>5389</v>
      </c>
      <c r="P1495" s="0" t="n">
        <v>1969</v>
      </c>
      <c r="Q1495" s="0" t="s">
        <v>39</v>
      </c>
      <c r="R1495" s="0" t="s">
        <v>5400</v>
      </c>
      <c r="S1495" s="0" t="s">
        <v>5401</v>
      </c>
      <c r="V1495" s="0" t="n">
        <v>1</v>
      </c>
      <c r="W1495" s="0" t="n">
        <v>1</v>
      </c>
      <c r="X1495" s="0" t="str">
        <f aca="false">"31811010369331"</f>
        <v>31811010369331</v>
      </c>
      <c r="Y1495" s="0" t="s">
        <v>39</v>
      </c>
      <c r="Z1495" s="0" t="s">
        <v>42</v>
      </c>
      <c r="AA1495" s="0" t="s">
        <v>43</v>
      </c>
      <c r="AE1495" s="1" t="s">
        <v>52</v>
      </c>
    </row>
    <row r="1496" customFormat="false" ht="12.8" hidden="false" customHeight="false" outlineLevel="0" collapsed="false">
      <c r="A1496" s="0" t="n">
        <v>422696</v>
      </c>
      <c r="B1496" s="0" t="n">
        <v>455723</v>
      </c>
      <c r="C1496" s="0" t="n">
        <v>508814</v>
      </c>
      <c r="D1496" s="0" t="s">
        <v>35</v>
      </c>
      <c r="E1496" s="0" t="s">
        <v>35</v>
      </c>
      <c r="F1496" s="0" t="s">
        <v>480</v>
      </c>
      <c r="G1496" s="0" t="s">
        <v>37</v>
      </c>
      <c r="H1496" s="0" t="s">
        <v>5402</v>
      </c>
      <c r="I1496" s="0" t="s">
        <v>5403</v>
      </c>
      <c r="J1496" s="0" t="s">
        <v>5404</v>
      </c>
      <c r="M1496" s="0" t="s">
        <v>5405</v>
      </c>
      <c r="N1496" s="0" t="s">
        <v>5406</v>
      </c>
      <c r="O1496" s="0" t="s">
        <v>5407</v>
      </c>
      <c r="P1496" s="0" t="n">
        <v>1987</v>
      </c>
      <c r="Q1496" s="0" t="s">
        <v>39</v>
      </c>
      <c r="R1496" s="0" t="s">
        <v>5408</v>
      </c>
      <c r="S1496" s="0" t="s">
        <v>5409</v>
      </c>
      <c r="T1496" s="0" t="n">
        <v>1989</v>
      </c>
      <c r="V1496" s="0" t="n">
        <v>1</v>
      </c>
      <c r="W1496" s="0" t="n">
        <v>1</v>
      </c>
      <c r="X1496" s="0" t="str">
        <f aca="false">"31811010748203"</f>
        <v>31811010748203</v>
      </c>
      <c r="Y1496" s="0" t="s">
        <v>39</v>
      </c>
      <c r="Z1496" s="0" t="s">
        <v>42</v>
      </c>
      <c r="AA1496" s="0" t="s">
        <v>43</v>
      </c>
      <c r="AE1496" s="1" t="s">
        <v>52</v>
      </c>
    </row>
    <row r="1497" customFormat="false" ht="12.8" hidden="false" customHeight="false" outlineLevel="0" collapsed="false">
      <c r="A1497" s="0" t="n">
        <v>338572</v>
      </c>
      <c r="B1497" s="0" t="n">
        <v>367388</v>
      </c>
      <c r="C1497" s="0" t="n">
        <v>409303</v>
      </c>
      <c r="D1497" s="0" t="s">
        <v>35</v>
      </c>
      <c r="E1497" s="0" t="s">
        <v>35</v>
      </c>
      <c r="F1497" s="0" t="s">
        <v>36</v>
      </c>
      <c r="G1497" s="0" t="s">
        <v>37</v>
      </c>
      <c r="H1497" s="0" t="s">
        <v>5410</v>
      </c>
      <c r="I1497" s="0" t="s">
        <v>5411</v>
      </c>
      <c r="J1497" s="0" t="s">
        <v>5410</v>
      </c>
      <c r="M1497" s="0" t="s">
        <v>5412</v>
      </c>
      <c r="N1497" s="0" t="s">
        <v>860</v>
      </c>
      <c r="P1497" s="0" t="n">
        <v>1967</v>
      </c>
      <c r="Q1497" s="0" t="s">
        <v>39</v>
      </c>
      <c r="R1497" s="0" t="s">
        <v>5413</v>
      </c>
      <c r="S1497" s="0" t="s">
        <v>5414</v>
      </c>
      <c r="V1497" s="0" t="n">
        <v>1</v>
      </c>
      <c r="W1497" s="0" t="n">
        <v>1</v>
      </c>
      <c r="X1497" s="0" t="str">
        <f aca="false">"31811010748211"</f>
        <v>31811010748211</v>
      </c>
      <c r="Y1497" s="0" t="s">
        <v>39</v>
      </c>
      <c r="Z1497" s="0" t="s">
        <v>42</v>
      </c>
      <c r="AA1497" s="0" t="s">
        <v>43</v>
      </c>
      <c r="AE1497" s="1" t="s">
        <v>52</v>
      </c>
    </row>
    <row r="1498" customFormat="false" ht="12.8" hidden="false" customHeight="false" outlineLevel="0" collapsed="false">
      <c r="A1498" s="0" t="n">
        <v>121</v>
      </c>
      <c r="B1498" s="0" t="n">
        <v>138</v>
      </c>
      <c r="C1498" s="0" t="n">
        <v>145</v>
      </c>
      <c r="D1498" s="0" t="s">
        <v>35</v>
      </c>
      <c r="E1498" s="0" t="s">
        <v>35</v>
      </c>
      <c r="F1498" s="0" t="s">
        <v>36</v>
      </c>
      <c r="G1498" s="0" t="s">
        <v>37</v>
      </c>
      <c r="H1498" s="0" t="s">
        <v>5415</v>
      </c>
      <c r="I1498" s="0" t="s">
        <v>5416</v>
      </c>
      <c r="J1498" s="0" t="s">
        <v>5415</v>
      </c>
      <c r="M1498" s="0" t="s">
        <v>5417</v>
      </c>
      <c r="N1498" s="0" t="n">
        <v>1956</v>
      </c>
      <c r="P1498" s="0" t="n">
        <v>1956</v>
      </c>
      <c r="Q1498" s="0" t="s">
        <v>39</v>
      </c>
      <c r="R1498" s="0" t="s">
        <v>5418</v>
      </c>
      <c r="S1498" s="0" t="s">
        <v>5419</v>
      </c>
      <c r="V1498" s="0" t="n">
        <v>1</v>
      </c>
      <c r="W1498" s="0" t="n">
        <v>1</v>
      </c>
      <c r="X1498" s="0" t="str">
        <f aca="false">"31811010748641"</f>
        <v>31811010748641</v>
      </c>
      <c r="Y1498" s="0" t="s">
        <v>39</v>
      </c>
      <c r="Z1498" s="0" t="s">
        <v>42</v>
      </c>
      <c r="AA1498" s="0" t="s">
        <v>43</v>
      </c>
      <c r="AE1498" s="1" t="s">
        <v>52</v>
      </c>
    </row>
    <row r="1499" customFormat="false" ht="12.8" hidden="false" customHeight="false" outlineLevel="0" collapsed="false">
      <c r="A1499" s="0" t="n">
        <v>210222</v>
      </c>
      <c r="B1499" s="0" t="n">
        <v>230636</v>
      </c>
      <c r="C1499" s="0" t="n">
        <v>259617</v>
      </c>
      <c r="D1499" s="0" t="s">
        <v>35</v>
      </c>
      <c r="E1499" s="0" t="s">
        <v>35</v>
      </c>
      <c r="F1499" s="0" t="s">
        <v>480</v>
      </c>
      <c r="G1499" s="0" t="s">
        <v>37</v>
      </c>
      <c r="H1499" s="0" t="s">
        <v>5420</v>
      </c>
      <c r="I1499" s="0" t="s">
        <v>5421</v>
      </c>
      <c r="J1499" s="0" t="s">
        <v>5420</v>
      </c>
      <c r="M1499" s="0" t="s">
        <v>5422</v>
      </c>
      <c r="O1499" s="0" t="s">
        <v>5421</v>
      </c>
      <c r="P1499" s="0" t="n">
        <v>1962</v>
      </c>
      <c r="Q1499" s="0" t="s">
        <v>39</v>
      </c>
      <c r="R1499" s="0" t="s">
        <v>5423</v>
      </c>
      <c r="S1499" s="0" t="s">
        <v>5424</v>
      </c>
      <c r="T1499" s="0" t="n">
        <v>1993</v>
      </c>
      <c r="V1499" s="0" t="n">
        <v>1</v>
      </c>
      <c r="W1499" s="0" t="n">
        <v>1</v>
      </c>
      <c r="X1499" s="0" t="str">
        <f aca="false">"31811012051655"</f>
        <v>31811012051655</v>
      </c>
      <c r="Y1499" s="0" t="s">
        <v>39</v>
      </c>
      <c r="Z1499" s="0" t="s">
        <v>42</v>
      </c>
      <c r="AA1499" s="0" t="s">
        <v>622</v>
      </c>
      <c r="AE1499" s="1" t="s">
        <v>52</v>
      </c>
    </row>
    <row r="1500" customFormat="false" ht="12.8" hidden="false" customHeight="false" outlineLevel="0" collapsed="false">
      <c r="A1500" s="0" t="n">
        <v>210222</v>
      </c>
      <c r="B1500" s="0" t="n">
        <v>230636</v>
      </c>
      <c r="C1500" s="0" t="n">
        <v>259618</v>
      </c>
      <c r="D1500" s="0" t="s">
        <v>35</v>
      </c>
      <c r="E1500" s="0" t="s">
        <v>35</v>
      </c>
      <c r="F1500" s="0" t="s">
        <v>480</v>
      </c>
      <c r="G1500" s="0" t="s">
        <v>37</v>
      </c>
      <c r="H1500" s="0" t="s">
        <v>5420</v>
      </c>
      <c r="I1500" s="0" t="s">
        <v>5421</v>
      </c>
      <c r="J1500" s="0" t="s">
        <v>5420</v>
      </c>
      <c r="M1500" s="0" t="s">
        <v>5422</v>
      </c>
      <c r="O1500" s="0" t="s">
        <v>5421</v>
      </c>
      <c r="P1500" s="0" t="n">
        <v>1962</v>
      </c>
      <c r="Q1500" s="0" t="s">
        <v>39</v>
      </c>
      <c r="R1500" s="0" t="s">
        <v>5423</v>
      </c>
      <c r="S1500" s="0" t="s">
        <v>5424</v>
      </c>
      <c r="T1500" s="0" t="n">
        <v>1992</v>
      </c>
      <c r="V1500" s="0" t="n">
        <v>1</v>
      </c>
      <c r="W1500" s="0" t="n">
        <v>1</v>
      </c>
      <c r="X1500" s="0" t="str">
        <f aca="false">"31811012051366"</f>
        <v>31811012051366</v>
      </c>
      <c r="Y1500" s="0" t="s">
        <v>39</v>
      </c>
      <c r="Z1500" s="0" t="s">
        <v>42</v>
      </c>
      <c r="AA1500" s="0" t="s">
        <v>622</v>
      </c>
      <c r="AE1500" s="1" t="s">
        <v>52</v>
      </c>
    </row>
    <row r="1501" customFormat="false" ht="12.8" hidden="false" customHeight="false" outlineLevel="0" collapsed="false">
      <c r="A1501" s="0" t="n">
        <v>210222</v>
      </c>
      <c r="B1501" s="0" t="n">
        <v>230636</v>
      </c>
      <c r="C1501" s="0" t="n">
        <v>259619</v>
      </c>
      <c r="D1501" s="0" t="s">
        <v>35</v>
      </c>
      <c r="E1501" s="0" t="s">
        <v>35</v>
      </c>
      <c r="F1501" s="0" t="s">
        <v>480</v>
      </c>
      <c r="G1501" s="0" t="s">
        <v>37</v>
      </c>
      <c r="H1501" s="0" t="s">
        <v>5420</v>
      </c>
      <c r="I1501" s="0" t="s">
        <v>5421</v>
      </c>
      <c r="J1501" s="0" t="s">
        <v>5420</v>
      </c>
      <c r="M1501" s="0" t="s">
        <v>5422</v>
      </c>
      <c r="O1501" s="0" t="s">
        <v>5421</v>
      </c>
      <c r="P1501" s="0" t="n">
        <v>1962</v>
      </c>
      <c r="Q1501" s="0" t="s">
        <v>39</v>
      </c>
      <c r="R1501" s="0" t="s">
        <v>5423</v>
      </c>
      <c r="S1501" s="0" t="s">
        <v>5424</v>
      </c>
      <c r="T1501" s="0" t="n">
        <v>1991</v>
      </c>
      <c r="V1501" s="0" t="n">
        <v>1</v>
      </c>
      <c r="W1501" s="0" t="n">
        <v>1</v>
      </c>
      <c r="X1501" s="0" t="str">
        <f aca="false">"31811012051358"</f>
        <v>31811012051358</v>
      </c>
      <c r="Y1501" s="0" t="s">
        <v>39</v>
      </c>
      <c r="Z1501" s="0" t="s">
        <v>42</v>
      </c>
      <c r="AA1501" s="0" t="s">
        <v>622</v>
      </c>
      <c r="AE1501" s="1" t="s">
        <v>52</v>
      </c>
    </row>
    <row r="1502" customFormat="false" ht="12.8" hidden="false" customHeight="false" outlineLevel="0" collapsed="false">
      <c r="A1502" s="0" t="n">
        <v>210222</v>
      </c>
      <c r="B1502" s="0" t="n">
        <v>230636</v>
      </c>
      <c r="C1502" s="0" t="n">
        <v>259620</v>
      </c>
      <c r="D1502" s="0" t="s">
        <v>35</v>
      </c>
      <c r="E1502" s="0" t="s">
        <v>35</v>
      </c>
      <c r="F1502" s="0" t="s">
        <v>480</v>
      </c>
      <c r="G1502" s="0" t="s">
        <v>37</v>
      </c>
      <c r="H1502" s="0" t="s">
        <v>5420</v>
      </c>
      <c r="I1502" s="0" t="s">
        <v>5421</v>
      </c>
      <c r="J1502" s="0" t="s">
        <v>5420</v>
      </c>
      <c r="M1502" s="0" t="s">
        <v>5422</v>
      </c>
      <c r="O1502" s="0" t="s">
        <v>5421</v>
      </c>
      <c r="P1502" s="0" t="n">
        <v>1962</v>
      </c>
      <c r="Q1502" s="0" t="s">
        <v>39</v>
      </c>
      <c r="R1502" s="0" t="s">
        <v>5423</v>
      </c>
      <c r="S1502" s="0" t="s">
        <v>5424</v>
      </c>
      <c r="T1502" s="0" t="n">
        <v>1990</v>
      </c>
      <c r="V1502" s="0" t="n">
        <v>1</v>
      </c>
      <c r="W1502" s="0" t="n">
        <v>1</v>
      </c>
      <c r="X1502" s="0" t="str">
        <f aca="false">"31811012051341"</f>
        <v>31811012051341</v>
      </c>
      <c r="Y1502" s="0" t="s">
        <v>39</v>
      </c>
      <c r="Z1502" s="0" t="s">
        <v>42</v>
      </c>
      <c r="AA1502" s="0" t="s">
        <v>622</v>
      </c>
      <c r="AE1502" s="1" t="s">
        <v>52</v>
      </c>
    </row>
    <row r="1503" customFormat="false" ht="12.8" hidden="false" customHeight="false" outlineLevel="0" collapsed="false">
      <c r="A1503" s="0" t="n">
        <v>210222</v>
      </c>
      <c r="B1503" s="0" t="n">
        <v>230636</v>
      </c>
      <c r="C1503" s="0" t="n">
        <v>259621</v>
      </c>
      <c r="D1503" s="0" t="s">
        <v>35</v>
      </c>
      <c r="E1503" s="0" t="s">
        <v>35</v>
      </c>
      <c r="F1503" s="0" t="s">
        <v>480</v>
      </c>
      <c r="G1503" s="0" t="s">
        <v>37</v>
      </c>
      <c r="H1503" s="0" t="s">
        <v>5420</v>
      </c>
      <c r="I1503" s="0" t="s">
        <v>5421</v>
      </c>
      <c r="J1503" s="0" t="s">
        <v>5420</v>
      </c>
      <c r="M1503" s="0" t="s">
        <v>5422</v>
      </c>
      <c r="O1503" s="0" t="s">
        <v>5421</v>
      </c>
      <c r="P1503" s="0" t="n">
        <v>1962</v>
      </c>
      <c r="Q1503" s="0" t="s">
        <v>39</v>
      </c>
      <c r="R1503" s="0" t="s">
        <v>5423</v>
      </c>
      <c r="S1503" s="0" t="s">
        <v>5424</v>
      </c>
      <c r="T1503" s="0" t="n">
        <v>1988</v>
      </c>
      <c r="V1503" s="0" t="n">
        <v>1</v>
      </c>
      <c r="W1503" s="0" t="n">
        <v>1</v>
      </c>
      <c r="X1503" s="0" t="str">
        <f aca="false">"31811012051044"</f>
        <v>31811012051044</v>
      </c>
      <c r="Y1503" s="0" t="s">
        <v>39</v>
      </c>
      <c r="Z1503" s="0" t="s">
        <v>42</v>
      </c>
      <c r="AA1503" s="0" t="s">
        <v>622</v>
      </c>
      <c r="AE1503" s="1" t="s">
        <v>52</v>
      </c>
    </row>
    <row r="1504" customFormat="false" ht="12.8" hidden="false" customHeight="false" outlineLevel="0" collapsed="false">
      <c r="A1504" s="0" t="n">
        <v>210222</v>
      </c>
      <c r="B1504" s="0" t="n">
        <v>230636</v>
      </c>
      <c r="C1504" s="0" t="n">
        <v>259622</v>
      </c>
      <c r="D1504" s="0" t="s">
        <v>35</v>
      </c>
      <c r="E1504" s="0" t="s">
        <v>35</v>
      </c>
      <c r="F1504" s="0" t="s">
        <v>480</v>
      </c>
      <c r="G1504" s="0" t="s">
        <v>37</v>
      </c>
      <c r="H1504" s="0" t="s">
        <v>5420</v>
      </c>
      <c r="I1504" s="0" t="s">
        <v>5421</v>
      </c>
      <c r="J1504" s="0" t="s">
        <v>5420</v>
      </c>
      <c r="M1504" s="0" t="s">
        <v>5422</v>
      </c>
      <c r="O1504" s="0" t="s">
        <v>5421</v>
      </c>
      <c r="P1504" s="0" t="n">
        <v>1962</v>
      </c>
      <c r="Q1504" s="0" t="s">
        <v>39</v>
      </c>
      <c r="R1504" s="0" t="s">
        <v>5423</v>
      </c>
      <c r="S1504" s="0" t="s">
        <v>5424</v>
      </c>
      <c r="T1504" s="0" t="n">
        <v>1987</v>
      </c>
      <c r="V1504" s="0" t="n">
        <v>1</v>
      </c>
      <c r="W1504" s="0" t="n">
        <v>1</v>
      </c>
      <c r="X1504" s="0" t="str">
        <f aca="false">"31811012051036"</f>
        <v>31811012051036</v>
      </c>
      <c r="Y1504" s="0" t="s">
        <v>39</v>
      </c>
      <c r="Z1504" s="0" t="s">
        <v>42</v>
      </c>
      <c r="AA1504" s="0" t="s">
        <v>622</v>
      </c>
      <c r="AE1504" s="1" t="s">
        <v>52</v>
      </c>
    </row>
    <row r="1505" customFormat="false" ht="12.8" hidden="false" customHeight="false" outlineLevel="0" collapsed="false">
      <c r="A1505" s="0" t="n">
        <v>210222</v>
      </c>
      <c r="B1505" s="0" t="n">
        <v>230636</v>
      </c>
      <c r="C1505" s="0" t="n">
        <v>259623</v>
      </c>
      <c r="D1505" s="0" t="s">
        <v>35</v>
      </c>
      <c r="E1505" s="0" t="s">
        <v>35</v>
      </c>
      <c r="F1505" s="0" t="s">
        <v>480</v>
      </c>
      <c r="G1505" s="0" t="s">
        <v>37</v>
      </c>
      <c r="H1505" s="0" t="s">
        <v>5420</v>
      </c>
      <c r="I1505" s="0" t="s">
        <v>5421</v>
      </c>
      <c r="J1505" s="0" t="s">
        <v>5420</v>
      </c>
      <c r="M1505" s="0" t="s">
        <v>5422</v>
      </c>
      <c r="O1505" s="0" t="s">
        <v>5421</v>
      </c>
      <c r="P1505" s="0" t="n">
        <v>1962</v>
      </c>
      <c r="Q1505" s="0" t="s">
        <v>39</v>
      </c>
      <c r="R1505" s="0" t="s">
        <v>5423</v>
      </c>
      <c r="S1505" s="0" t="s">
        <v>5424</v>
      </c>
      <c r="T1505" s="0" t="n">
        <v>1986</v>
      </c>
      <c r="V1505" s="0" t="n">
        <v>1</v>
      </c>
      <c r="W1505" s="0" t="n">
        <v>1</v>
      </c>
      <c r="X1505" s="0" t="str">
        <f aca="false">"31811012051028"</f>
        <v>31811012051028</v>
      </c>
      <c r="Y1505" s="0" t="s">
        <v>39</v>
      </c>
      <c r="Z1505" s="0" t="s">
        <v>42</v>
      </c>
      <c r="AA1505" s="0" t="s">
        <v>622</v>
      </c>
      <c r="AE1505" s="1" t="s">
        <v>52</v>
      </c>
    </row>
    <row r="1506" customFormat="false" ht="12.8" hidden="false" customHeight="false" outlineLevel="0" collapsed="false">
      <c r="A1506" s="0" t="n">
        <v>210222</v>
      </c>
      <c r="B1506" s="0" t="n">
        <v>230636</v>
      </c>
      <c r="C1506" s="0" t="n">
        <v>259624</v>
      </c>
      <c r="D1506" s="0" t="s">
        <v>35</v>
      </c>
      <c r="E1506" s="0" t="s">
        <v>35</v>
      </c>
      <c r="F1506" s="0" t="s">
        <v>480</v>
      </c>
      <c r="G1506" s="0" t="s">
        <v>37</v>
      </c>
      <c r="H1506" s="0" t="s">
        <v>5420</v>
      </c>
      <c r="I1506" s="0" t="s">
        <v>5421</v>
      </c>
      <c r="J1506" s="0" t="s">
        <v>5420</v>
      </c>
      <c r="M1506" s="0" t="s">
        <v>5422</v>
      </c>
      <c r="O1506" s="0" t="s">
        <v>5421</v>
      </c>
      <c r="P1506" s="0" t="n">
        <v>1962</v>
      </c>
      <c r="Q1506" s="0" t="s">
        <v>39</v>
      </c>
      <c r="R1506" s="0" t="s">
        <v>5423</v>
      </c>
      <c r="S1506" s="0" t="s">
        <v>5424</v>
      </c>
      <c r="T1506" s="0" t="n">
        <v>1985</v>
      </c>
      <c r="V1506" s="0" t="n">
        <v>1</v>
      </c>
      <c r="W1506" s="0" t="n">
        <v>1</v>
      </c>
      <c r="X1506" s="0" t="str">
        <f aca="false">"31811012051010"</f>
        <v>31811012051010</v>
      </c>
      <c r="Y1506" s="0" t="s">
        <v>39</v>
      </c>
      <c r="Z1506" s="0" t="s">
        <v>42</v>
      </c>
      <c r="AA1506" s="0" t="s">
        <v>622</v>
      </c>
      <c r="AE1506" s="1" t="s">
        <v>52</v>
      </c>
    </row>
    <row r="1507" customFormat="false" ht="12.8" hidden="false" customHeight="false" outlineLevel="0" collapsed="false">
      <c r="A1507" s="0" t="n">
        <v>210222</v>
      </c>
      <c r="B1507" s="0" t="n">
        <v>230636</v>
      </c>
      <c r="C1507" s="0" t="n">
        <v>259625</v>
      </c>
      <c r="D1507" s="0" t="s">
        <v>35</v>
      </c>
      <c r="E1507" s="0" t="s">
        <v>35</v>
      </c>
      <c r="F1507" s="0" t="s">
        <v>480</v>
      </c>
      <c r="G1507" s="0" t="s">
        <v>37</v>
      </c>
      <c r="H1507" s="0" t="s">
        <v>5420</v>
      </c>
      <c r="I1507" s="0" t="s">
        <v>5421</v>
      </c>
      <c r="J1507" s="0" t="s">
        <v>5420</v>
      </c>
      <c r="M1507" s="0" t="s">
        <v>5422</v>
      </c>
      <c r="O1507" s="0" t="s">
        <v>5421</v>
      </c>
      <c r="P1507" s="0" t="n">
        <v>1962</v>
      </c>
      <c r="Q1507" s="0" t="s">
        <v>39</v>
      </c>
      <c r="R1507" s="0" t="s">
        <v>5423</v>
      </c>
      <c r="S1507" s="0" t="s">
        <v>5424</v>
      </c>
      <c r="T1507" s="0" t="n">
        <v>1984</v>
      </c>
      <c r="V1507" s="0" t="n">
        <v>1</v>
      </c>
      <c r="W1507" s="0" t="n">
        <v>1</v>
      </c>
      <c r="X1507" s="0" t="str">
        <f aca="false">"31811012050723"</f>
        <v>31811012050723</v>
      </c>
      <c r="Y1507" s="0" t="s">
        <v>39</v>
      </c>
      <c r="Z1507" s="0" t="s">
        <v>42</v>
      </c>
      <c r="AA1507" s="0" t="s">
        <v>622</v>
      </c>
      <c r="AE1507" s="1" t="s">
        <v>52</v>
      </c>
    </row>
    <row r="1508" customFormat="false" ht="12.8" hidden="false" customHeight="false" outlineLevel="0" collapsed="false">
      <c r="A1508" s="0" t="n">
        <v>210222</v>
      </c>
      <c r="B1508" s="0" t="n">
        <v>230636</v>
      </c>
      <c r="C1508" s="0" t="n">
        <v>259626</v>
      </c>
      <c r="D1508" s="0" t="s">
        <v>35</v>
      </c>
      <c r="E1508" s="0" t="s">
        <v>35</v>
      </c>
      <c r="F1508" s="0" t="s">
        <v>480</v>
      </c>
      <c r="G1508" s="0" t="s">
        <v>37</v>
      </c>
      <c r="H1508" s="0" t="s">
        <v>5420</v>
      </c>
      <c r="I1508" s="0" t="s">
        <v>5421</v>
      </c>
      <c r="J1508" s="0" t="s">
        <v>5420</v>
      </c>
      <c r="M1508" s="0" t="s">
        <v>5422</v>
      </c>
      <c r="O1508" s="0" t="s">
        <v>5421</v>
      </c>
      <c r="P1508" s="0" t="n">
        <v>1962</v>
      </c>
      <c r="Q1508" s="0" t="s">
        <v>39</v>
      </c>
      <c r="R1508" s="0" t="s">
        <v>5423</v>
      </c>
      <c r="S1508" s="0" t="s">
        <v>5424</v>
      </c>
      <c r="T1508" s="0" t="n">
        <v>1983</v>
      </c>
      <c r="V1508" s="0" t="n">
        <v>1</v>
      </c>
      <c r="W1508" s="0" t="n">
        <v>1</v>
      </c>
      <c r="X1508" s="0" t="str">
        <f aca="false">"31811012050715"</f>
        <v>31811012050715</v>
      </c>
      <c r="Y1508" s="0" t="s">
        <v>39</v>
      </c>
      <c r="Z1508" s="0" t="s">
        <v>42</v>
      </c>
      <c r="AA1508" s="0" t="s">
        <v>622</v>
      </c>
      <c r="AE1508" s="1" t="s">
        <v>52</v>
      </c>
    </row>
    <row r="1509" customFormat="false" ht="12.8" hidden="false" customHeight="false" outlineLevel="0" collapsed="false">
      <c r="A1509" s="0" t="n">
        <v>210222</v>
      </c>
      <c r="B1509" s="0" t="n">
        <v>230636</v>
      </c>
      <c r="C1509" s="0" t="n">
        <v>259627</v>
      </c>
      <c r="D1509" s="0" t="s">
        <v>35</v>
      </c>
      <c r="E1509" s="0" t="s">
        <v>35</v>
      </c>
      <c r="F1509" s="0" t="s">
        <v>480</v>
      </c>
      <c r="G1509" s="0" t="s">
        <v>37</v>
      </c>
      <c r="H1509" s="0" t="s">
        <v>5420</v>
      </c>
      <c r="I1509" s="0" t="s">
        <v>5421</v>
      </c>
      <c r="J1509" s="0" t="s">
        <v>5420</v>
      </c>
      <c r="M1509" s="0" t="s">
        <v>5422</v>
      </c>
      <c r="O1509" s="0" t="s">
        <v>5421</v>
      </c>
      <c r="P1509" s="0" t="n">
        <v>1962</v>
      </c>
      <c r="Q1509" s="0" t="s">
        <v>39</v>
      </c>
      <c r="R1509" s="0" t="s">
        <v>5423</v>
      </c>
      <c r="S1509" s="0" t="s">
        <v>5424</v>
      </c>
      <c r="T1509" s="0" t="n">
        <v>1982</v>
      </c>
      <c r="V1509" s="0" t="n">
        <v>1</v>
      </c>
      <c r="W1509" s="0" t="n">
        <v>1</v>
      </c>
      <c r="X1509" s="0" t="str">
        <f aca="false">"31811012050707"</f>
        <v>31811012050707</v>
      </c>
      <c r="Y1509" s="0" t="s">
        <v>39</v>
      </c>
      <c r="Z1509" s="0" t="s">
        <v>42</v>
      </c>
      <c r="AA1509" s="0" t="s">
        <v>622</v>
      </c>
      <c r="AE1509" s="1" t="s">
        <v>52</v>
      </c>
    </row>
    <row r="1510" customFormat="false" ht="12.8" hidden="false" customHeight="false" outlineLevel="0" collapsed="false">
      <c r="A1510" s="0" t="n">
        <v>210222</v>
      </c>
      <c r="B1510" s="0" t="n">
        <v>230636</v>
      </c>
      <c r="C1510" s="0" t="n">
        <v>259628</v>
      </c>
      <c r="D1510" s="0" t="s">
        <v>35</v>
      </c>
      <c r="E1510" s="0" t="s">
        <v>35</v>
      </c>
      <c r="F1510" s="0" t="s">
        <v>480</v>
      </c>
      <c r="G1510" s="0" t="s">
        <v>37</v>
      </c>
      <c r="H1510" s="0" t="s">
        <v>5420</v>
      </c>
      <c r="I1510" s="0" t="s">
        <v>5421</v>
      </c>
      <c r="J1510" s="0" t="s">
        <v>5420</v>
      </c>
      <c r="M1510" s="0" t="s">
        <v>5422</v>
      </c>
      <c r="O1510" s="0" t="s">
        <v>5421</v>
      </c>
      <c r="P1510" s="0" t="n">
        <v>1962</v>
      </c>
      <c r="Q1510" s="0" t="s">
        <v>39</v>
      </c>
      <c r="R1510" s="0" t="s">
        <v>5423</v>
      </c>
      <c r="S1510" s="0" t="s">
        <v>5424</v>
      </c>
      <c r="T1510" s="0" t="n">
        <v>1981</v>
      </c>
      <c r="V1510" s="0" t="n">
        <v>1</v>
      </c>
      <c r="W1510" s="0" t="n">
        <v>1</v>
      </c>
      <c r="X1510" s="0" t="str">
        <f aca="false">"31811012050699"</f>
        <v>31811012050699</v>
      </c>
      <c r="Y1510" s="0" t="s">
        <v>39</v>
      </c>
      <c r="Z1510" s="0" t="s">
        <v>42</v>
      </c>
      <c r="AA1510" s="0" t="s">
        <v>622</v>
      </c>
      <c r="AE1510" s="1" t="s">
        <v>52</v>
      </c>
    </row>
    <row r="1511" customFormat="false" ht="12.8" hidden="false" customHeight="false" outlineLevel="0" collapsed="false">
      <c r="A1511" s="0" t="n">
        <v>210222</v>
      </c>
      <c r="B1511" s="0" t="n">
        <v>230636</v>
      </c>
      <c r="C1511" s="0" t="n">
        <v>259629</v>
      </c>
      <c r="D1511" s="0" t="s">
        <v>35</v>
      </c>
      <c r="E1511" s="0" t="s">
        <v>35</v>
      </c>
      <c r="F1511" s="0" t="s">
        <v>480</v>
      </c>
      <c r="G1511" s="0" t="s">
        <v>37</v>
      </c>
      <c r="H1511" s="0" t="s">
        <v>5420</v>
      </c>
      <c r="I1511" s="0" t="s">
        <v>5421</v>
      </c>
      <c r="J1511" s="0" t="s">
        <v>5420</v>
      </c>
      <c r="M1511" s="0" t="s">
        <v>5422</v>
      </c>
      <c r="O1511" s="0" t="s">
        <v>5421</v>
      </c>
      <c r="P1511" s="0" t="n">
        <v>1962</v>
      </c>
      <c r="Q1511" s="0" t="s">
        <v>39</v>
      </c>
      <c r="R1511" s="0" t="s">
        <v>5423</v>
      </c>
      <c r="S1511" s="0" t="s">
        <v>5424</v>
      </c>
      <c r="T1511" s="0" t="n">
        <v>1980</v>
      </c>
      <c r="V1511" s="0" t="n">
        <v>1</v>
      </c>
      <c r="W1511" s="0" t="n">
        <v>1</v>
      </c>
      <c r="X1511" s="0" t="str">
        <f aca="false">"31811012050400"</f>
        <v>31811012050400</v>
      </c>
      <c r="Y1511" s="0" t="s">
        <v>39</v>
      </c>
      <c r="Z1511" s="0" t="s">
        <v>42</v>
      </c>
      <c r="AA1511" s="0" t="s">
        <v>622</v>
      </c>
      <c r="AE1511" s="1" t="s">
        <v>52</v>
      </c>
    </row>
    <row r="1512" customFormat="false" ht="12.8" hidden="false" customHeight="false" outlineLevel="0" collapsed="false">
      <c r="A1512" s="0" t="n">
        <v>210222</v>
      </c>
      <c r="B1512" s="0" t="n">
        <v>230636</v>
      </c>
      <c r="C1512" s="0" t="n">
        <v>259630</v>
      </c>
      <c r="D1512" s="0" t="s">
        <v>35</v>
      </c>
      <c r="E1512" s="0" t="s">
        <v>35</v>
      </c>
      <c r="F1512" s="0" t="s">
        <v>480</v>
      </c>
      <c r="G1512" s="0" t="s">
        <v>37</v>
      </c>
      <c r="H1512" s="0" t="s">
        <v>5420</v>
      </c>
      <c r="I1512" s="0" t="s">
        <v>5421</v>
      </c>
      <c r="J1512" s="0" t="s">
        <v>5420</v>
      </c>
      <c r="M1512" s="0" t="s">
        <v>5422</v>
      </c>
      <c r="O1512" s="0" t="s">
        <v>5421</v>
      </c>
      <c r="P1512" s="0" t="n">
        <v>1962</v>
      </c>
      <c r="Q1512" s="0" t="s">
        <v>39</v>
      </c>
      <c r="R1512" s="0" t="s">
        <v>5423</v>
      </c>
      <c r="S1512" s="0" t="s">
        <v>5424</v>
      </c>
      <c r="T1512" s="0" t="n">
        <v>1979</v>
      </c>
      <c r="V1512" s="0" t="n">
        <v>1</v>
      </c>
      <c r="W1512" s="0" t="n">
        <v>1</v>
      </c>
      <c r="X1512" s="0" t="str">
        <f aca="false">"31811012050392"</f>
        <v>31811012050392</v>
      </c>
      <c r="Y1512" s="0" t="s">
        <v>39</v>
      </c>
      <c r="Z1512" s="0" t="s">
        <v>42</v>
      </c>
      <c r="AA1512" s="0" t="s">
        <v>622</v>
      </c>
      <c r="AE1512" s="1" t="s">
        <v>52</v>
      </c>
    </row>
    <row r="1513" customFormat="false" ht="12.8" hidden="false" customHeight="false" outlineLevel="0" collapsed="false">
      <c r="A1513" s="0" t="n">
        <v>210222</v>
      </c>
      <c r="B1513" s="0" t="n">
        <v>230636</v>
      </c>
      <c r="C1513" s="0" t="n">
        <v>259631</v>
      </c>
      <c r="D1513" s="0" t="s">
        <v>35</v>
      </c>
      <c r="E1513" s="0" t="s">
        <v>35</v>
      </c>
      <c r="F1513" s="0" t="s">
        <v>480</v>
      </c>
      <c r="G1513" s="0" t="s">
        <v>37</v>
      </c>
      <c r="H1513" s="0" t="s">
        <v>5420</v>
      </c>
      <c r="I1513" s="0" t="s">
        <v>5421</v>
      </c>
      <c r="J1513" s="0" t="s">
        <v>5420</v>
      </c>
      <c r="M1513" s="0" t="s">
        <v>5422</v>
      </c>
      <c r="O1513" s="0" t="s">
        <v>5421</v>
      </c>
      <c r="P1513" s="0" t="n">
        <v>1962</v>
      </c>
      <c r="Q1513" s="0" t="s">
        <v>39</v>
      </c>
      <c r="R1513" s="0" t="s">
        <v>5423</v>
      </c>
      <c r="S1513" s="0" t="s">
        <v>5424</v>
      </c>
      <c r="T1513" s="0" t="n">
        <v>1978</v>
      </c>
      <c r="V1513" s="0" t="n">
        <v>1</v>
      </c>
      <c r="W1513" s="0" t="n">
        <v>1</v>
      </c>
      <c r="X1513" s="0" t="str">
        <f aca="false">"31811012050384"</f>
        <v>31811012050384</v>
      </c>
      <c r="Y1513" s="0" t="s">
        <v>39</v>
      </c>
      <c r="Z1513" s="0" t="s">
        <v>42</v>
      </c>
      <c r="AA1513" s="0" t="s">
        <v>622</v>
      </c>
      <c r="AE1513" s="1" t="s">
        <v>52</v>
      </c>
    </row>
    <row r="1514" customFormat="false" ht="12.8" hidden="false" customHeight="false" outlineLevel="0" collapsed="false">
      <c r="A1514" s="0" t="n">
        <v>210222</v>
      </c>
      <c r="B1514" s="0" t="n">
        <v>230636</v>
      </c>
      <c r="C1514" s="0" t="n">
        <v>259632</v>
      </c>
      <c r="D1514" s="0" t="s">
        <v>35</v>
      </c>
      <c r="E1514" s="0" t="s">
        <v>35</v>
      </c>
      <c r="F1514" s="0" t="s">
        <v>480</v>
      </c>
      <c r="G1514" s="0" t="s">
        <v>37</v>
      </c>
      <c r="H1514" s="0" t="s">
        <v>5420</v>
      </c>
      <c r="I1514" s="0" t="s">
        <v>5421</v>
      </c>
      <c r="J1514" s="0" t="s">
        <v>5420</v>
      </c>
      <c r="M1514" s="0" t="s">
        <v>5422</v>
      </c>
      <c r="O1514" s="0" t="s">
        <v>5421</v>
      </c>
      <c r="P1514" s="0" t="n">
        <v>1962</v>
      </c>
      <c r="Q1514" s="0" t="s">
        <v>39</v>
      </c>
      <c r="R1514" s="0" t="s">
        <v>5423</v>
      </c>
      <c r="S1514" s="0" t="s">
        <v>5424</v>
      </c>
      <c r="T1514" s="0" t="n">
        <v>1977</v>
      </c>
      <c r="V1514" s="0" t="n">
        <v>1</v>
      </c>
      <c r="W1514" s="0" t="n">
        <v>1</v>
      </c>
      <c r="X1514" s="0" t="str">
        <f aca="false">"31811012050376"</f>
        <v>31811012050376</v>
      </c>
      <c r="Y1514" s="0" t="s">
        <v>39</v>
      </c>
      <c r="Z1514" s="0" t="s">
        <v>42</v>
      </c>
      <c r="AA1514" s="0" t="s">
        <v>622</v>
      </c>
      <c r="AE1514" s="1" t="s">
        <v>52</v>
      </c>
    </row>
    <row r="1515" customFormat="false" ht="12.8" hidden="false" customHeight="false" outlineLevel="0" collapsed="false">
      <c r="A1515" s="0" t="n">
        <v>210222</v>
      </c>
      <c r="B1515" s="0" t="n">
        <v>230636</v>
      </c>
      <c r="C1515" s="0" t="n">
        <v>259633</v>
      </c>
      <c r="D1515" s="0" t="s">
        <v>35</v>
      </c>
      <c r="E1515" s="0" t="s">
        <v>35</v>
      </c>
      <c r="F1515" s="0" t="s">
        <v>480</v>
      </c>
      <c r="G1515" s="0" t="s">
        <v>37</v>
      </c>
      <c r="H1515" s="0" t="s">
        <v>5420</v>
      </c>
      <c r="I1515" s="0" t="s">
        <v>5421</v>
      </c>
      <c r="J1515" s="0" t="s">
        <v>5420</v>
      </c>
      <c r="M1515" s="0" t="s">
        <v>5422</v>
      </c>
      <c r="O1515" s="0" t="s">
        <v>5421</v>
      </c>
      <c r="P1515" s="0" t="n">
        <v>1962</v>
      </c>
      <c r="Q1515" s="0" t="s">
        <v>39</v>
      </c>
      <c r="R1515" s="0" t="s">
        <v>5423</v>
      </c>
      <c r="S1515" s="0" t="s">
        <v>5424</v>
      </c>
      <c r="T1515" s="0" t="n">
        <v>1976</v>
      </c>
      <c r="V1515" s="0" t="n">
        <v>1</v>
      </c>
      <c r="W1515" s="0" t="n">
        <v>1</v>
      </c>
      <c r="X1515" s="0" t="str">
        <f aca="false">"31811012050087"</f>
        <v>31811012050087</v>
      </c>
      <c r="Y1515" s="0" t="s">
        <v>39</v>
      </c>
      <c r="Z1515" s="0" t="s">
        <v>42</v>
      </c>
      <c r="AA1515" s="0" t="s">
        <v>622</v>
      </c>
      <c r="AE1515" s="1" t="s">
        <v>52</v>
      </c>
    </row>
    <row r="1516" customFormat="false" ht="12.8" hidden="false" customHeight="false" outlineLevel="0" collapsed="false">
      <c r="A1516" s="0" t="n">
        <v>210222</v>
      </c>
      <c r="B1516" s="0" t="n">
        <v>230636</v>
      </c>
      <c r="C1516" s="0" t="n">
        <v>259634</v>
      </c>
      <c r="D1516" s="0" t="s">
        <v>35</v>
      </c>
      <c r="E1516" s="0" t="s">
        <v>35</v>
      </c>
      <c r="F1516" s="0" t="s">
        <v>480</v>
      </c>
      <c r="G1516" s="0" t="s">
        <v>37</v>
      </c>
      <c r="H1516" s="0" t="s">
        <v>5420</v>
      </c>
      <c r="I1516" s="0" t="s">
        <v>5421</v>
      </c>
      <c r="J1516" s="0" t="s">
        <v>5420</v>
      </c>
      <c r="M1516" s="0" t="s">
        <v>5422</v>
      </c>
      <c r="O1516" s="0" t="s">
        <v>5421</v>
      </c>
      <c r="P1516" s="0" t="n">
        <v>1962</v>
      </c>
      <c r="Q1516" s="0" t="s">
        <v>39</v>
      </c>
      <c r="R1516" s="0" t="s">
        <v>5423</v>
      </c>
      <c r="S1516" s="0" t="s">
        <v>5424</v>
      </c>
      <c r="T1516" s="0" t="n">
        <v>1975</v>
      </c>
      <c r="V1516" s="0" t="n">
        <v>1</v>
      </c>
      <c r="W1516" s="0" t="n">
        <v>1</v>
      </c>
      <c r="X1516" s="0" t="str">
        <f aca="false">"31811012050079"</f>
        <v>31811012050079</v>
      </c>
      <c r="Y1516" s="0" t="s">
        <v>39</v>
      </c>
      <c r="Z1516" s="0" t="s">
        <v>42</v>
      </c>
      <c r="AA1516" s="0" t="s">
        <v>622</v>
      </c>
      <c r="AE1516" s="1" t="s">
        <v>52</v>
      </c>
    </row>
    <row r="1517" customFormat="false" ht="12.8" hidden="false" customHeight="false" outlineLevel="0" collapsed="false">
      <c r="A1517" s="0" t="n">
        <v>210222</v>
      </c>
      <c r="B1517" s="0" t="n">
        <v>230636</v>
      </c>
      <c r="C1517" s="0" t="n">
        <v>259635</v>
      </c>
      <c r="D1517" s="0" t="s">
        <v>35</v>
      </c>
      <c r="E1517" s="0" t="s">
        <v>35</v>
      </c>
      <c r="F1517" s="0" t="s">
        <v>480</v>
      </c>
      <c r="G1517" s="0" t="s">
        <v>37</v>
      </c>
      <c r="H1517" s="0" t="s">
        <v>5420</v>
      </c>
      <c r="I1517" s="0" t="s">
        <v>5421</v>
      </c>
      <c r="J1517" s="0" t="s">
        <v>5420</v>
      </c>
      <c r="M1517" s="0" t="s">
        <v>5422</v>
      </c>
      <c r="O1517" s="0" t="s">
        <v>5421</v>
      </c>
      <c r="P1517" s="0" t="n">
        <v>1962</v>
      </c>
      <c r="Q1517" s="0" t="s">
        <v>39</v>
      </c>
      <c r="R1517" s="0" t="s">
        <v>5423</v>
      </c>
      <c r="S1517" s="0" t="s">
        <v>5424</v>
      </c>
      <c r="T1517" s="0" t="n">
        <v>1974</v>
      </c>
      <c r="V1517" s="0" t="n">
        <v>1</v>
      </c>
      <c r="W1517" s="0" t="n">
        <v>1</v>
      </c>
      <c r="X1517" s="0" t="str">
        <f aca="false">"31811012050061"</f>
        <v>31811012050061</v>
      </c>
      <c r="Y1517" s="0" t="s">
        <v>39</v>
      </c>
      <c r="Z1517" s="0" t="s">
        <v>42</v>
      </c>
      <c r="AA1517" s="0" t="s">
        <v>622</v>
      </c>
      <c r="AE1517" s="1" t="s">
        <v>52</v>
      </c>
    </row>
    <row r="1518" customFormat="false" ht="12.8" hidden="false" customHeight="false" outlineLevel="0" collapsed="false">
      <c r="A1518" s="0" t="n">
        <v>210222</v>
      </c>
      <c r="B1518" s="0" t="n">
        <v>230636</v>
      </c>
      <c r="C1518" s="0" t="n">
        <v>259636</v>
      </c>
      <c r="D1518" s="0" t="s">
        <v>35</v>
      </c>
      <c r="E1518" s="0" t="s">
        <v>35</v>
      </c>
      <c r="F1518" s="0" t="s">
        <v>480</v>
      </c>
      <c r="G1518" s="0" t="s">
        <v>37</v>
      </c>
      <c r="H1518" s="0" t="s">
        <v>5420</v>
      </c>
      <c r="I1518" s="0" t="s">
        <v>5421</v>
      </c>
      <c r="J1518" s="0" t="s">
        <v>5420</v>
      </c>
      <c r="M1518" s="0" t="s">
        <v>5422</v>
      </c>
      <c r="O1518" s="0" t="s">
        <v>5421</v>
      </c>
      <c r="P1518" s="0" t="n">
        <v>1962</v>
      </c>
      <c r="Q1518" s="0" t="s">
        <v>39</v>
      </c>
      <c r="R1518" s="0" t="s">
        <v>5423</v>
      </c>
      <c r="S1518" s="0" t="s">
        <v>5424</v>
      </c>
      <c r="T1518" s="0" t="n">
        <v>1973</v>
      </c>
      <c r="V1518" s="0" t="n">
        <v>1</v>
      </c>
      <c r="W1518" s="0" t="n">
        <v>1</v>
      </c>
      <c r="X1518" s="0" t="str">
        <f aca="false">"31811012050053"</f>
        <v>31811012050053</v>
      </c>
      <c r="Y1518" s="0" t="s">
        <v>39</v>
      </c>
      <c r="Z1518" s="0" t="s">
        <v>42</v>
      </c>
      <c r="AA1518" s="0" t="s">
        <v>622</v>
      </c>
      <c r="AE1518" s="1" t="s">
        <v>52</v>
      </c>
    </row>
    <row r="1519" customFormat="false" ht="12.8" hidden="false" customHeight="false" outlineLevel="0" collapsed="false">
      <c r="A1519" s="0" t="n">
        <v>210222</v>
      </c>
      <c r="B1519" s="0" t="n">
        <v>230636</v>
      </c>
      <c r="C1519" s="0" t="n">
        <v>259637</v>
      </c>
      <c r="D1519" s="0" t="s">
        <v>35</v>
      </c>
      <c r="E1519" s="0" t="s">
        <v>35</v>
      </c>
      <c r="F1519" s="0" t="s">
        <v>480</v>
      </c>
      <c r="G1519" s="0" t="s">
        <v>37</v>
      </c>
      <c r="H1519" s="0" t="s">
        <v>5420</v>
      </c>
      <c r="I1519" s="0" t="s">
        <v>5421</v>
      </c>
      <c r="J1519" s="0" t="s">
        <v>5420</v>
      </c>
      <c r="M1519" s="0" t="s">
        <v>5422</v>
      </c>
      <c r="O1519" s="0" t="s">
        <v>5421</v>
      </c>
      <c r="P1519" s="0" t="n">
        <v>1962</v>
      </c>
      <c r="Q1519" s="0" t="s">
        <v>39</v>
      </c>
      <c r="R1519" s="0" t="s">
        <v>5423</v>
      </c>
      <c r="S1519" s="0" t="s">
        <v>5424</v>
      </c>
      <c r="T1519" s="0" t="s">
        <v>5425</v>
      </c>
      <c r="V1519" s="0" t="n">
        <v>1</v>
      </c>
      <c r="W1519" s="0" t="n">
        <v>1</v>
      </c>
      <c r="X1519" s="0" t="str">
        <f aca="false">"31811012049733"</f>
        <v>31811012049733</v>
      </c>
      <c r="Y1519" s="0" t="s">
        <v>39</v>
      </c>
      <c r="Z1519" s="0" t="s">
        <v>42</v>
      </c>
      <c r="AA1519" s="0" t="s">
        <v>622</v>
      </c>
      <c r="AE1519" s="1" t="s">
        <v>52</v>
      </c>
    </row>
    <row r="1520" customFormat="false" ht="12.8" hidden="false" customHeight="false" outlineLevel="0" collapsed="false">
      <c r="A1520" s="0" t="n">
        <v>210222</v>
      </c>
      <c r="B1520" s="0" t="n">
        <v>230636</v>
      </c>
      <c r="C1520" s="0" t="n">
        <v>259638</v>
      </c>
      <c r="D1520" s="0" t="s">
        <v>35</v>
      </c>
      <c r="E1520" s="0" t="s">
        <v>35</v>
      </c>
      <c r="F1520" s="0" t="s">
        <v>480</v>
      </c>
      <c r="G1520" s="0" t="s">
        <v>37</v>
      </c>
      <c r="H1520" s="0" t="s">
        <v>5420</v>
      </c>
      <c r="I1520" s="0" t="s">
        <v>5421</v>
      </c>
      <c r="J1520" s="0" t="s">
        <v>5420</v>
      </c>
      <c r="M1520" s="0" t="s">
        <v>5422</v>
      </c>
      <c r="O1520" s="0" t="s">
        <v>5421</v>
      </c>
      <c r="P1520" s="0" t="n">
        <v>1962</v>
      </c>
      <c r="Q1520" s="0" t="s">
        <v>39</v>
      </c>
      <c r="R1520" s="0" t="s">
        <v>5423</v>
      </c>
      <c r="S1520" s="0" t="s">
        <v>5424</v>
      </c>
      <c r="T1520" s="0" t="s">
        <v>5426</v>
      </c>
      <c r="V1520" s="0" t="n">
        <v>1</v>
      </c>
      <c r="W1520" s="0" t="n">
        <v>1</v>
      </c>
      <c r="X1520" s="0" t="str">
        <f aca="false">"31811012049741"</f>
        <v>31811012049741</v>
      </c>
      <c r="Y1520" s="0" t="s">
        <v>39</v>
      </c>
      <c r="Z1520" s="0" t="s">
        <v>42</v>
      </c>
      <c r="AA1520" s="0" t="s">
        <v>622</v>
      </c>
      <c r="AE1520" s="1" t="s">
        <v>52</v>
      </c>
    </row>
    <row r="1521" customFormat="false" ht="12.8" hidden="false" customHeight="false" outlineLevel="0" collapsed="false">
      <c r="A1521" s="0" t="n">
        <v>210222</v>
      </c>
      <c r="B1521" s="0" t="n">
        <v>230636</v>
      </c>
      <c r="C1521" s="0" t="n">
        <v>259639</v>
      </c>
      <c r="D1521" s="0" t="s">
        <v>35</v>
      </c>
      <c r="E1521" s="0" t="s">
        <v>35</v>
      </c>
      <c r="F1521" s="0" t="s">
        <v>480</v>
      </c>
      <c r="G1521" s="0" t="s">
        <v>37</v>
      </c>
      <c r="H1521" s="0" t="s">
        <v>5420</v>
      </c>
      <c r="I1521" s="0" t="s">
        <v>5421</v>
      </c>
      <c r="J1521" s="0" t="s">
        <v>5420</v>
      </c>
      <c r="M1521" s="0" t="s">
        <v>5422</v>
      </c>
      <c r="O1521" s="0" t="s">
        <v>5421</v>
      </c>
      <c r="P1521" s="0" t="n">
        <v>1962</v>
      </c>
      <c r="Q1521" s="0" t="s">
        <v>39</v>
      </c>
      <c r="R1521" s="0" t="s">
        <v>5423</v>
      </c>
      <c r="S1521" s="0" t="s">
        <v>5424</v>
      </c>
      <c r="T1521" s="0" t="s">
        <v>5427</v>
      </c>
      <c r="V1521" s="0" t="n">
        <v>1</v>
      </c>
      <c r="W1521" s="0" t="n">
        <v>1</v>
      </c>
      <c r="X1521" s="0" t="str">
        <f aca="false">"31811012049758"</f>
        <v>31811012049758</v>
      </c>
      <c r="Y1521" s="0" t="s">
        <v>39</v>
      </c>
      <c r="Z1521" s="0" t="s">
        <v>42</v>
      </c>
      <c r="AA1521" s="0" t="s">
        <v>622</v>
      </c>
      <c r="AE1521" s="1" t="s">
        <v>52</v>
      </c>
    </row>
    <row r="1522" customFormat="false" ht="12.8" hidden="false" customHeight="false" outlineLevel="0" collapsed="false">
      <c r="A1522" s="0" t="n">
        <v>210222</v>
      </c>
      <c r="B1522" s="0" t="n">
        <v>230636</v>
      </c>
      <c r="C1522" s="0" t="n">
        <v>259640</v>
      </c>
      <c r="D1522" s="0" t="s">
        <v>35</v>
      </c>
      <c r="E1522" s="0" t="s">
        <v>35</v>
      </c>
      <c r="F1522" s="0" t="s">
        <v>480</v>
      </c>
      <c r="G1522" s="0" t="s">
        <v>37</v>
      </c>
      <c r="H1522" s="0" t="s">
        <v>5420</v>
      </c>
      <c r="I1522" s="0" t="s">
        <v>5421</v>
      </c>
      <c r="J1522" s="0" t="s">
        <v>5420</v>
      </c>
      <c r="M1522" s="0" t="s">
        <v>5422</v>
      </c>
      <c r="O1522" s="0" t="s">
        <v>5421</v>
      </c>
      <c r="P1522" s="0" t="n">
        <v>1962</v>
      </c>
      <c r="Q1522" s="0" t="s">
        <v>39</v>
      </c>
      <c r="R1522" s="0" t="s">
        <v>5423</v>
      </c>
      <c r="S1522" s="0" t="s">
        <v>5424</v>
      </c>
      <c r="T1522" s="0" t="s">
        <v>5428</v>
      </c>
      <c r="V1522" s="0" t="n">
        <v>1</v>
      </c>
      <c r="W1522" s="0" t="n">
        <v>1</v>
      </c>
      <c r="X1522" s="0" t="str">
        <f aca="false">"31811012049766"</f>
        <v>31811012049766</v>
      </c>
      <c r="Y1522" s="0" t="s">
        <v>39</v>
      </c>
      <c r="Z1522" s="0" t="s">
        <v>42</v>
      </c>
      <c r="AA1522" s="0" t="s">
        <v>622</v>
      </c>
      <c r="AE1522" s="1" t="s">
        <v>52</v>
      </c>
    </row>
    <row r="1523" customFormat="false" ht="12.8" hidden="false" customHeight="false" outlineLevel="0" collapsed="false">
      <c r="A1523" s="0" t="n">
        <v>210222</v>
      </c>
      <c r="B1523" s="0" t="n">
        <v>230636</v>
      </c>
      <c r="C1523" s="0" t="n">
        <v>259641</v>
      </c>
      <c r="D1523" s="0" t="s">
        <v>35</v>
      </c>
      <c r="E1523" s="0" t="s">
        <v>35</v>
      </c>
      <c r="F1523" s="0" t="s">
        <v>480</v>
      </c>
      <c r="G1523" s="0" t="s">
        <v>37</v>
      </c>
      <c r="H1523" s="0" t="s">
        <v>5420</v>
      </c>
      <c r="I1523" s="0" t="s">
        <v>5421</v>
      </c>
      <c r="J1523" s="0" t="s">
        <v>5420</v>
      </c>
      <c r="M1523" s="0" t="s">
        <v>5422</v>
      </c>
      <c r="O1523" s="0" t="s">
        <v>5421</v>
      </c>
      <c r="P1523" s="0" t="n">
        <v>1962</v>
      </c>
      <c r="Q1523" s="0" t="s">
        <v>39</v>
      </c>
      <c r="R1523" s="0" t="s">
        <v>5423</v>
      </c>
      <c r="S1523" s="0" t="s">
        <v>5424</v>
      </c>
      <c r="T1523" s="0" t="s">
        <v>5429</v>
      </c>
      <c r="V1523" s="0" t="n">
        <v>1</v>
      </c>
      <c r="W1523" s="0" t="n">
        <v>1</v>
      </c>
      <c r="X1523" s="0" t="str">
        <f aca="false">"31811012051697"</f>
        <v>31811012051697</v>
      </c>
      <c r="Y1523" s="0" t="s">
        <v>39</v>
      </c>
      <c r="Z1523" s="0" t="s">
        <v>42</v>
      </c>
      <c r="AA1523" s="0" t="s">
        <v>622</v>
      </c>
      <c r="AE1523" s="1" t="s">
        <v>52</v>
      </c>
    </row>
    <row r="1524" customFormat="false" ht="12.8" hidden="false" customHeight="false" outlineLevel="0" collapsed="false">
      <c r="A1524" s="0" t="n">
        <v>146994</v>
      </c>
      <c r="B1524" s="0" t="n">
        <v>159210</v>
      </c>
      <c r="C1524" s="0" t="n">
        <v>178788</v>
      </c>
      <c r="D1524" s="0" t="s">
        <v>35</v>
      </c>
      <c r="E1524" s="0" t="s">
        <v>35</v>
      </c>
      <c r="F1524" s="0" t="s">
        <v>36</v>
      </c>
      <c r="G1524" s="0" t="s">
        <v>37</v>
      </c>
      <c r="H1524" s="0" t="s">
        <v>5430</v>
      </c>
      <c r="I1524" s="0" t="s">
        <v>5421</v>
      </c>
      <c r="J1524" s="0" t="s">
        <v>5430</v>
      </c>
      <c r="M1524" s="0" t="s">
        <v>5431</v>
      </c>
      <c r="N1524" s="0" t="s">
        <v>333</v>
      </c>
      <c r="P1524" s="0" t="n">
        <v>1968</v>
      </c>
      <c r="Q1524" s="0" t="s">
        <v>39</v>
      </c>
      <c r="R1524" s="0" t="s">
        <v>5432</v>
      </c>
      <c r="S1524" s="0" t="s">
        <v>5433</v>
      </c>
      <c r="V1524" s="0" t="n">
        <v>1</v>
      </c>
      <c r="W1524" s="0" t="n">
        <v>1</v>
      </c>
      <c r="X1524" s="0" t="str">
        <f aca="false">"31811010748682"</f>
        <v>31811010748682</v>
      </c>
      <c r="Y1524" s="0" t="s">
        <v>39</v>
      </c>
      <c r="Z1524" s="0" t="s">
        <v>42</v>
      </c>
      <c r="AA1524" s="0" t="s">
        <v>43</v>
      </c>
      <c r="AE1524" s="1" t="s">
        <v>52</v>
      </c>
    </row>
    <row r="1525" customFormat="false" ht="12.8" hidden="false" customHeight="false" outlineLevel="0" collapsed="false">
      <c r="A1525" s="0" t="n">
        <v>283627</v>
      </c>
      <c r="B1525" s="0" t="n">
        <v>310015</v>
      </c>
      <c r="C1525" s="0" t="n">
        <v>347264</v>
      </c>
      <c r="D1525" s="0" t="s">
        <v>35</v>
      </c>
      <c r="E1525" s="0" t="s">
        <v>35</v>
      </c>
      <c r="F1525" s="0" t="s">
        <v>36</v>
      </c>
      <c r="G1525" s="0" t="s">
        <v>37</v>
      </c>
      <c r="H1525" s="0" t="s">
        <v>5434</v>
      </c>
      <c r="I1525" s="0" t="s">
        <v>5421</v>
      </c>
      <c r="J1525" s="0" t="s">
        <v>5435</v>
      </c>
      <c r="M1525" s="0" t="s">
        <v>5436</v>
      </c>
      <c r="N1525" s="0" t="s">
        <v>5437</v>
      </c>
      <c r="O1525" s="0" t="s">
        <v>5438</v>
      </c>
      <c r="P1525" s="0" t="n">
        <v>1975</v>
      </c>
      <c r="Q1525" s="0" t="s">
        <v>39</v>
      </c>
      <c r="R1525" s="0" t="s">
        <v>5439</v>
      </c>
      <c r="S1525" s="0" t="s">
        <v>5440</v>
      </c>
      <c r="V1525" s="0" t="n">
        <v>1</v>
      </c>
      <c r="W1525" s="0" t="n">
        <v>1</v>
      </c>
      <c r="X1525" s="0" t="str">
        <f aca="false">"31811010748674"</f>
        <v>31811010748674</v>
      </c>
      <c r="Y1525" s="0" t="s">
        <v>39</v>
      </c>
      <c r="Z1525" s="0" t="s">
        <v>42</v>
      </c>
      <c r="AA1525" s="0" t="s">
        <v>43</v>
      </c>
      <c r="AE1525" s="1" t="s">
        <v>52</v>
      </c>
    </row>
    <row r="1526" customFormat="false" ht="12.8" hidden="false" customHeight="false" outlineLevel="0" collapsed="false">
      <c r="A1526" s="0" t="n">
        <v>10572</v>
      </c>
      <c r="B1526" s="0" t="n">
        <v>12231</v>
      </c>
      <c r="C1526" s="0" t="n">
        <v>14222</v>
      </c>
      <c r="D1526" s="0" t="s">
        <v>35</v>
      </c>
      <c r="E1526" s="0" t="s">
        <v>35</v>
      </c>
      <c r="F1526" s="0" t="s">
        <v>36</v>
      </c>
      <c r="G1526" s="0" t="s">
        <v>37</v>
      </c>
      <c r="H1526" s="0" t="s">
        <v>5441</v>
      </c>
      <c r="I1526" s="0" t="s">
        <v>5442</v>
      </c>
      <c r="J1526" s="0" t="s">
        <v>5441</v>
      </c>
      <c r="M1526" s="0" t="s">
        <v>5443</v>
      </c>
      <c r="N1526" s="0" t="n">
        <v>1960</v>
      </c>
      <c r="O1526" s="0" t="s">
        <v>5444</v>
      </c>
      <c r="P1526" s="0" t="n">
        <v>1960</v>
      </c>
      <c r="Q1526" s="0" t="s">
        <v>39</v>
      </c>
      <c r="R1526" s="0" t="s">
        <v>5445</v>
      </c>
      <c r="S1526" s="0" t="s">
        <v>5446</v>
      </c>
      <c r="V1526" s="0" t="n">
        <v>1</v>
      </c>
      <c r="W1526" s="0" t="n">
        <v>1</v>
      </c>
      <c r="X1526" s="0" t="str">
        <f aca="false">"31811010943747"</f>
        <v>31811010943747</v>
      </c>
      <c r="Y1526" s="0" t="s">
        <v>39</v>
      </c>
      <c r="Z1526" s="0" t="s">
        <v>42</v>
      </c>
      <c r="AA1526" s="0" t="s">
        <v>43</v>
      </c>
      <c r="AE1526" s="1" t="s">
        <v>52</v>
      </c>
    </row>
    <row r="1527" customFormat="false" ht="12.8" hidden="false" customHeight="false" outlineLevel="0" collapsed="false">
      <c r="A1527" s="0" t="n">
        <v>131581</v>
      </c>
      <c r="B1527" s="0" t="n">
        <v>141620</v>
      </c>
      <c r="C1527" s="0" t="n">
        <v>157304</v>
      </c>
      <c r="D1527" s="0" t="s">
        <v>35</v>
      </c>
      <c r="E1527" s="0" t="s">
        <v>35</v>
      </c>
      <c r="F1527" s="0" t="s">
        <v>480</v>
      </c>
      <c r="G1527" s="0" t="s">
        <v>37</v>
      </c>
      <c r="H1527" s="0" t="s">
        <v>5447</v>
      </c>
      <c r="J1527" s="0" t="s">
        <v>5447</v>
      </c>
      <c r="M1527" s="0" t="s">
        <v>5448</v>
      </c>
      <c r="N1527" s="0" t="s">
        <v>5449</v>
      </c>
      <c r="O1527" s="0" t="s">
        <v>5450</v>
      </c>
      <c r="P1527" s="0" t="n">
        <v>1986</v>
      </c>
      <c r="Q1527" s="0" t="s">
        <v>39</v>
      </c>
      <c r="R1527" s="0" t="s">
        <v>5451</v>
      </c>
      <c r="S1527" s="0" t="s">
        <v>5452</v>
      </c>
      <c r="T1527" s="0" t="n">
        <v>1986</v>
      </c>
      <c r="V1527" s="0" t="n">
        <v>1</v>
      </c>
      <c r="W1527" s="0" t="n">
        <v>1</v>
      </c>
      <c r="X1527" s="0" t="str">
        <f aca="false">"31811010279340"</f>
        <v>31811010279340</v>
      </c>
      <c r="Y1527" s="0" t="s">
        <v>39</v>
      </c>
      <c r="Z1527" s="0" t="s">
        <v>42</v>
      </c>
      <c r="AA1527" s="0" t="s">
        <v>622</v>
      </c>
      <c r="AE1527" s="1" t="s">
        <v>52</v>
      </c>
      <c r="AH1527" s="1" t="s">
        <v>5453</v>
      </c>
    </row>
    <row r="1528" customFormat="false" ht="12.8" hidden="false" customHeight="false" outlineLevel="0" collapsed="false">
      <c r="A1528" s="0" t="n">
        <v>405261</v>
      </c>
      <c r="B1528" s="0" t="n">
        <v>437366</v>
      </c>
      <c r="C1528" s="0" t="n">
        <v>487683</v>
      </c>
      <c r="D1528" s="0" t="s">
        <v>35</v>
      </c>
      <c r="E1528" s="0" t="s">
        <v>35</v>
      </c>
      <c r="F1528" s="0" t="s">
        <v>36</v>
      </c>
      <c r="G1528" s="0" t="s">
        <v>412</v>
      </c>
      <c r="H1528" s="0" t="s">
        <v>5454</v>
      </c>
      <c r="I1528" s="0" t="s">
        <v>5455</v>
      </c>
      <c r="J1528" s="0" t="s">
        <v>5454</v>
      </c>
      <c r="M1528" s="0" t="s">
        <v>5456</v>
      </c>
      <c r="N1528" s="0" t="n">
        <v>1952</v>
      </c>
      <c r="P1528" s="0" t="n">
        <v>1952</v>
      </c>
      <c r="Q1528" s="0" t="s">
        <v>39</v>
      </c>
      <c r="R1528" s="0" t="s">
        <v>5457</v>
      </c>
      <c r="S1528" s="0" t="s">
        <v>5458</v>
      </c>
      <c r="V1528" s="0" t="n">
        <v>1</v>
      </c>
      <c r="W1528" s="0" t="n">
        <v>1</v>
      </c>
      <c r="X1528" s="0" t="str">
        <f aca="false">"31811010748104"</f>
        <v>31811010748104</v>
      </c>
      <c r="Y1528" s="0" t="s">
        <v>39</v>
      </c>
      <c r="Z1528" s="0" t="s">
        <v>42</v>
      </c>
      <c r="AA1528" s="0" t="s">
        <v>43</v>
      </c>
      <c r="AE1528" s="1" t="s">
        <v>52</v>
      </c>
    </row>
    <row r="1529" customFormat="false" ht="12.8" hidden="false" customHeight="false" outlineLevel="0" collapsed="false">
      <c r="A1529" s="0" t="n">
        <v>254916</v>
      </c>
      <c r="B1529" s="0" t="n">
        <v>279263</v>
      </c>
      <c r="C1529" s="0" t="n">
        <v>313737</v>
      </c>
      <c r="D1529" s="0" t="s">
        <v>35</v>
      </c>
      <c r="E1529" s="0" t="s">
        <v>35</v>
      </c>
      <c r="F1529" s="0" t="s">
        <v>36</v>
      </c>
      <c r="G1529" s="0" t="s">
        <v>37</v>
      </c>
      <c r="H1529" s="0" t="s">
        <v>5459</v>
      </c>
      <c r="I1529" s="0" t="s">
        <v>5460</v>
      </c>
      <c r="J1529" s="0" t="s">
        <v>5459</v>
      </c>
      <c r="M1529" s="0" t="s">
        <v>5461</v>
      </c>
      <c r="N1529" s="0" t="s">
        <v>1529</v>
      </c>
      <c r="O1529" s="0" t="s">
        <v>5462</v>
      </c>
      <c r="P1529" s="0" t="n">
        <v>1963</v>
      </c>
      <c r="Q1529" s="0" t="s">
        <v>39</v>
      </c>
      <c r="R1529" s="0" t="s">
        <v>5463</v>
      </c>
      <c r="S1529" s="0" t="s">
        <v>5464</v>
      </c>
      <c r="V1529" s="0" t="n">
        <v>1</v>
      </c>
      <c r="W1529" s="0" t="n">
        <v>1</v>
      </c>
      <c r="X1529" s="0" t="str">
        <f aca="false">"31811010764259"</f>
        <v>31811010764259</v>
      </c>
      <c r="Y1529" s="0" t="s">
        <v>39</v>
      </c>
      <c r="Z1529" s="0" t="s">
        <v>42</v>
      </c>
      <c r="AA1529" s="0" t="s">
        <v>43</v>
      </c>
      <c r="AE1529" s="1" t="s">
        <v>52</v>
      </c>
    </row>
    <row r="1530" customFormat="false" ht="12.8" hidden="false" customHeight="false" outlineLevel="0" collapsed="false">
      <c r="A1530" s="0" t="n">
        <v>61339</v>
      </c>
      <c r="B1530" s="0" t="n">
        <v>66651</v>
      </c>
      <c r="C1530" s="0" t="n">
        <v>813144</v>
      </c>
      <c r="D1530" s="0" t="s">
        <v>35</v>
      </c>
      <c r="E1530" s="0" t="s">
        <v>35</v>
      </c>
      <c r="F1530" s="0" t="s">
        <v>480</v>
      </c>
      <c r="G1530" s="0" t="s">
        <v>37</v>
      </c>
      <c r="H1530" s="0" t="s">
        <v>5465</v>
      </c>
      <c r="J1530" s="0" t="s">
        <v>5465</v>
      </c>
      <c r="M1530" s="0" t="s">
        <v>5466</v>
      </c>
      <c r="O1530" s="0" t="s">
        <v>5467</v>
      </c>
      <c r="P1530" s="0" t="n">
        <v>1960</v>
      </c>
      <c r="Q1530" s="0" t="s">
        <v>39</v>
      </c>
      <c r="R1530" s="0" t="s">
        <v>5468</v>
      </c>
      <c r="S1530" s="0" t="s">
        <v>5469</v>
      </c>
      <c r="T1530" s="0" t="s">
        <v>5470</v>
      </c>
      <c r="V1530" s="0" t="n">
        <v>1</v>
      </c>
      <c r="W1530" s="0" t="n">
        <v>1</v>
      </c>
      <c r="X1530" s="0" t="str">
        <f aca="false">"31811013751410"</f>
        <v>31811013751410</v>
      </c>
      <c r="Y1530" s="0" t="s">
        <v>39</v>
      </c>
      <c r="Z1530" s="0" t="s">
        <v>42</v>
      </c>
      <c r="AA1530" s="0" t="s">
        <v>622</v>
      </c>
      <c r="AE1530" s="1" t="s">
        <v>52</v>
      </c>
      <c r="AF1530" s="1" t="s">
        <v>5471</v>
      </c>
      <c r="AG1530" s="0" t="n">
        <v>4487</v>
      </c>
      <c r="AH1530" s="1" t="s">
        <v>5472</v>
      </c>
    </row>
    <row r="1531" customFormat="false" ht="12.8" hidden="false" customHeight="false" outlineLevel="0" collapsed="false">
      <c r="A1531" s="0" t="n">
        <v>61339</v>
      </c>
      <c r="B1531" s="0" t="n">
        <v>66651</v>
      </c>
      <c r="C1531" s="0" t="n">
        <v>821467</v>
      </c>
      <c r="D1531" s="0" t="s">
        <v>35</v>
      </c>
      <c r="E1531" s="0" t="s">
        <v>35</v>
      </c>
      <c r="F1531" s="0" t="s">
        <v>480</v>
      </c>
      <c r="G1531" s="0" t="s">
        <v>37</v>
      </c>
      <c r="H1531" s="0" t="s">
        <v>5465</v>
      </c>
      <c r="J1531" s="0" t="s">
        <v>5465</v>
      </c>
      <c r="M1531" s="0" t="s">
        <v>5466</v>
      </c>
      <c r="O1531" s="0" t="s">
        <v>5467</v>
      </c>
      <c r="P1531" s="0" t="n">
        <v>1960</v>
      </c>
      <c r="Q1531" s="0" t="s">
        <v>39</v>
      </c>
      <c r="R1531" s="0" t="s">
        <v>5468</v>
      </c>
      <c r="S1531" s="0" t="s">
        <v>5469</v>
      </c>
      <c r="T1531" s="0" t="s">
        <v>5473</v>
      </c>
      <c r="V1531" s="0" t="n">
        <v>1</v>
      </c>
      <c r="W1531" s="0" t="n">
        <v>1</v>
      </c>
      <c r="X1531" s="0" t="str">
        <f aca="false">"31811013850857"</f>
        <v>31811013850857</v>
      </c>
      <c r="Y1531" s="0" t="s">
        <v>39</v>
      </c>
      <c r="Z1531" s="0" t="s">
        <v>42</v>
      </c>
      <c r="AA1531" s="0" t="s">
        <v>622</v>
      </c>
      <c r="AE1531" s="1" t="s">
        <v>52</v>
      </c>
      <c r="AF1531" s="1" t="s">
        <v>5471</v>
      </c>
      <c r="AG1531" s="0" t="n">
        <v>4487</v>
      </c>
    </row>
    <row r="1532" customFormat="false" ht="12.8" hidden="false" customHeight="false" outlineLevel="0" collapsed="false">
      <c r="A1532" s="0" t="n">
        <v>445627</v>
      </c>
      <c r="B1532" s="0" t="n">
        <v>604993</v>
      </c>
      <c r="C1532" s="0" t="n">
        <v>816315</v>
      </c>
      <c r="D1532" s="0" t="s">
        <v>35</v>
      </c>
      <c r="E1532" s="0" t="s">
        <v>35</v>
      </c>
      <c r="F1532" s="0" t="s">
        <v>480</v>
      </c>
      <c r="G1532" s="0" t="s">
        <v>37</v>
      </c>
      <c r="H1532" s="0" t="s">
        <v>5474</v>
      </c>
      <c r="J1532" s="0" t="s">
        <v>5465</v>
      </c>
      <c r="M1532" s="0" t="s">
        <v>5475</v>
      </c>
      <c r="N1532" s="1" t="s">
        <v>5476</v>
      </c>
      <c r="O1532" s="0" t="s">
        <v>5477</v>
      </c>
      <c r="P1532" s="0" t="n">
        <v>1992</v>
      </c>
      <c r="Q1532" s="0" t="s">
        <v>39</v>
      </c>
      <c r="R1532" s="0" t="s">
        <v>5478</v>
      </c>
      <c r="S1532" s="0" t="s">
        <v>5479</v>
      </c>
      <c r="T1532" s="0" t="n">
        <v>2011</v>
      </c>
      <c r="V1532" s="0" t="n">
        <v>1</v>
      </c>
      <c r="W1532" s="0" t="n">
        <v>1</v>
      </c>
      <c r="X1532" s="0" t="str">
        <f aca="false">"31811013782746"</f>
        <v>31811013782746</v>
      </c>
      <c r="Y1532" s="0" t="s">
        <v>39</v>
      </c>
      <c r="Z1532" s="0" t="s">
        <v>42</v>
      </c>
      <c r="AA1532" s="0" t="s">
        <v>622</v>
      </c>
      <c r="AE1532" s="1" t="s">
        <v>52</v>
      </c>
      <c r="AF1532" s="1" t="s">
        <v>5471</v>
      </c>
      <c r="AG1532" s="0" t="n">
        <v>3545</v>
      </c>
    </row>
    <row r="1533" customFormat="false" ht="12.8" hidden="false" customHeight="false" outlineLevel="0" collapsed="false">
      <c r="A1533" s="0" t="n">
        <v>445627</v>
      </c>
      <c r="B1533" s="0" t="n">
        <v>604993</v>
      </c>
      <c r="C1533" s="0" t="n">
        <v>827830</v>
      </c>
      <c r="D1533" s="0" t="s">
        <v>35</v>
      </c>
      <c r="E1533" s="0" t="s">
        <v>35</v>
      </c>
      <c r="F1533" s="0" t="s">
        <v>480</v>
      </c>
      <c r="G1533" s="0" t="s">
        <v>37</v>
      </c>
      <c r="H1533" s="0" t="s">
        <v>5474</v>
      </c>
      <c r="J1533" s="0" t="s">
        <v>5465</v>
      </c>
      <c r="M1533" s="0" t="s">
        <v>5475</v>
      </c>
      <c r="N1533" s="1" t="s">
        <v>5476</v>
      </c>
      <c r="O1533" s="0" t="s">
        <v>5477</v>
      </c>
      <c r="P1533" s="0" t="n">
        <v>1992</v>
      </c>
      <c r="Q1533" s="0" t="s">
        <v>39</v>
      </c>
      <c r="R1533" s="0" t="s">
        <v>5478</v>
      </c>
      <c r="S1533" s="0" t="s">
        <v>5479</v>
      </c>
      <c r="T1533" s="0" t="n">
        <v>2012</v>
      </c>
      <c r="V1533" s="0" t="n">
        <v>1</v>
      </c>
      <c r="W1533" s="0" t="n">
        <v>1</v>
      </c>
      <c r="X1533" s="0" t="str">
        <f aca="false">"31811013903185"</f>
        <v>31811013903185</v>
      </c>
      <c r="Y1533" s="0" t="s">
        <v>39</v>
      </c>
      <c r="Z1533" s="0" t="s">
        <v>42</v>
      </c>
      <c r="AA1533" s="0" t="s">
        <v>622</v>
      </c>
      <c r="AE1533" s="1" t="s">
        <v>52</v>
      </c>
      <c r="AF1533" s="1" t="s">
        <v>5471</v>
      </c>
      <c r="AG1533" s="0" t="n">
        <v>3545</v>
      </c>
    </row>
    <row r="1534" customFormat="false" ht="12.8" hidden="false" customHeight="false" outlineLevel="0" collapsed="false">
      <c r="A1534" s="0" t="n">
        <v>74633</v>
      </c>
      <c r="B1534" s="0" t="n">
        <v>80885</v>
      </c>
      <c r="C1534" s="0" t="n">
        <v>90610</v>
      </c>
      <c r="D1534" s="0" t="s">
        <v>35</v>
      </c>
      <c r="E1534" s="0" t="s">
        <v>35</v>
      </c>
      <c r="F1534" s="0" t="s">
        <v>480</v>
      </c>
      <c r="G1534" s="0" t="s">
        <v>37</v>
      </c>
      <c r="H1534" s="0" t="s">
        <v>5480</v>
      </c>
      <c r="J1534" s="0" t="s">
        <v>5480</v>
      </c>
      <c r="M1534" s="0" t="s">
        <v>5481</v>
      </c>
      <c r="O1534" s="0" t="s">
        <v>5467</v>
      </c>
      <c r="P1534" s="0" t="n">
        <v>1971</v>
      </c>
      <c r="Q1534" s="0" t="s">
        <v>39</v>
      </c>
      <c r="R1534" s="0" t="s">
        <v>5482</v>
      </c>
      <c r="S1534" s="0" t="s">
        <v>5483</v>
      </c>
      <c r="T1534" s="0" t="s">
        <v>5484</v>
      </c>
      <c r="V1534" s="0" t="n">
        <v>1</v>
      </c>
      <c r="W1534" s="0" t="n">
        <v>1</v>
      </c>
      <c r="X1534" s="0" t="str">
        <f aca="false">"31811011802520"</f>
        <v>31811011802520</v>
      </c>
      <c r="Y1534" s="0" t="s">
        <v>39</v>
      </c>
      <c r="Z1534" s="0" t="s">
        <v>42</v>
      </c>
      <c r="AA1534" s="0" t="s">
        <v>622</v>
      </c>
      <c r="AE1534" s="1" t="s">
        <v>52</v>
      </c>
    </row>
    <row r="1535" customFormat="false" ht="12.8" hidden="false" customHeight="false" outlineLevel="0" collapsed="false">
      <c r="A1535" s="0" t="n">
        <v>542621</v>
      </c>
      <c r="B1535" s="0" t="n">
        <v>580954</v>
      </c>
      <c r="C1535" s="0" t="n">
        <v>657099</v>
      </c>
      <c r="D1535" s="0" t="s">
        <v>35</v>
      </c>
      <c r="E1535" s="0" t="s">
        <v>35</v>
      </c>
      <c r="F1535" s="0" t="s">
        <v>36</v>
      </c>
      <c r="G1535" s="0" t="s">
        <v>37</v>
      </c>
      <c r="H1535" s="0" t="s">
        <v>5485</v>
      </c>
      <c r="J1535" s="0" t="s">
        <v>5485</v>
      </c>
      <c r="L1535" s="0" t="n">
        <v>3892044406</v>
      </c>
      <c r="M1535" s="0" t="s">
        <v>5486</v>
      </c>
      <c r="N1535" s="0" t="n">
        <v>1999</v>
      </c>
      <c r="O1535" s="0" t="s">
        <v>5487</v>
      </c>
      <c r="P1535" s="0" t="n">
        <v>1999</v>
      </c>
      <c r="Q1535" s="0" t="s">
        <v>39</v>
      </c>
      <c r="R1535" s="0" t="s">
        <v>5488</v>
      </c>
      <c r="S1535" s="0" t="s">
        <v>5489</v>
      </c>
      <c r="V1535" s="0" t="n">
        <v>1</v>
      </c>
      <c r="W1535" s="0" t="n">
        <v>1</v>
      </c>
      <c r="X1535" s="0" t="str">
        <f aca="false">"31811012424688"</f>
        <v>31811012424688</v>
      </c>
      <c r="Y1535" s="0" t="s">
        <v>39</v>
      </c>
      <c r="Z1535" s="0" t="s">
        <v>42</v>
      </c>
      <c r="AA1535" s="0" t="s">
        <v>43</v>
      </c>
      <c r="AE1535" s="1" t="s">
        <v>52</v>
      </c>
    </row>
    <row r="1536" customFormat="false" ht="12.8" hidden="false" customHeight="false" outlineLevel="0" collapsed="false">
      <c r="A1536" s="0" t="n">
        <v>433410</v>
      </c>
      <c r="B1536" s="0" t="n">
        <v>466804</v>
      </c>
      <c r="C1536" s="0" t="n">
        <v>521215</v>
      </c>
      <c r="D1536" s="0" t="s">
        <v>35</v>
      </c>
      <c r="E1536" s="0" t="s">
        <v>35</v>
      </c>
      <c r="F1536" s="0" t="s">
        <v>36</v>
      </c>
      <c r="G1536" s="0" t="s">
        <v>37</v>
      </c>
      <c r="H1536" s="0" t="s">
        <v>5490</v>
      </c>
      <c r="I1536" s="0" t="s">
        <v>5491</v>
      </c>
      <c r="J1536" s="0" t="s">
        <v>5492</v>
      </c>
      <c r="M1536" s="0" t="s">
        <v>5493</v>
      </c>
      <c r="N1536" s="0" t="s">
        <v>1000</v>
      </c>
      <c r="O1536" s="0" t="s">
        <v>3366</v>
      </c>
      <c r="P1536" s="0" t="n">
        <v>1992</v>
      </c>
      <c r="Q1536" s="0" t="s">
        <v>39</v>
      </c>
      <c r="R1536" s="0" t="s">
        <v>5494</v>
      </c>
      <c r="S1536" s="0" t="s">
        <v>5495</v>
      </c>
      <c r="V1536" s="0" t="n">
        <v>1</v>
      </c>
      <c r="W1536" s="0" t="n">
        <v>1</v>
      </c>
      <c r="X1536" s="0" t="str">
        <f aca="false">"31811010845652"</f>
        <v>31811010845652</v>
      </c>
      <c r="Y1536" s="0" t="s">
        <v>39</v>
      </c>
      <c r="Z1536" s="0" t="s">
        <v>42</v>
      </c>
      <c r="AA1536" s="0" t="s">
        <v>43</v>
      </c>
      <c r="AE1536" s="1" t="s">
        <v>52</v>
      </c>
    </row>
    <row r="1537" customFormat="false" ht="12.8" hidden="false" customHeight="false" outlineLevel="0" collapsed="false">
      <c r="A1537" s="0" t="n">
        <v>222083</v>
      </c>
      <c r="B1537" s="0" t="n">
        <v>243637</v>
      </c>
      <c r="C1537" s="0" t="n">
        <v>274542</v>
      </c>
      <c r="D1537" s="0" t="s">
        <v>35</v>
      </c>
      <c r="E1537" s="0" t="s">
        <v>35</v>
      </c>
      <c r="F1537" s="0" t="s">
        <v>36</v>
      </c>
      <c r="G1537" s="0" t="s">
        <v>37</v>
      </c>
      <c r="H1537" s="0" t="s">
        <v>5496</v>
      </c>
      <c r="I1537" s="0" t="s">
        <v>5497</v>
      </c>
      <c r="J1537" s="0" t="s">
        <v>5498</v>
      </c>
      <c r="M1537" s="0" t="s">
        <v>5499</v>
      </c>
      <c r="N1537" s="0" t="n">
        <v>1946</v>
      </c>
      <c r="O1537" s="0" t="s">
        <v>5444</v>
      </c>
      <c r="P1537" s="0" t="n">
        <v>1946</v>
      </c>
      <c r="Q1537" s="0" t="s">
        <v>39</v>
      </c>
      <c r="R1537" s="0" t="s">
        <v>5500</v>
      </c>
      <c r="S1537" s="0" t="s">
        <v>5501</v>
      </c>
      <c r="V1537" s="0" t="n">
        <v>1</v>
      </c>
      <c r="W1537" s="0" t="n">
        <v>1</v>
      </c>
      <c r="X1537" s="0" t="str">
        <f aca="false">"31811010748146"</f>
        <v>31811010748146</v>
      </c>
      <c r="Y1537" s="0" t="s">
        <v>39</v>
      </c>
      <c r="Z1537" s="0" t="s">
        <v>42</v>
      </c>
      <c r="AA1537" s="0" t="s">
        <v>43</v>
      </c>
      <c r="AE1537" s="1" t="s">
        <v>52</v>
      </c>
    </row>
    <row r="1538" customFormat="false" ht="12.8" hidden="false" customHeight="false" outlineLevel="0" collapsed="false">
      <c r="A1538" s="0" t="n">
        <v>187754</v>
      </c>
      <c r="B1538" s="0" t="n">
        <v>205541</v>
      </c>
      <c r="C1538" s="0" t="n">
        <v>230976</v>
      </c>
      <c r="D1538" s="0" t="s">
        <v>35</v>
      </c>
      <c r="E1538" s="0" t="s">
        <v>35</v>
      </c>
      <c r="F1538" s="0" t="s">
        <v>36</v>
      </c>
      <c r="G1538" s="0" t="s">
        <v>37</v>
      </c>
      <c r="H1538" s="0" t="s">
        <v>5502</v>
      </c>
      <c r="I1538" s="0" t="s">
        <v>3451</v>
      </c>
      <c r="J1538" s="0" t="s">
        <v>5502</v>
      </c>
      <c r="M1538" s="0" t="s">
        <v>5503</v>
      </c>
      <c r="N1538" s="0" t="n">
        <v>1954</v>
      </c>
      <c r="O1538" s="0" t="s">
        <v>5444</v>
      </c>
      <c r="P1538" s="0" t="n">
        <v>1954</v>
      </c>
      <c r="Q1538" s="0" t="s">
        <v>39</v>
      </c>
      <c r="R1538" s="0" t="s">
        <v>5504</v>
      </c>
      <c r="S1538" s="0" t="s">
        <v>5505</v>
      </c>
      <c r="V1538" s="0" t="n">
        <v>1</v>
      </c>
      <c r="W1538" s="0" t="n">
        <v>1</v>
      </c>
      <c r="X1538" s="0" t="str">
        <f aca="false">"31811010748153"</f>
        <v>31811010748153</v>
      </c>
      <c r="Y1538" s="0" t="s">
        <v>39</v>
      </c>
      <c r="Z1538" s="0" t="s">
        <v>42</v>
      </c>
      <c r="AA1538" s="0" t="s">
        <v>43</v>
      </c>
      <c r="AE1538" s="1" t="s">
        <v>52</v>
      </c>
    </row>
    <row r="1539" customFormat="false" ht="12.8" hidden="false" customHeight="false" outlineLevel="0" collapsed="false">
      <c r="A1539" s="0" t="n">
        <v>322599</v>
      </c>
      <c r="B1539" s="0" t="n">
        <v>350924</v>
      </c>
      <c r="C1539" s="0" t="n">
        <v>391636</v>
      </c>
      <c r="D1539" s="0" t="s">
        <v>35</v>
      </c>
      <c r="E1539" s="0" t="s">
        <v>35</v>
      </c>
      <c r="F1539" s="0" t="s">
        <v>36</v>
      </c>
      <c r="G1539" s="0" t="s">
        <v>37</v>
      </c>
      <c r="H1539" s="0" t="s">
        <v>5506</v>
      </c>
      <c r="I1539" s="0" t="s">
        <v>5507</v>
      </c>
      <c r="J1539" s="0" t="s">
        <v>5508</v>
      </c>
      <c r="M1539" s="0" t="s">
        <v>5509</v>
      </c>
      <c r="N1539" s="0" t="n">
        <v>1964</v>
      </c>
      <c r="O1539" s="0" t="s">
        <v>5510</v>
      </c>
      <c r="P1539" s="0" t="n">
        <v>1964</v>
      </c>
      <c r="Q1539" s="0" t="s">
        <v>39</v>
      </c>
      <c r="R1539" s="0" t="s">
        <v>5511</v>
      </c>
      <c r="S1539" s="0" t="s">
        <v>5512</v>
      </c>
      <c r="V1539" s="0" t="n">
        <v>1</v>
      </c>
      <c r="W1539" s="0" t="n">
        <v>1</v>
      </c>
      <c r="X1539" s="0" t="str">
        <f aca="false">"31811010748161"</f>
        <v>31811010748161</v>
      </c>
      <c r="Y1539" s="0" t="s">
        <v>39</v>
      </c>
      <c r="Z1539" s="0" t="s">
        <v>42</v>
      </c>
      <c r="AA1539" s="0" t="s">
        <v>43</v>
      </c>
      <c r="AE1539" s="1" t="s">
        <v>52</v>
      </c>
    </row>
    <row r="1540" customFormat="false" ht="12.8" hidden="false" customHeight="false" outlineLevel="0" collapsed="false">
      <c r="A1540" s="0" t="n">
        <v>96630</v>
      </c>
      <c r="B1540" s="0" t="n">
        <v>104304</v>
      </c>
      <c r="C1540" s="0" t="n">
        <v>116853</v>
      </c>
      <c r="D1540" s="0" t="s">
        <v>35</v>
      </c>
      <c r="E1540" s="0" t="s">
        <v>35</v>
      </c>
      <c r="F1540" s="0" t="s">
        <v>36</v>
      </c>
      <c r="G1540" s="0" t="s">
        <v>37</v>
      </c>
      <c r="H1540" s="0" t="s">
        <v>5513</v>
      </c>
      <c r="J1540" s="0" t="s">
        <v>5514</v>
      </c>
      <c r="L1540" s="0" t="s">
        <v>5515</v>
      </c>
      <c r="M1540" s="0" t="s">
        <v>5516</v>
      </c>
      <c r="N1540" s="0" t="s">
        <v>880</v>
      </c>
      <c r="O1540" s="0" t="s">
        <v>5517</v>
      </c>
      <c r="P1540" s="0" t="n">
        <v>1984</v>
      </c>
      <c r="Q1540" s="0" t="s">
        <v>39</v>
      </c>
      <c r="R1540" s="0" t="s">
        <v>5518</v>
      </c>
      <c r="S1540" s="0" t="s">
        <v>5519</v>
      </c>
      <c r="V1540" s="0" t="n">
        <v>1</v>
      </c>
      <c r="W1540" s="0" t="n">
        <v>1</v>
      </c>
      <c r="X1540" s="0" t="str">
        <f aca="false">"31811010748195"</f>
        <v>31811010748195</v>
      </c>
      <c r="Y1540" s="0" t="s">
        <v>39</v>
      </c>
      <c r="Z1540" s="0" t="s">
        <v>42</v>
      </c>
      <c r="AA1540" s="0" t="s">
        <v>43</v>
      </c>
      <c r="AE1540" s="1" t="s">
        <v>52</v>
      </c>
    </row>
    <row r="1541" customFormat="false" ht="12.8" hidden="false" customHeight="false" outlineLevel="0" collapsed="false">
      <c r="A1541" s="0" t="n">
        <v>14990</v>
      </c>
      <c r="B1541" s="0" t="n">
        <v>17037</v>
      </c>
      <c r="C1541" s="0" t="n">
        <v>19977</v>
      </c>
      <c r="D1541" s="0" t="s">
        <v>35</v>
      </c>
      <c r="E1541" s="0" t="s">
        <v>35</v>
      </c>
      <c r="F1541" s="0" t="s">
        <v>36</v>
      </c>
      <c r="G1541" s="0" t="s">
        <v>37</v>
      </c>
      <c r="H1541" s="0" t="s">
        <v>5520</v>
      </c>
      <c r="I1541" s="0" t="s">
        <v>5521</v>
      </c>
      <c r="J1541" s="0" t="s">
        <v>5522</v>
      </c>
      <c r="L1541" s="1" t="s">
        <v>5523</v>
      </c>
      <c r="M1541" s="0" t="s">
        <v>5524</v>
      </c>
      <c r="N1541" s="0" t="s">
        <v>1596</v>
      </c>
      <c r="O1541" s="0" t="s">
        <v>5525</v>
      </c>
      <c r="P1541" s="0" t="n">
        <v>1982</v>
      </c>
      <c r="Q1541" s="0" t="s">
        <v>39</v>
      </c>
      <c r="R1541" s="0" t="s">
        <v>5526</v>
      </c>
      <c r="S1541" s="0" t="s">
        <v>5527</v>
      </c>
      <c r="V1541" s="0" t="n">
        <v>1</v>
      </c>
      <c r="W1541" s="0" t="n">
        <v>1</v>
      </c>
      <c r="X1541" s="0" t="str">
        <f aca="false">"31811010748229"</f>
        <v>31811010748229</v>
      </c>
      <c r="Y1541" s="0" t="s">
        <v>39</v>
      </c>
      <c r="Z1541" s="0" t="s">
        <v>42</v>
      </c>
      <c r="AA1541" s="0" t="s">
        <v>43</v>
      </c>
      <c r="AE1541" s="1" t="s">
        <v>52</v>
      </c>
    </row>
    <row r="1542" customFormat="false" ht="12.8" hidden="false" customHeight="false" outlineLevel="0" collapsed="false">
      <c r="A1542" s="0" t="n">
        <v>454193</v>
      </c>
      <c r="B1542" s="0" t="n">
        <v>540495</v>
      </c>
      <c r="C1542" s="0" t="n">
        <v>773539</v>
      </c>
      <c r="D1542" s="0" t="s">
        <v>35</v>
      </c>
      <c r="E1542" s="0" t="s">
        <v>35</v>
      </c>
      <c r="F1542" s="0" t="s">
        <v>480</v>
      </c>
      <c r="G1542" s="0" t="s">
        <v>37</v>
      </c>
      <c r="H1542" s="0" t="s">
        <v>5528</v>
      </c>
      <c r="J1542" s="0" t="s">
        <v>5528</v>
      </c>
      <c r="M1542" s="0" t="s">
        <v>5529</v>
      </c>
      <c r="O1542" s="0" t="s">
        <v>5530</v>
      </c>
      <c r="P1542" s="0" t="n">
        <v>1954</v>
      </c>
      <c r="Q1542" s="0" t="s">
        <v>39</v>
      </c>
      <c r="R1542" s="0" t="s">
        <v>5531</v>
      </c>
      <c r="S1542" s="0" t="s">
        <v>5532</v>
      </c>
      <c r="T1542" s="0" t="s">
        <v>5533</v>
      </c>
      <c r="V1542" s="0" t="n">
        <v>1</v>
      </c>
      <c r="W1542" s="0" t="n">
        <v>1</v>
      </c>
      <c r="X1542" s="0" t="str">
        <f aca="false">"31811013189397"</f>
        <v>31811013189397</v>
      </c>
      <c r="Y1542" s="0" t="s">
        <v>39</v>
      </c>
      <c r="Z1542" s="0" t="s">
        <v>42</v>
      </c>
      <c r="AA1542" s="0" t="s">
        <v>622</v>
      </c>
      <c r="AE1542" s="1" t="s">
        <v>52</v>
      </c>
      <c r="AF1542" s="1" t="s">
        <v>5534</v>
      </c>
      <c r="AG1542" s="0" t="n">
        <v>10302</v>
      </c>
    </row>
    <row r="1543" customFormat="false" ht="12.8" hidden="false" customHeight="false" outlineLevel="0" collapsed="false">
      <c r="A1543" s="0" t="n">
        <v>333624</v>
      </c>
      <c r="B1543" s="0" t="n">
        <v>362260</v>
      </c>
      <c r="C1543" s="0" t="n">
        <v>403791</v>
      </c>
      <c r="D1543" s="0" t="s">
        <v>35</v>
      </c>
      <c r="E1543" s="0" t="s">
        <v>35</v>
      </c>
      <c r="F1543" s="0" t="s">
        <v>36</v>
      </c>
      <c r="G1543" s="0" t="s">
        <v>3382</v>
      </c>
      <c r="H1543" s="0" t="s">
        <v>5535</v>
      </c>
      <c r="I1543" s="0" t="s">
        <v>5536</v>
      </c>
      <c r="J1543" s="0" t="s">
        <v>5537</v>
      </c>
      <c r="M1543" s="0" t="s">
        <v>5538</v>
      </c>
      <c r="N1543" s="0" t="s">
        <v>4718</v>
      </c>
      <c r="O1543" s="0" t="s">
        <v>5539</v>
      </c>
      <c r="P1543" s="0" t="n">
        <v>1960</v>
      </c>
      <c r="Q1543" s="0" t="s">
        <v>39</v>
      </c>
      <c r="R1543" s="0" t="s">
        <v>5540</v>
      </c>
      <c r="S1543" s="0" t="s">
        <v>5541</v>
      </c>
      <c r="V1543" s="0" t="n">
        <v>1</v>
      </c>
      <c r="W1543" s="0" t="n">
        <v>1</v>
      </c>
      <c r="X1543" s="0" t="str">
        <f aca="false">"31811010748237"</f>
        <v>31811010748237</v>
      </c>
      <c r="Y1543" s="0" t="s">
        <v>39</v>
      </c>
      <c r="Z1543" s="0" t="s">
        <v>42</v>
      </c>
      <c r="AA1543" s="0" t="s">
        <v>43</v>
      </c>
      <c r="AE1543" s="1" t="s">
        <v>52</v>
      </c>
    </row>
    <row r="1544" customFormat="false" ht="12.8" hidden="false" customHeight="false" outlineLevel="0" collapsed="false">
      <c r="A1544" s="0" t="n">
        <v>516531</v>
      </c>
      <c r="B1544" s="0" t="n">
        <v>553829</v>
      </c>
      <c r="C1544" s="0" t="n">
        <v>625066</v>
      </c>
      <c r="D1544" s="0" t="s">
        <v>35</v>
      </c>
      <c r="E1544" s="0" t="s">
        <v>35</v>
      </c>
      <c r="F1544" s="0" t="s">
        <v>36</v>
      </c>
      <c r="G1544" s="0" t="s">
        <v>37</v>
      </c>
      <c r="H1544" s="0" t="s">
        <v>5542</v>
      </c>
      <c r="I1544" s="0" t="s">
        <v>5543</v>
      </c>
      <c r="J1544" s="0" t="s">
        <v>5542</v>
      </c>
      <c r="M1544" s="0" t="s">
        <v>5544</v>
      </c>
      <c r="N1544" s="0" t="s">
        <v>952</v>
      </c>
      <c r="O1544" s="0" t="s">
        <v>5545</v>
      </c>
      <c r="P1544" s="0" t="n">
        <v>1965</v>
      </c>
      <c r="Q1544" s="0" t="s">
        <v>39</v>
      </c>
      <c r="R1544" s="0" t="s">
        <v>5546</v>
      </c>
      <c r="S1544" s="0" t="s">
        <v>5547</v>
      </c>
      <c r="V1544" s="0" t="n">
        <v>1</v>
      </c>
      <c r="W1544" s="0" t="n">
        <v>1</v>
      </c>
      <c r="X1544" s="0" t="str">
        <f aca="false">"31811010898255"</f>
        <v>31811010898255</v>
      </c>
      <c r="Y1544" s="0" t="s">
        <v>39</v>
      </c>
      <c r="Z1544" s="0" t="s">
        <v>42</v>
      </c>
      <c r="AA1544" s="0" t="s">
        <v>43</v>
      </c>
      <c r="AE1544" s="1" t="s">
        <v>52</v>
      </c>
    </row>
    <row r="1545" customFormat="false" ht="12.8" hidden="false" customHeight="false" outlineLevel="0" collapsed="false">
      <c r="A1545" s="0" t="n">
        <v>491407</v>
      </c>
      <c r="B1545" s="0" t="n">
        <v>472387</v>
      </c>
      <c r="C1545" s="0" t="n">
        <v>528291</v>
      </c>
      <c r="D1545" s="0" t="s">
        <v>35</v>
      </c>
      <c r="E1545" s="0" t="s">
        <v>35</v>
      </c>
      <c r="F1545" s="0" t="s">
        <v>480</v>
      </c>
      <c r="G1545" s="0" t="s">
        <v>37</v>
      </c>
      <c r="H1545" s="0" t="s">
        <v>5548</v>
      </c>
      <c r="I1545" s="0" t="s">
        <v>5549</v>
      </c>
      <c r="J1545" s="0" t="s">
        <v>5548</v>
      </c>
      <c r="M1545" s="0" t="s">
        <v>5550</v>
      </c>
      <c r="O1545" s="0" t="s">
        <v>5551</v>
      </c>
      <c r="P1545" s="0" t="n">
        <v>1951</v>
      </c>
      <c r="Q1545" s="0" t="s">
        <v>39</v>
      </c>
      <c r="R1545" s="0" t="s">
        <v>5552</v>
      </c>
      <c r="S1545" s="0" t="s">
        <v>5553</v>
      </c>
      <c r="T1545" s="0" t="s">
        <v>3423</v>
      </c>
      <c r="V1545" s="0" t="n">
        <v>1</v>
      </c>
      <c r="W1545" s="0" t="n">
        <v>1</v>
      </c>
      <c r="X1545" s="0" t="str">
        <f aca="false">"31811011630038"</f>
        <v>31811011630038</v>
      </c>
      <c r="Y1545" s="0" t="s">
        <v>39</v>
      </c>
      <c r="Z1545" s="0" t="s">
        <v>42</v>
      </c>
      <c r="AA1545" s="0" t="s">
        <v>43</v>
      </c>
      <c r="AE1545" s="1" t="s">
        <v>52</v>
      </c>
    </row>
    <row r="1546" customFormat="false" ht="12.8" hidden="false" customHeight="false" outlineLevel="0" collapsed="false">
      <c r="A1546" s="0" t="n">
        <v>491407</v>
      </c>
      <c r="B1546" s="0" t="n">
        <v>472387</v>
      </c>
      <c r="C1546" s="0" t="n">
        <v>528292</v>
      </c>
      <c r="D1546" s="0" t="s">
        <v>35</v>
      </c>
      <c r="E1546" s="0" t="s">
        <v>35</v>
      </c>
      <c r="F1546" s="0" t="s">
        <v>480</v>
      </c>
      <c r="G1546" s="0" t="s">
        <v>37</v>
      </c>
      <c r="H1546" s="0" t="s">
        <v>5548</v>
      </c>
      <c r="I1546" s="0" t="s">
        <v>5549</v>
      </c>
      <c r="J1546" s="0" t="s">
        <v>5548</v>
      </c>
      <c r="M1546" s="0" t="s">
        <v>5550</v>
      </c>
      <c r="O1546" s="0" t="s">
        <v>5551</v>
      </c>
      <c r="P1546" s="0" t="n">
        <v>1951</v>
      </c>
      <c r="Q1546" s="0" t="s">
        <v>39</v>
      </c>
      <c r="R1546" s="0" t="s">
        <v>5552</v>
      </c>
      <c r="S1546" s="0" t="s">
        <v>5553</v>
      </c>
      <c r="T1546" s="0" t="s">
        <v>5554</v>
      </c>
      <c r="V1546" s="0" t="n">
        <v>1</v>
      </c>
      <c r="W1546" s="0" t="n">
        <v>1</v>
      </c>
      <c r="X1546" s="0" t="str">
        <f aca="false">"31811011629972"</f>
        <v>31811011629972</v>
      </c>
      <c r="Y1546" s="0" t="s">
        <v>39</v>
      </c>
      <c r="Z1546" s="0" t="s">
        <v>42</v>
      </c>
      <c r="AA1546" s="0" t="s">
        <v>43</v>
      </c>
      <c r="AE1546" s="1" t="s">
        <v>52</v>
      </c>
    </row>
    <row r="1547" customFormat="false" ht="12.8" hidden="false" customHeight="false" outlineLevel="0" collapsed="false">
      <c r="A1547" s="0" t="n">
        <v>491407</v>
      </c>
      <c r="B1547" s="0" t="n">
        <v>472387</v>
      </c>
      <c r="C1547" s="0" t="n">
        <v>528293</v>
      </c>
      <c r="D1547" s="0" t="s">
        <v>35</v>
      </c>
      <c r="E1547" s="0" t="s">
        <v>35</v>
      </c>
      <c r="F1547" s="0" t="s">
        <v>480</v>
      </c>
      <c r="G1547" s="0" t="s">
        <v>37</v>
      </c>
      <c r="H1547" s="0" t="s">
        <v>5548</v>
      </c>
      <c r="I1547" s="0" t="s">
        <v>5549</v>
      </c>
      <c r="J1547" s="0" t="s">
        <v>5548</v>
      </c>
      <c r="M1547" s="0" t="s">
        <v>5550</v>
      </c>
      <c r="O1547" s="0" t="s">
        <v>5551</v>
      </c>
      <c r="P1547" s="0" t="n">
        <v>1951</v>
      </c>
      <c r="Q1547" s="0" t="s">
        <v>39</v>
      </c>
      <c r="R1547" s="0" t="s">
        <v>5552</v>
      </c>
      <c r="S1547" s="0" t="s">
        <v>5553</v>
      </c>
      <c r="T1547" s="0" t="s">
        <v>5555</v>
      </c>
      <c r="V1547" s="0" t="n">
        <v>1</v>
      </c>
      <c r="W1547" s="0" t="n">
        <v>1</v>
      </c>
      <c r="X1547" s="0" t="str">
        <f aca="false">"31811011630020"</f>
        <v>31811011630020</v>
      </c>
      <c r="Y1547" s="0" t="s">
        <v>39</v>
      </c>
      <c r="Z1547" s="0" t="s">
        <v>42</v>
      </c>
      <c r="AA1547" s="0" t="s">
        <v>43</v>
      </c>
      <c r="AE1547" s="1" t="s">
        <v>52</v>
      </c>
    </row>
    <row r="1548" customFormat="false" ht="12.8" hidden="false" customHeight="false" outlineLevel="0" collapsed="false">
      <c r="A1548" s="0" t="n">
        <v>491407</v>
      </c>
      <c r="B1548" s="0" t="n">
        <v>472387</v>
      </c>
      <c r="C1548" s="0" t="n">
        <v>528294</v>
      </c>
      <c r="D1548" s="0" t="s">
        <v>35</v>
      </c>
      <c r="E1548" s="0" t="s">
        <v>35</v>
      </c>
      <c r="F1548" s="0" t="s">
        <v>480</v>
      </c>
      <c r="G1548" s="0" t="s">
        <v>37</v>
      </c>
      <c r="H1548" s="0" t="s">
        <v>5548</v>
      </c>
      <c r="I1548" s="0" t="s">
        <v>5549</v>
      </c>
      <c r="J1548" s="0" t="s">
        <v>5548</v>
      </c>
      <c r="M1548" s="0" t="s">
        <v>5550</v>
      </c>
      <c r="O1548" s="0" t="s">
        <v>5551</v>
      </c>
      <c r="P1548" s="0" t="n">
        <v>1951</v>
      </c>
      <c r="Q1548" s="0" t="s">
        <v>39</v>
      </c>
      <c r="R1548" s="0" t="s">
        <v>5552</v>
      </c>
      <c r="S1548" s="0" t="s">
        <v>5553</v>
      </c>
      <c r="T1548" s="0" t="s">
        <v>4905</v>
      </c>
      <c r="V1548" s="0" t="n">
        <v>1</v>
      </c>
      <c r="W1548" s="0" t="n">
        <v>1</v>
      </c>
      <c r="X1548" s="0" t="str">
        <f aca="false">"31811011630012"</f>
        <v>31811011630012</v>
      </c>
      <c r="Y1548" s="0" t="s">
        <v>39</v>
      </c>
      <c r="Z1548" s="0" t="s">
        <v>42</v>
      </c>
      <c r="AA1548" s="0" t="s">
        <v>43</v>
      </c>
      <c r="AE1548" s="1" t="s">
        <v>52</v>
      </c>
    </row>
    <row r="1549" customFormat="false" ht="12.8" hidden="false" customHeight="false" outlineLevel="0" collapsed="false">
      <c r="A1549" s="0" t="n">
        <v>491407</v>
      </c>
      <c r="B1549" s="0" t="n">
        <v>472387</v>
      </c>
      <c r="C1549" s="0" t="n">
        <v>528295</v>
      </c>
      <c r="D1549" s="0" t="s">
        <v>35</v>
      </c>
      <c r="E1549" s="0" t="s">
        <v>35</v>
      </c>
      <c r="F1549" s="0" t="s">
        <v>480</v>
      </c>
      <c r="G1549" s="0" t="s">
        <v>37</v>
      </c>
      <c r="H1549" s="0" t="s">
        <v>5548</v>
      </c>
      <c r="I1549" s="0" t="s">
        <v>5549</v>
      </c>
      <c r="J1549" s="0" t="s">
        <v>5548</v>
      </c>
      <c r="M1549" s="0" t="s">
        <v>5550</v>
      </c>
      <c r="O1549" s="0" t="s">
        <v>5551</v>
      </c>
      <c r="P1549" s="0" t="n">
        <v>1951</v>
      </c>
      <c r="Q1549" s="0" t="s">
        <v>39</v>
      </c>
      <c r="R1549" s="0" t="s">
        <v>5552</v>
      </c>
      <c r="S1549" s="0" t="s">
        <v>5553</v>
      </c>
      <c r="T1549" s="0" t="s">
        <v>5556</v>
      </c>
      <c r="V1549" s="0" t="n">
        <v>1</v>
      </c>
      <c r="W1549" s="0" t="n">
        <v>1</v>
      </c>
      <c r="X1549" s="0" t="str">
        <f aca="false">"31811011630087"</f>
        <v>31811011630087</v>
      </c>
      <c r="Y1549" s="0" t="s">
        <v>39</v>
      </c>
      <c r="Z1549" s="0" t="s">
        <v>42</v>
      </c>
      <c r="AA1549" s="0" t="s">
        <v>43</v>
      </c>
      <c r="AE1549" s="1" t="s">
        <v>52</v>
      </c>
    </row>
    <row r="1550" customFormat="false" ht="12.8" hidden="false" customHeight="false" outlineLevel="0" collapsed="false">
      <c r="A1550" s="0" t="n">
        <v>491407</v>
      </c>
      <c r="B1550" s="0" t="n">
        <v>472387</v>
      </c>
      <c r="C1550" s="0" t="n">
        <v>528296</v>
      </c>
      <c r="D1550" s="0" t="s">
        <v>35</v>
      </c>
      <c r="E1550" s="0" t="s">
        <v>35</v>
      </c>
      <c r="F1550" s="0" t="s">
        <v>480</v>
      </c>
      <c r="G1550" s="0" t="s">
        <v>37</v>
      </c>
      <c r="H1550" s="0" t="s">
        <v>5548</v>
      </c>
      <c r="I1550" s="0" t="s">
        <v>5549</v>
      </c>
      <c r="J1550" s="0" t="s">
        <v>5548</v>
      </c>
      <c r="M1550" s="0" t="s">
        <v>5550</v>
      </c>
      <c r="O1550" s="0" t="s">
        <v>5551</v>
      </c>
      <c r="P1550" s="0" t="n">
        <v>1951</v>
      </c>
      <c r="Q1550" s="0" t="s">
        <v>39</v>
      </c>
      <c r="R1550" s="0" t="s">
        <v>5552</v>
      </c>
      <c r="S1550" s="0" t="s">
        <v>5553</v>
      </c>
      <c r="T1550" s="0" t="s">
        <v>5557</v>
      </c>
      <c r="V1550" s="0" t="n">
        <v>1</v>
      </c>
      <c r="W1550" s="0" t="n">
        <v>1</v>
      </c>
      <c r="X1550" s="0" t="str">
        <f aca="false">"31811011630079"</f>
        <v>31811011630079</v>
      </c>
      <c r="Y1550" s="0" t="s">
        <v>39</v>
      </c>
      <c r="Z1550" s="0" t="s">
        <v>42</v>
      </c>
      <c r="AA1550" s="0" t="s">
        <v>43</v>
      </c>
      <c r="AE1550" s="1" t="s">
        <v>52</v>
      </c>
    </row>
    <row r="1551" customFormat="false" ht="12.8" hidden="false" customHeight="false" outlineLevel="0" collapsed="false">
      <c r="A1551" s="0" t="n">
        <v>491407</v>
      </c>
      <c r="B1551" s="0" t="n">
        <v>472387</v>
      </c>
      <c r="C1551" s="0" t="n">
        <v>528297</v>
      </c>
      <c r="D1551" s="0" t="s">
        <v>35</v>
      </c>
      <c r="E1551" s="0" t="s">
        <v>35</v>
      </c>
      <c r="F1551" s="0" t="s">
        <v>480</v>
      </c>
      <c r="G1551" s="0" t="s">
        <v>37</v>
      </c>
      <c r="H1551" s="0" t="s">
        <v>5548</v>
      </c>
      <c r="I1551" s="0" t="s">
        <v>5549</v>
      </c>
      <c r="J1551" s="0" t="s">
        <v>5548</v>
      </c>
      <c r="M1551" s="0" t="s">
        <v>5550</v>
      </c>
      <c r="O1551" s="0" t="s">
        <v>5551</v>
      </c>
      <c r="P1551" s="0" t="n">
        <v>1951</v>
      </c>
      <c r="Q1551" s="0" t="s">
        <v>39</v>
      </c>
      <c r="R1551" s="0" t="s">
        <v>5552</v>
      </c>
      <c r="S1551" s="0" t="s">
        <v>5553</v>
      </c>
      <c r="T1551" s="0" t="s">
        <v>3424</v>
      </c>
      <c r="V1551" s="0" t="n">
        <v>1</v>
      </c>
      <c r="W1551" s="0" t="n">
        <v>1</v>
      </c>
      <c r="X1551" s="0" t="str">
        <f aca="false">"31811011630061"</f>
        <v>31811011630061</v>
      </c>
      <c r="Y1551" s="0" t="s">
        <v>39</v>
      </c>
      <c r="Z1551" s="0" t="s">
        <v>42</v>
      </c>
      <c r="AA1551" s="0" t="s">
        <v>43</v>
      </c>
      <c r="AE1551" s="1" t="s">
        <v>52</v>
      </c>
    </row>
    <row r="1552" customFormat="false" ht="12.8" hidden="false" customHeight="false" outlineLevel="0" collapsed="false">
      <c r="A1552" s="0" t="n">
        <v>491407</v>
      </c>
      <c r="B1552" s="0" t="n">
        <v>472387</v>
      </c>
      <c r="C1552" s="0" t="n">
        <v>528298</v>
      </c>
      <c r="D1552" s="0" t="s">
        <v>35</v>
      </c>
      <c r="E1552" s="0" t="s">
        <v>35</v>
      </c>
      <c r="F1552" s="0" t="s">
        <v>480</v>
      </c>
      <c r="G1552" s="0" t="s">
        <v>37</v>
      </c>
      <c r="H1552" s="0" t="s">
        <v>5548</v>
      </c>
      <c r="I1552" s="0" t="s">
        <v>5549</v>
      </c>
      <c r="J1552" s="0" t="s">
        <v>5548</v>
      </c>
      <c r="M1552" s="0" t="s">
        <v>5550</v>
      </c>
      <c r="O1552" s="0" t="s">
        <v>5551</v>
      </c>
      <c r="P1552" s="0" t="n">
        <v>1951</v>
      </c>
      <c r="Q1552" s="0" t="s">
        <v>39</v>
      </c>
      <c r="R1552" s="0" t="s">
        <v>5552</v>
      </c>
      <c r="S1552" s="0" t="s">
        <v>5553</v>
      </c>
      <c r="T1552" s="0" t="s">
        <v>5558</v>
      </c>
      <c r="V1552" s="0" t="n">
        <v>1</v>
      </c>
      <c r="W1552" s="0" t="n">
        <v>1</v>
      </c>
      <c r="X1552" s="0" t="str">
        <f aca="false">"31811011630053"</f>
        <v>31811011630053</v>
      </c>
      <c r="Y1552" s="0" t="s">
        <v>39</v>
      </c>
      <c r="Z1552" s="0" t="s">
        <v>42</v>
      </c>
      <c r="AA1552" s="0" t="s">
        <v>43</v>
      </c>
      <c r="AE1552" s="1" t="s">
        <v>52</v>
      </c>
    </row>
    <row r="1553" customFormat="false" ht="12.8" hidden="false" customHeight="false" outlineLevel="0" collapsed="false">
      <c r="A1553" s="0" t="n">
        <v>491407</v>
      </c>
      <c r="B1553" s="0" t="n">
        <v>472387</v>
      </c>
      <c r="C1553" s="0" t="n">
        <v>528258</v>
      </c>
      <c r="D1553" s="0" t="s">
        <v>35</v>
      </c>
      <c r="E1553" s="0" t="s">
        <v>35</v>
      </c>
      <c r="F1553" s="0" t="s">
        <v>480</v>
      </c>
      <c r="G1553" s="0" t="s">
        <v>37</v>
      </c>
      <c r="H1553" s="0" t="s">
        <v>5548</v>
      </c>
      <c r="I1553" s="0" t="s">
        <v>5549</v>
      </c>
      <c r="J1553" s="0" t="s">
        <v>5548</v>
      </c>
      <c r="M1553" s="0" t="s">
        <v>5550</v>
      </c>
      <c r="O1553" s="0" t="s">
        <v>5551</v>
      </c>
      <c r="P1553" s="0" t="n">
        <v>1951</v>
      </c>
      <c r="Q1553" s="0" t="s">
        <v>39</v>
      </c>
      <c r="R1553" s="0" t="s">
        <v>5552</v>
      </c>
      <c r="S1553" s="0" t="s">
        <v>5553</v>
      </c>
      <c r="T1553" s="0" t="s">
        <v>5559</v>
      </c>
      <c r="V1553" s="0" t="n">
        <v>1</v>
      </c>
      <c r="W1553" s="0" t="n">
        <v>1</v>
      </c>
      <c r="X1553" s="0" t="str">
        <f aca="false">"31811011630301"</f>
        <v>31811011630301</v>
      </c>
      <c r="Y1553" s="0" t="s">
        <v>39</v>
      </c>
      <c r="Z1553" s="0" t="s">
        <v>42</v>
      </c>
      <c r="AA1553" s="0" t="s">
        <v>43</v>
      </c>
      <c r="AE1553" s="1" t="s">
        <v>52</v>
      </c>
    </row>
    <row r="1554" customFormat="false" ht="12.8" hidden="false" customHeight="false" outlineLevel="0" collapsed="false">
      <c r="A1554" s="0" t="n">
        <v>491407</v>
      </c>
      <c r="B1554" s="0" t="n">
        <v>472387</v>
      </c>
      <c r="C1554" s="0" t="n">
        <v>528259</v>
      </c>
      <c r="D1554" s="0" t="s">
        <v>35</v>
      </c>
      <c r="E1554" s="0" t="s">
        <v>35</v>
      </c>
      <c r="F1554" s="0" t="s">
        <v>480</v>
      </c>
      <c r="G1554" s="0" t="s">
        <v>37</v>
      </c>
      <c r="H1554" s="0" t="s">
        <v>5548</v>
      </c>
      <c r="I1554" s="0" t="s">
        <v>5549</v>
      </c>
      <c r="J1554" s="0" t="s">
        <v>5548</v>
      </c>
      <c r="M1554" s="0" t="s">
        <v>5550</v>
      </c>
      <c r="O1554" s="0" t="s">
        <v>5551</v>
      </c>
      <c r="P1554" s="0" t="n">
        <v>1951</v>
      </c>
      <c r="Q1554" s="0" t="s">
        <v>39</v>
      </c>
      <c r="R1554" s="0" t="s">
        <v>5552</v>
      </c>
      <c r="S1554" s="0" t="s">
        <v>5553</v>
      </c>
      <c r="T1554" s="0" t="s">
        <v>5560</v>
      </c>
      <c r="V1554" s="0" t="n">
        <v>1</v>
      </c>
      <c r="W1554" s="0" t="n">
        <v>1</v>
      </c>
      <c r="X1554" s="0" t="str">
        <f aca="false">"31811011630293"</f>
        <v>31811011630293</v>
      </c>
      <c r="Y1554" s="0" t="s">
        <v>39</v>
      </c>
      <c r="Z1554" s="0" t="s">
        <v>42</v>
      </c>
      <c r="AA1554" s="0" t="s">
        <v>43</v>
      </c>
      <c r="AE1554" s="1" t="s">
        <v>52</v>
      </c>
    </row>
    <row r="1555" customFormat="false" ht="12.8" hidden="false" customHeight="false" outlineLevel="0" collapsed="false">
      <c r="A1555" s="0" t="n">
        <v>491407</v>
      </c>
      <c r="B1555" s="0" t="n">
        <v>472387</v>
      </c>
      <c r="C1555" s="0" t="n">
        <v>528260</v>
      </c>
      <c r="D1555" s="0" t="s">
        <v>35</v>
      </c>
      <c r="E1555" s="0" t="s">
        <v>35</v>
      </c>
      <c r="F1555" s="0" t="s">
        <v>480</v>
      </c>
      <c r="G1555" s="0" t="s">
        <v>37</v>
      </c>
      <c r="H1555" s="0" t="s">
        <v>5548</v>
      </c>
      <c r="I1555" s="0" t="s">
        <v>5549</v>
      </c>
      <c r="J1555" s="0" t="s">
        <v>5548</v>
      </c>
      <c r="M1555" s="0" t="s">
        <v>5550</v>
      </c>
      <c r="O1555" s="0" t="s">
        <v>5551</v>
      </c>
      <c r="P1555" s="0" t="n">
        <v>1951</v>
      </c>
      <c r="Q1555" s="0" t="s">
        <v>39</v>
      </c>
      <c r="R1555" s="0" t="s">
        <v>5552</v>
      </c>
      <c r="S1555" s="0" t="s">
        <v>5553</v>
      </c>
      <c r="T1555" s="0" t="s">
        <v>5561</v>
      </c>
      <c r="V1555" s="0" t="n">
        <v>1</v>
      </c>
      <c r="W1555" s="0" t="n">
        <v>1</v>
      </c>
      <c r="X1555" s="0" t="str">
        <f aca="false">"31811011630285"</f>
        <v>31811011630285</v>
      </c>
      <c r="Y1555" s="0" t="s">
        <v>39</v>
      </c>
      <c r="Z1555" s="0" t="s">
        <v>42</v>
      </c>
      <c r="AA1555" s="0" t="s">
        <v>43</v>
      </c>
      <c r="AE1555" s="1" t="s">
        <v>52</v>
      </c>
    </row>
    <row r="1556" customFormat="false" ht="12.8" hidden="false" customHeight="false" outlineLevel="0" collapsed="false">
      <c r="A1556" s="0" t="n">
        <v>491407</v>
      </c>
      <c r="B1556" s="0" t="n">
        <v>472387</v>
      </c>
      <c r="C1556" s="0" t="n">
        <v>528261</v>
      </c>
      <c r="D1556" s="0" t="s">
        <v>35</v>
      </c>
      <c r="E1556" s="0" t="s">
        <v>35</v>
      </c>
      <c r="F1556" s="0" t="s">
        <v>480</v>
      </c>
      <c r="G1556" s="0" t="s">
        <v>37</v>
      </c>
      <c r="H1556" s="0" t="s">
        <v>5548</v>
      </c>
      <c r="I1556" s="0" t="s">
        <v>5549</v>
      </c>
      <c r="J1556" s="0" t="s">
        <v>5548</v>
      </c>
      <c r="M1556" s="0" t="s">
        <v>5550</v>
      </c>
      <c r="O1556" s="0" t="s">
        <v>5551</v>
      </c>
      <c r="P1556" s="0" t="n">
        <v>1951</v>
      </c>
      <c r="Q1556" s="0" t="s">
        <v>39</v>
      </c>
      <c r="R1556" s="0" t="s">
        <v>5552</v>
      </c>
      <c r="S1556" s="0" t="s">
        <v>5553</v>
      </c>
      <c r="T1556" s="0" t="s">
        <v>5562</v>
      </c>
      <c r="V1556" s="0" t="n">
        <v>1</v>
      </c>
      <c r="W1556" s="0" t="n">
        <v>1</v>
      </c>
      <c r="X1556" s="0" t="str">
        <f aca="false">"31811011630277"</f>
        <v>31811011630277</v>
      </c>
      <c r="Y1556" s="0" t="s">
        <v>39</v>
      </c>
      <c r="Z1556" s="0" t="s">
        <v>42</v>
      </c>
      <c r="AA1556" s="0" t="s">
        <v>43</v>
      </c>
      <c r="AE1556" s="1" t="s">
        <v>52</v>
      </c>
    </row>
    <row r="1557" customFormat="false" ht="12.8" hidden="false" customHeight="false" outlineLevel="0" collapsed="false">
      <c r="A1557" s="0" t="n">
        <v>491407</v>
      </c>
      <c r="B1557" s="0" t="n">
        <v>472387</v>
      </c>
      <c r="C1557" s="0" t="n">
        <v>528262</v>
      </c>
      <c r="D1557" s="0" t="s">
        <v>35</v>
      </c>
      <c r="E1557" s="0" t="s">
        <v>35</v>
      </c>
      <c r="F1557" s="0" t="s">
        <v>480</v>
      </c>
      <c r="G1557" s="0" t="s">
        <v>37</v>
      </c>
      <c r="H1557" s="0" t="s">
        <v>5548</v>
      </c>
      <c r="I1557" s="0" t="s">
        <v>5549</v>
      </c>
      <c r="J1557" s="0" t="s">
        <v>5548</v>
      </c>
      <c r="M1557" s="0" t="s">
        <v>5550</v>
      </c>
      <c r="O1557" s="0" t="s">
        <v>5551</v>
      </c>
      <c r="P1557" s="0" t="n">
        <v>1951</v>
      </c>
      <c r="Q1557" s="0" t="s">
        <v>39</v>
      </c>
      <c r="R1557" s="0" t="s">
        <v>5552</v>
      </c>
      <c r="S1557" s="0" t="s">
        <v>5553</v>
      </c>
      <c r="T1557" s="0" t="s">
        <v>5563</v>
      </c>
      <c r="V1557" s="0" t="n">
        <v>1</v>
      </c>
      <c r="W1557" s="0" t="n">
        <v>1</v>
      </c>
      <c r="X1557" s="0" t="str">
        <f aca="false">"31811011630269"</f>
        <v>31811011630269</v>
      </c>
      <c r="Y1557" s="0" t="s">
        <v>39</v>
      </c>
      <c r="Z1557" s="0" t="s">
        <v>42</v>
      </c>
      <c r="AA1557" s="0" t="s">
        <v>43</v>
      </c>
      <c r="AE1557" s="1" t="s">
        <v>52</v>
      </c>
    </row>
    <row r="1558" customFormat="false" ht="12.8" hidden="false" customHeight="false" outlineLevel="0" collapsed="false">
      <c r="A1558" s="0" t="n">
        <v>491407</v>
      </c>
      <c r="B1558" s="0" t="n">
        <v>472387</v>
      </c>
      <c r="C1558" s="0" t="n">
        <v>528263</v>
      </c>
      <c r="D1558" s="0" t="s">
        <v>35</v>
      </c>
      <c r="E1558" s="0" t="s">
        <v>35</v>
      </c>
      <c r="F1558" s="0" t="s">
        <v>480</v>
      </c>
      <c r="G1558" s="0" t="s">
        <v>37</v>
      </c>
      <c r="H1558" s="0" t="s">
        <v>5548</v>
      </c>
      <c r="I1558" s="0" t="s">
        <v>5549</v>
      </c>
      <c r="J1558" s="0" t="s">
        <v>5548</v>
      </c>
      <c r="M1558" s="0" t="s">
        <v>5550</v>
      </c>
      <c r="O1558" s="0" t="s">
        <v>5551</v>
      </c>
      <c r="P1558" s="0" t="n">
        <v>1951</v>
      </c>
      <c r="Q1558" s="0" t="s">
        <v>39</v>
      </c>
      <c r="R1558" s="0" t="s">
        <v>5552</v>
      </c>
      <c r="S1558" s="0" t="s">
        <v>5553</v>
      </c>
      <c r="T1558" s="0" t="s">
        <v>5564</v>
      </c>
      <c r="V1558" s="0" t="n">
        <v>1</v>
      </c>
      <c r="W1558" s="0" t="n">
        <v>1</v>
      </c>
      <c r="X1558" s="0" t="str">
        <f aca="false">"31811011630251"</f>
        <v>31811011630251</v>
      </c>
      <c r="Y1558" s="0" t="s">
        <v>39</v>
      </c>
      <c r="Z1558" s="0" t="s">
        <v>42</v>
      </c>
      <c r="AA1558" s="0" t="s">
        <v>43</v>
      </c>
      <c r="AE1558" s="1" t="s">
        <v>52</v>
      </c>
    </row>
    <row r="1559" customFormat="false" ht="12.8" hidden="false" customHeight="false" outlineLevel="0" collapsed="false">
      <c r="A1559" s="0" t="n">
        <v>491407</v>
      </c>
      <c r="B1559" s="0" t="n">
        <v>472387</v>
      </c>
      <c r="C1559" s="0" t="n">
        <v>528264</v>
      </c>
      <c r="D1559" s="0" t="s">
        <v>35</v>
      </c>
      <c r="E1559" s="0" t="s">
        <v>35</v>
      </c>
      <c r="F1559" s="0" t="s">
        <v>480</v>
      </c>
      <c r="G1559" s="0" t="s">
        <v>37</v>
      </c>
      <c r="H1559" s="0" t="s">
        <v>5548</v>
      </c>
      <c r="I1559" s="0" t="s">
        <v>5549</v>
      </c>
      <c r="J1559" s="0" t="s">
        <v>5548</v>
      </c>
      <c r="M1559" s="0" t="s">
        <v>5550</v>
      </c>
      <c r="O1559" s="0" t="s">
        <v>5551</v>
      </c>
      <c r="P1559" s="0" t="n">
        <v>1951</v>
      </c>
      <c r="Q1559" s="0" t="s">
        <v>39</v>
      </c>
      <c r="R1559" s="0" t="s">
        <v>5552</v>
      </c>
      <c r="S1559" s="0" t="s">
        <v>5553</v>
      </c>
      <c r="T1559" s="0" t="s">
        <v>5565</v>
      </c>
      <c r="V1559" s="0" t="n">
        <v>1</v>
      </c>
      <c r="W1559" s="0" t="n">
        <v>1</v>
      </c>
      <c r="X1559" s="0" t="str">
        <f aca="false">"31811011630202"</f>
        <v>31811011630202</v>
      </c>
      <c r="Y1559" s="0" t="s">
        <v>39</v>
      </c>
      <c r="Z1559" s="0" t="s">
        <v>42</v>
      </c>
      <c r="AA1559" s="0" t="s">
        <v>43</v>
      </c>
      <c r="AE1559" s="1" t="s">
        <v>52</v>
      </c>
    </row>
    <row r="1560" customFormat="false" ht="12.8" hidden="false" customHeight="false" outlineLevel="0" collapsed="false">
      <c r="A1560" s="0" t="n">
        <v>491407</v>
      </c>
      <c r="B1560" s="0" t="n">
        <v>472387</v>
      </c>
      <c r="C1560" s="0" t="n">
        <v>528265</v>
      </c>
      <c r="D1560" s="0" t="s">
        <v>35</v>
      </c>
      <c r="E1560" s="0" t="s">
        <v>35</v>
      </c>
      <c r="F1560" s="0" t="s">
        <v>480</v>
      </c>
      <c r="G1560" s="0" t="s">
        <v>37</v>
      </c>
      <c r="H1560" s="0" t="s">
        <v>5548</v>
      </c>
      <c r="I1560" s="0" t="s">
        <v>5549</v>
      </c>
      <c r="J1560" s="0" t="s">
        <v>5548</v>
      </c>
      <c r="M1560" s="0" t="s">
        <v>5550</v>
      </c>
      <c r="O1560" s="0" t="s">
        <v>5551</v>
      </c>
      <c r="P1560" s="0" t="n">
        <v>1951</v>
      </c>
      <c r="Q1560" s="0" t="s">
        <v>39</v>
      </c>
      <c r="R1560" s="0" t="s">
        <v>5552</v>
      </c>
      <c r="S1560" s="0" t="s">
        <v>5553</v>
      </c>
      <c r="T1560" s="0" t="s">
        <v>5566</v>
      </c>
      <c r="V1560" s="0" t="n">
        <v>1</v>
      </c>
      <c r="W1560" s="0" t="n">
        <v>1</v>
      </c>
      <c r="X1560" s="0" t="str">
        <f aca="false">"31811011630244"</f>
        <v>31811011630244</v>
      </c>
      <c r="Y1560" s="0" t="s">
        <v>39</v>
      </c>
      <c r="Z1560" s="0" t="s">
        <v>42</v>
      </c>
      <c r="AA1560" s="0" t="s">
        <v>43</v>
      </c>
      <c r="AE1560" s="1" t="s">
        <v>52</v>
      </c>
    </row>
    <row r="1561" customFormat="false" ht="12.8" hidden="false" customHeight="false" outlineLevel="0" collapsed="false">
      <c r="A1561" s="0" t="n">
        <v>491407</v>
      </c>
      <c r="B1561" s="0" t="n">
        <v>472387</v>
      </c>
      <c r="C1561" s="0" t="n">
        <v>528266</v>
      </c>
      <c r="D1561" s="0" t="s">
        <v>35</v>
      </c>
      <c r="E1561" s="0" t="s">
        <v>35</v>
      </c>
      <c r="F1561" s="0" t="s">
        <v>480</v>
      </c>
      <c r="G1561" s="0" t="s">
        <v>37</v>
      </c>
      <c r="H1561" s="0" t="s">
        <v>5548</v>
      </c>
      <c r="I1561" s="0" t="s">
        <v>5549</v>
      </c>
      <c r="J1561" s="0" t="s">
        <v>5548</v>
      </c>
      <c r="M1561" s="0" t="s">
        <v>5550</v>
      </c>
      <c r="O1561" s="0" t="s">
        <v>5551</v>
      </c>
      <c r="P1561" s="0" t="n">
        <v>1951</v>
      </c>
      <c r="Q1561" s="0" t="s">
        <v>39</v>
      </c>
      <c r="R1561" s="0" t="s">
        <v>5552</v>
      </c>
      <c r="S1561" s="0" t="s">
        <v>5553</v>
      </c>
      <c r="T1561" s="0" t="s">
        <v>1301</v>
      </c>
      <c r="V1561" s="0" t="n">
        <v>1</v>
      </c>
      <c r="W1561" s="0" t="n">
        <v>1</v>
      </c>
      <c r="X1561" s="0" t="str">
        <f aca="false">"31811011630343"</f>
        <v>31811011630343</v>
      </c>
      <c r="Y1561" s="0" t="s">
        <v>39</v>
      </c>
      <c r="Z1561" s="0" t="s">
        <v>42</v>
      </c>
      <c r="AA1561" s="0" t="s">
        <v>43</v>
      </c>
      <c r="AE1561" s="1" t="s">
        <v>52</v>
      </c>
    </row>
    <row r="1562" customFormat="false" ht="12.8" hidden="false" customHeight="false" outlineLevel="0" collapsed="false">
      <c r="A1562" s="0" t="n">
        <v>491407</v>
      </c>
      <c r="B1562" s="0" t="n">
        <v>472387</v>
      </c>
      <c r="C1562" s="0" t="n">
        <v>528267</v>
      </c>
      <c r="D1562" s="0" t="s">
        <v>35</v>
      </c>
      <c r="E1562" s="0" t="s">
        <v>35</v>
      </c>
      <c r="F1562" s="0" t="s">
        <v>480</v>
      </c>
      <c r="G1562" s="0" t="s">
        <v>37</v>
      </c>
      <c r="H1562" s="0" t="s">
        <v>5548</v>
      </c>
      <c r="I1562" s="0" t="s">
        <v>5549</v>
      </c>
      <c r="J1562" s="0" t="s">
        <v>5548</v>
      </c>
      <c r="M1562" s="0" t="s">
        <v>5550</v>
      </c>
      <c r="O1562" s="0" t="s">
        <v>5551</v>
      </c>
      <c r="P1562" s="0" t="n">
        <v>1951</v>
      </c>
      <c r="Q1562" s="0" t="s">
        <v>39</v>
      </c>
      <c r="R1562" s="0" t="s">
        <v>5552</v>
      </c>
      <c r="S1562" s="0" t="s">
        <v>5553</v>
      </c>
      <c r="T1562" s="0" t="s">
        <v>1302</v>
      </c>
      <c r="V1562" s="0" t="n">
        <v>1</v>
      </c>
      <c r="W1562" s="0" t="n">
        <v>1</v>
      </c>
      <c r="X1562" s="0" t="str">
        <f aca="false">"31811011630335"</f>
        <v>31811011630335</v>
      </c>
      <c r="Y1562" s="0" t="s">
        <v>39</v>
      </c>
      <c r="Z1562" s="0" t="s">
        <v>42</v>
      </c>
      <c r="AA1562" s="0" t="s">
        <v>43</v>
      </c>
      <c r="AE1562" s="1" t="s">
        <v>52</v>
      </c>
    </row>
    <row r="1563" customFormat="false" ht="12.8" hidden="false" customHeight="false" outlineLevel="0" collapsed="false">
      <c r="A1563" s="0" t="n">
        <v>491407</v>
      </c>
      <c r="B1563" s="0" t="n">
        <v>472387</v>
      </c>
      <c r="C1563" s="0" t="n">
        <v>528268</v>
      </c>
      <c r="D1563" s="0" t="s">
        <v>35</v>
      </c>
      <c r="E1563" s="0" t="s">
        <v>35</v>
      </c>
      <c r="F1563" s="0" t="s">
        <v>480</v>
      </c>
      <c r="G1563" s="0" t="s">
        <v>37</v>
      </c>
      <c r="H1563" s="0" t="s">
        <v>5548</v>
      </c>
      <c r="I1563" s="0" t="s">
        <v>5549</v>
      </c>
      <c r="J1563" s="0" t="s">
        <v>5548</v>
      </c>
      <c r="M1563" s="0" t="s">
        <v>5550</v>
      </c>
      <c r="O1563" s="0" t="s">
        <v>5551</v>
      </c>
      <c r="P1563" s="0" t="n">
        <v>1951</v>
      </c>
      <c r="Q1563" s="0" t="s">
        <v>39</v>
      </c>
      <c r="R1563" s="0" t="s">
        <v>5552</v>
      </c>
      <c r="S1563" s="0" t="s">
        <v>5553</v>
      </c>
      <c r="T1563" s="0" t="s">
        <v>1303</v>
      </c>
      <c r="V1563" s="0" t="n">
        <v>1</v>
      </c>
      <c r="W1563" s="0" t="n">
        <v>1</v>
      </c>
      <c r="X1563" s="0" t="str">
        <f aca="false">"31811011630319"</f>
        <v>31811011630319</v>
      </c>
      <c r="Y1563" s="0" t="s">
        <v>39</v>
      </c>
      <c r="Z1563" s="0" t="s">
        <v>42</v>
      </c>
      <c r="AA1563" s="0" t="s">
        <v>43</v>
      </c>
      <c r="AE1563" s="1" t="s">
        <v>52</v>
      </c>
    </row>
    <row r="1564" customFormat="false" ht="12.8" hidden="false" customHeight="false" outlineLevel="0" collapsed="false">
      <c r="A1564" s="0" t="n">
        <v>491407</v>
      </c>
      <c r="B1564" s="0" t="n">
        <v>472387</v>
      </c>
      <c r="C1564" s="0" t="n">
        <v>528269</v>
      </c>
      <c r="D1564" s="0" t="s">
        <v>35</v>
      </c>
      <c r="E1564" s="0" t="s">
        <v>35</v>
      </c>
      <c r="F1564" s="0" t="s">
        <v>480</v>
      </c>
      <c r="G1564" s="0" t="s">
        <v>37</v>
      </c>
      <c r="H1564" s="0" t="s">
        <v>5548</v>
      </c>
      <c r="I1564" s="0" t="s">
        <v>5549</v>
      </c>
      <c r="J1564" s="0" t="s">
        <v>5548</v>
      </c>
      <c r="M1564" s="0" t="s">
        <v>5550</v>
      </c>
      <c r="O1564" s="0" t="s">
        <v>5551</v>
      </c>
      <c r="P1564" s="0" t="n">
        <v>1951</v>
      </c>
      <c r="Q1564" s="0" t="s">
        <v>39</v>
      </c>
      <c r="R1564" s="0" t="s">
        <v>5552</v>
      </c>
      <c r="S1564" s="0" t="s">
        <v>5553</v>
      </c>
      <c r="T1564" s="0" t="s">
        <v>5567</v>
      </c>
      <c r="V1564" s="0" t="n">
        <v>1</v>
      </c>
      <c r="W1564" s="0" t="n">
        <v>1</v>
      </c>
      <c r="X1564" s="0" t="str">
        <f aca="false">"31811011630327"</f>
        <v>31811011630327</v>
      </c>
      <c r="Y1564" s="0" t="s">
        <v>39</v>
      </c>
      <c r="Z1564" s="0" t="s">
        <v>42</v>
      </c>
      <c r="AA1564" s="0" t="s">
        <v>43</v>
      </c>
      <c r="AE1564" s="1" t="s">
        <v>52</v>
      </c>
    </row>
    <row r="1565" customFormat="false" ht="12.8" hidden="false" customHeight="false" outlineLevel="0" collapsed="false">
      <c r="A1565" s="0" t="n">
        <v>491407</v>
      </c>
      <c r="B1565" s="0" t="n">
        <v>472387</v>
      </c>
      <c r="C1565" s="0" t="n">
        <v>528270</v>
      </c>
      <c r="D1565" s="0" t="s">
        <v>35</v>
      </c>
      <c r="E1565" s="0" t="s">
        <v>35</v>
      </c>
      <c r="F1565" s="0" t="s">
        <v>480</v>
      </c>
      <c r="G1565" s="0" t="s">
        <v>37</v>
      </c>
      <c r="H1565" s="0" t="s">
        <v>5548</v>
      </c>
      <c r="I1565" s="0" t="s">
        <v>5549</v>
      </c>
      <c r="J1565" s="0" t="s">
        <v>5548</v>
      </c>
      <c r="M1565" s="0" t="s">
        <v>5550</v>
      </c>
      <c r="O1565" s="0" t="s">
        <v>5551</v>
      </c>
      <c r="P1565" s="0" t="n">
        <v>1951</v>
      </c>
      <c r="Q1565" s="0" t="s">
        <v>39</v>
      </c>
      <c r="R1565" s="0" t="s">
        <v>5552</v>
      </c>
      <c r="S1565" s="0" t="s">
        <v>5553</v>
      </c>
      <c r="T1565" s="0" t="s">
        <v>5568</v>
      </c>
      <c r="V1565" s="0" t="n">
        <v>1</v>
      </c>
      <c r="W1565" s="0" t="n">
        <v>1</v>
      </c>
      <c r="X1565" s="0" t="str">
        <f aca="false">"31811011630236"</f>
        <v>31811011630236</v>
      </c>
      <c r="Y1565" s="0" t="s">
        <v>39</v>
      </c>
      <c r="Z1565" s="0" t="s">
        <v>42</v>
      </c>
      <c r="AA1565" s="0" t="s">
        <v>43</v>
      </c>
      <c r="AE1565" s="1" t="s">
        <v>52</v>
      </c>
    </row>
    <row r="1566" customFormat="false" ht="12.8" hidden="false" customHeight="false" outlineLevel="0" collapsed="false">
      <c r="A1566" s="0" t="n">
        <v>491407</v>
      </c>
      <c r="B1566" s="0" t="n">
        <v>472387</v>
      </c>
      <c r="C1566" s="0" t="n">
        <v>528271</v>
      </c>
      <c r="D1566" s="0" t="s">
        <v>35</v>
      </c>
      <c r="E1566" s="0" t="s">
        <v>35</v>
      </c>
      <c r="F1566" s="0" t="s">
        <v>480</v>
      </c>
      <c r="G1566" s="0" t="s">
        <v>37</v>
      </c>
      <c r="H1566" s="0" t="s">
        <v>5548</v>
      </c>
      <c r="I1566" s="0" t="s">
        <v>5549</v>
      </c>
      <c r="J1566" s="0" t="s">
        <v>5548</v>
      </c>
      <c r="M1566" s="0" t="s">
        <v>5550</v>
      </c>
      <c r="O1566" s="0" t="s">
        <v>5551</v>
      </c>
      <c r="P1566" s="0" t="n">
        <v>1951</v>
      </c>
      <c r="Q1566" s="0" t="s">
        <v>39</v>
      </c>
      <c r="R1566" s="0" t="s">
        <v>5552</v>
      </c>
      <c r="S1566" s="0" t="s">
        <v>5553</v>
      </c>
      <c r="T1566" s="0" t="s">
        <v>5569</v>
      </c>
      <c r="V1566" s="0" t="n">
        <v>1</v>
      </c>
      <c r="W1566" s="0" t="n">
        <v>1</v>
      </c>
      <c r="X1566" s="0" t="str">
        <f aca="false">"31811011630228"</f>
        <v>31811011630228</v>
      </c>
      <c r="Y1566" s="0" t="s">
        <v>39</v>
      </c>
      <c r="Z1566" s="0" t="s">
        <v>42</v>
      </c>
      <c r="AA1566" s="0" t="s">
        <v>43</v>
      </c>
      <c r="AE1566" s="1" t="s">
        <v>52</v>
      </c>
    </row>
    <row r="1567" customFormat="false" ht="12.8" hidden="false" customHeight="false" outlineLevel="0" collapsed="false">
      <c r="A1567" s="0" t="n">
        <v>491407</v>
      </c>
      <c r="B1567" s="0" t="n">
        <v>472387</v>
      </c>
      <c r="C1567" s="0" t="n">
        <v>528272</v>
      </c>
      <c r="D1567" s="0" t="s">
        <v>35</v>
      </c>
      <c r="E1567" s="0" t="s">
        <v>35</v>
      </c>
      <c r="F1567" s="0" t="s">
        <v>480</v>
      </c>
      <c r="G1567" s="0" t="s">
        <v>37</v>
      </c>
      <c r="H1567" s="0" t="s">
        <v>5548</v>
      </c>
      <c r="I1567" s="0" t="s">
        <v>5549</v>
      </c>
      <c r="J1567" s="0" t="s">
        <v>5548</v>
      </c>
      <c r="M1567" s="0" t="s">
        <v>5550</v>
      </c>
      <c r="O1567" s="0" t="s">
        <v>5551</v>
      </c>
      <c r="P1567" s="0" t="n">
        <v>1951</v>
      </c>
      <c r="Q1567" s="0" t="s">
        <v>39</v>
      </c>
      <c r="R1567" s="0" t="s">
        <v>5552</v>
      </c>
      <c r="S1567" s="0" t="s">
        <v>5553</v>
      </c>
      <c r="T1567" s="0" t="s">
        <v>5570</v>
      </c>
      <c r="V1567" s="0" t="n">
        <v>1</v>
      </c>
      <c r="W1567" s="0" t="n">
        <v>1</v>
      </c>
      <c r="X1567" s="0" t="str">
        <f aca="false">"31811011630210"</f>
        <v>31811011630210</v>
      </c>
      <c r="Y1567" s="0" t="s">
        <v>39</v>
      </c>
      <c r="Z1567" s="0" t="s">
        <v>42</v>
      </c>
      <c r="AA1567" s="0" t="s">
        <v>43</v>
      </c>
      <c r="AE1567" s="1" t="s">
        <v>52</v>
      </c>
    </row>
    <row r="1568" customFormat="false" ht="12.8" hidden="false" customHeight="false" outlineLevel="0" collapsed="false">
      <c r="A1568" s="0" t="n">
        <v>491407</v>
      </c>
      <c r="B1568" s="0" t="n">
        <v>472387</v>
      </c>
      <c r="C1568" s="0" t="n">
        <v>528273</v>
      </c>
      <c r="D1568" s="0" t="s">
        <v>35</v>
      </c>
      <c r="E1568" s="0" t="s">
        <v>35</v>
      </c>
      <c r="F1568" s="0" t="s">
        <v>480</v>
      </c>
      <c r="G1568" s="0" t="s">
        <v>37</v>
      </c>
      <c r="H1568" s="0" t="s">
        <v>5548</v>
      </c>
      <c r="I1568" s="0" t="s">
        <v>5549</v>
      </c>
      <c r="J1568" s="0" t="s">
        <v>5548</v>
      </c>
      <c r="M1568" s="0" t="s">
        <v>5550</v>
      </c>
      <c r="O1568" s="0" t="s">
        <v>5551</v>
      </c>
      <c r="P1568" s="0" t="n">
        <v>1951</v>
      </c>
      <c r="Q1568" s="0" t="s">
        <v>39</v>
      </c>
      <c r="R1568" s="0" t="s">
        <v>5552</v>
      </c>
      <c r="S1568" s="0" t="s">
        <v>5553</v>
      </c>
      <c r="T1568" s="0" t="s">
        <v>5571</v>
      </c>
      <c r="V1568" s="0" t="n">
        <v>1</v>
      </c>
      <c r="W1568" s="0" t="n">
        <v>1</v>
      </c>
      <c r="X1568" s="0" t="str">
        <f aca="false">"31811011630194"</f>
        <v>31811011630194</v>
      </c>
      <c r="Y1568" s="0" t="s">
        <v>39</v>
      </c>
      <c r="Z1568" s="0" t="s">
        <v>42</v>
      </c>
      <c r="AA1568" s="0" t="s">
        <v>43</v>
      </c>
      <c r="AE1568" s="1" t="s">
        <v>52</v>
      </c>
    </row>
    <row r="1569" customFormat="false" ht="12.8" hidden="false" customHeight="false" outlineLevel="0" collapsed="false">
      <c r="A1569" s="0" t="n">
        <v>491407</v>
      </c>
      <c r="B1569" s="0" t="n">
        <v>472387</v>
      </c>
      <c r="C1569" s="0" t="n">
        <v>528274</v>
      </c>
      <c r="D1569" s="0" t="s">
        <v>35</v>
      </c>
      <c r="E1569" s="0" t="s">
        <v>35</v>
      </c>
      <c r="F1569" s="0" t="s">
        <v>480</v>
      </c>
      <c r="G1569" s="0" t="s">
        <v>37</v>
      </c>
      <c r="H1569" s="0" t="s">
        <v>5548</v>
      </c>
      <c r="I1569" s="0" t="s">
        <v>5549</v>
      </c>
      <c r="J1569" s="0" t="s">
        <v>5548</v>
      </c>
      <c r="M1569" s="0" t="s">
        <v>5550</v>
      </c>
      <c r="O1569" s="0" t="s">
        <v>5551</v>
      </c>
      <c r="P1569" s="0" t="n">
        <v>1951</v>
      </c>
      <c r="Q1569" s="0" t="s">
        <v>39</v>
      </c>
      <c r="R1569" s="0" t="s">
        <v>5552</v>
      </c>
      <c r="S1569" s="0" t="s">
        <v>5553</v>
      </c>
      <c r="T1569" s="0" t="s">
        <v>5572</v>
      </c>
      <c r="V1569" s="0" t="n">
        <v>1</v>
      </c>
      <c r="W1569" s="0" t="n">
        <v>1</v>
      </c>
      <c r="X1569" s="0" t="str">
        <f aca="false">"31811011630186"</f>
        <v>31811011630186</v>
      </c>
      <c r="Y1569" s="0" t="s">
        <v>39</v>
      </c>
      <c r="Z1569" s="0" t="s">
        <v>42</v>
      </c>
      <c r="AA1569" s="0" t="s">
        <v>43</v>
      </c>
      <c r="AE1569" s="1" t="s">
        <v>52</v>
      </c>
      <c r="AH1569" s="1" t="s">
        <v>5573</v>
      </c>
    </row>
    <row r="1570" customFormat="false" ht="12.8" hidden="false" customHeight="false" outlineLevel="0" collapsed="false">
      <c r="A1570" s="0" t="n">
        <v>491407</v>
      </c>
      <c r="B1570" s="0" t="n">
        <v>472387</v>
      </c>
      <c r="C1570" s="0" t="n">
        <v>528275</v>
      </c>
      <c r="D1570" s="0" t="s">
        <v>35</v>
      </c>
      <c r="E1570" s="0" t="s">
        <v>35</v>
      </c>
      <c r="F1570" s="0" t="s">
        <v>480</v>
      </c>
      <c r="G1570" s="0" t="s">
        <v>37</v>
      </c>
      <c r="H1570" s="0" t="s">
        <v>5548</v>
      </c>
      <c r="I1570" s="0" t="s">
        <v>5549</v>
      </c>
      <c r="J1570" s="0" t="s">
        <v>5548</v>
      </c>
      <c r="M1570" s="0" t="s">
        <v>5550</v>
      </c>
      <c r="O1570" s="0" t="s">
        <v>5551</v>
      </c>
      <c r="P1570" s="0" t="n">
        <v>1951</v>
      </c>
      <c r="Q1570" s="0" t="s">
        <v>39</v>
      </c>
      <c r="R1570" s="0" t="s">
        <v>5552</v>
      </c>
      <c r="S1570" s="0" t="s">
        <v>5553</v>
      </c>
      <c r="T1570" s="0" t="s">
        <v>5574</v>
      </c>
      <c r="V1570" s="0" t="n">
        <v>1</v>
      </c>
      <c r="W1570" s="0" t="n">
        <v>1</v>
      </c>
      <c r="X1570" s="0" t="str">
        <f aca="false">"31811011629881"</f>
        <v>31811011629881</v>
      </c>
      <c r="Y1570" s="0" t="s">
        <v>39</v>
      </c>
      <c r="Z1570" s="0" t="s">
        <v>42</v>
      </c>
      <c r="AA1570" s="0" t="s">
        <v>43</v>
      </c>
      <c r="AE1570" s="1" t="s">
        <v>52</v>
      </c>
    </row>
    <row r="1571" customFormat="false" ht="12.8" hidden="false" customHeight="false" outlineLevel="0" collapsed="false">
      <c r="A1571" s="0" t="n">
        <v>491407</v>
      </c>
      <c r="B1571" s="0" t="n">
        <v>472387</v>
      </c>
      <c r="C1571" s="0" t="n">
        <v>528276</v>
      </c>
      <c r="D1571" s="0" t="s">
        <v>35</v>
      </c>
      <c r="E1571" s="0" t="s">
        <v>35</v>
      </c>
      <c r="F1571" s="0" t="s">
        <v>480</v>
      </c>
      <c r="G1571" s="0" t="s">
        <v>37</v>
      </c>
      <c r="H1571" s="0" t="s">
        <v>5548</v>
      </c>
      <c r="I1571" s="0" t="s">
        <v>5549</v>
      </c>
      <c r="J1571" s="0" t="s">
        <v>5548</v>
      </c>
      <c r="M1571" s="0" t="s">
        <v>5550</v>
      </c>
      <c r="O1571" s="0" t="s">
        <v>5551</v>
      </c>
      <c r="P1571" s="0" t="n">
        <v>1951</v>
      </c>
      <c r="Q1571" s="0" t="s">
        <v>39</v>
      </c>
      <c r="R1571" s="0" t="s">
        <v>5552</v>
      </c>
      <c r="S1571" s="0" t="s">
        <v>5553</v>
      </c>
      <c r="T1571" s="0" t="s">
        <v>5575</v>
      </c>
      <c r="V1571" s="0" t="n">
        <v>1</v>
      </c>
      <c r="W1571" s="0" t="n">
        <v>1</v>
      </c>
      <c r="X1571" s="0" t="str">
        <f aca="false">"31811011629873"</f>
        <v>31811011629873</v>
      </c>
      <c r="Y1571" s="0" t="s">
        <v>39</v>
      </c>
      <c r="Z1571" s="0" t="s">
        <v>42</v>
      </c>
      <c r="AA1571" s="0" t="s">
        <v>43</v>
      </c>
      <c r="AE1571" s="1" t="s">
        <v>52</v>
      </c>
    </row>
    <row r="1572" customFormat="false" ht="12.8" hidden="false" customHeight="false" outlineLevel="0" collapsed="false">
      <c r="A1572" s="0" t="n">
        <v>491407</v>
      </c>
      <c r="B1572" s="0" t="n">
        <v>472387</v>
      </c>
      <c r="C1572" s="0" t="n">
        <v>528277</v>
      </c>
      <c r="D1572" s="0" t="s">
        <v>35</v>
      </c>
      <c r="E1572" s="0" t="s">
        <v>35</v>
      </c>
      <c r="F1572" s="0" t="s">
        <v>480</v>
      </c>
      <c r="G1572" s="0" t="s">
        <v>37</v>
      </c>
      <c r="H1572" s="0" t="s">
        <v>5548</v>
      </c>
      <c r="I1572" s="0" t="s">
        <v>5549</v>
      </c>
      <c r="J1572" s="0" t="s">
        <v>5548</v>
      </c>
      <c r="M1572" s="0" t="s">
        <v>5550</v>
      </c>
      <c r="O1572" s="0" t="s">
        <v>5551</v>
      </c>
      <c r="P1572" s="0" t="n">
        <v>1951</v>
      </c>
      <c r="Q1572" s="0" t="s">
        <v>39</v>
      </c>
      <c r="R1572" s="0" t="s">
        <v>5552</v>
      </c>
      <c r="S1572" s="0" t="s">
        <v>5553</v>
      </c>
      <c r="T1572" s="0" t="s">
        <v>5576</v>
      </c>
      <c r="V1572" s="0" t="n">
        <v>1</v>
      </c>
      <c r="W1572" s="0" t="n">
        <v>1</v>
      </c>
      <c r="X1572" s="0" t="str">
        <f aca="false">"31811011629923"</f>
        <v>31811011629923</v>
      </c>
      <c r="Y1572" s="0" t="s">
        <v>39</v>
      </c>
      <c r="Z1572" s="0" t="s">
        <v>42</v>
      </c>
      <c r="AA1572" s="0" t="s">
        <v>43</v>
      </c>
      <c r="AE1572" s="1" t="s">
        <v>52</v>
      </c>
    </row>
    <row r="1573" customFormat="false" ht="12.8" hidden="false" customHeight="false" outlineLevel="0" collapsed="false">
      <c r="A1573" s="0" t="n">
        <v>491407</v>
      </c>
      <c r="B1573" s="0" t="n">
        <v>472387</v>
      </c>
      <c r="C1573" s="0" t="n">
        <v>528278</v>
      </c>
      <c r="D1573" s="0" t="s">
        <v>35</v>
      </c>
      <c r="E1573" s="0" t="s">
        <v>35</v>
      </c>
      <c r="F1573" s="0" t="s">
        <v>480</v>
      </c>
      <c r="G1573" s="0" t="s">
        <v>37</v>
      </c>
      <c r="H1573" s="0" t="s">
        <v>5548</v>
      </c>
      <c r="I1573" s="0" t="s">
        <v>5549</v>
      </c>
      <c r="J1573" s="0" t="s">
        <v>5548</v>
      </c>
      <c r="M1573" s="0" t="s">
        <v>5550</v>
      </c>
      <c r="O1573" s="0" t="s">
        <v>5551</v>
      </c>
      <c r="P1573" s="0" t="n">
        <v>1951</v>
      </c>
      <c r="Q1573" s="0" t="s">
        <v>39</v>
      </c>
      <c r="R1573" s="0" t="s">
        <v>5552</v>
      </c>
      <c r="S1573" s="0" t="s">
        <v>5553</v>
      </c>
      <c r="T1573" s="0" t="s">
        <v>5577</v>
      </c>
      <c r="V1573" s="0" t="n">
        <v>1</v>
      </c>
      <c r="W1573" s="0" t="n">
        <v>1</v>
      </c>
      <c r="X1573" s="0" t="str">
        <f aca="false">"31811011629865"</f>
        <v>31811011629865</v>
      </c>
      <c r="Y1573" s="0" t="s">
        <v>39</v>
      </c>
      <c r="Z1573" s="0" t="s">
        <v>42</v>
      </c>
      <c r="AA1573" s="0" t="s">
        <v>43</v>
      </c>
      <c r="AE1573" s="1" t="s">
        <v>52</v>
      </c>
    </row>
    <row r="1574" customFormat="false" ht="12.8" hidden="false" customHeight="false" outlineLevel="0" collapsed="false">
      <c r="A1574" s="0" t="n">
        <v>491407</v>
      </c>
      <c r="B1574" s="0" t="n">
        <v>472387</v>
      </c>
      <c r="C1574" s="0" t="n">
        <v>528279</v>
      </c>
      <c r="D1574" s="0" t="s">
        <v>35</v>
      </c>
      <c r="E1574" s="0" t="s">
        <v>35</v>
      </c>
      <c r="F1574" s="0" t="s">
        <v>480</v>
      </c>
      <c r="G1574" s="0" t="s">
        <v>37</v>
      </c>
      <c r="H1574" s="0" t="s">
        <v>5548</v>
      </c>
      <c r="I1574" s="0" t="s">
        <v>5549</v>
      </c>
      <c r="J1574" s="0" t="s">
        <v>5548</v>
      </c>
      <c r="M1574" s="0" t="s">
        <v>5550</v>
      </c>
      <c r="O1574" s="0" t="s">
        <v>5551</v>
      </c>
      <c r="P1574" s="0" t="n">
        <v>1951</v>
      </c>
      <c r="Q1574" s="0" t="s">
        <v>39</v>
      </c>
      <c r="R1574" s="0" t="s">
        <v>5552</v>
      </c>
      <c r="S1574" s="0" t="s">
        <v>5553</v>
      </c>
      <c r="T1574" s="0" t="s">
        <v>5578</v>
      </c>
      <c r="V1574" s="0" t="n">
        <v>1</v>
      </c>
      <c r="W1574" s="0" t="n">
        <v>1</v>
      </c>
      <c r="X1574" s="0" t="str">
        <f aca="false">"31811011629915"</f>
        <v>31811011629915</v>
      </c>
      <c r="Y1574" s="0" t="s">
        <v>39</v>
      </c>
      <c r="Z1574" s="0" t="s">
        <v>42</v>
      </c>
      <c r="AA1574" s="0" t="s">
        <v>43</v>
      </c>
      <c r="AE1574" s="1" t="s">
        <v>52</v>
      </c>
    </row>
    <row r="1575" customFormat="false" ht="12.8" hidden="false" customHeight="false" outlineLevel="0" collapsed="false">
      <c r="A1575" s="0" t="n">
        <v>491407</v>
      </c>
      <c r="B1575" s="0" t="n">
        <v>472387</v>
      </c>
      <c r="C1575" s="0" t="n">
        <v>528280</v>
      </c>
      <c r="D1575" s="0" t="s">
        <v>35</v>
      </c>
      <c r="E1575" s="0" t="s">
        <v>35</v>
      </c>
      <c r="F1575" s="0" t="s">
        <v>480</v>
      </c>
      <c r="G1575" s="0" t="s">
        <v>37</v>
      </c>
      <c r="H1575" s="0" t="s">
        <v>5548</v>
      </c>
      <c r="I1575" s="0" t="s">
        <v>5549</v>
      </c>
      <c r="J1575" s="0" t="s">
        <v>5548</v>
      </c>
      <c r="M1575" s="0" t="s">
        <v>5550</v>
      </c>
      <c r="O1575" s="0" t="s">
        <v>5551</v>
      </c>
      <c r="P1575" s="0" t="n">
        <v>1951</v>
      </c>
      <c r="Q1575" s="0" t="s">
        <v>39</v>
      </c>
      <c r="R1575" s="0" t="s">
        <v>5552</v>
      </c>
      <c r="S1575" s="0" t="s">
        <v>5553</v>
      </c>
      <c r="T1575" s="0" t="s">
        <v>5579</v>
      </c>
      <c r="V1575" s="0" t="n">
        <v>1</v>
      </c>
      <c r="W1575" s="0" t="n">
        <v>1</v>
      </c>
      <c r="X1575" s="0" t="str">
        <f aca="false">"31811011629964"</f>
        <v>31811011629964</v>
      </c>
      <c r="Y1575" s="0" t="s">
        <v>39</v>
      </c>
      <c r="Z1575" s="0" t="s">
        <v>42</v>
      </c>
      <c r="AA1575" s="0" t="s">
        <v>43</v>
      </c>
      <c r="AE1575" s="1" t="s">
        <v>52</v>
      </c>
    </row>
    <row r="1576" customFormat="false" ht="12.8" hidden="false" customHeight="false" outlineLevel="0" collapsed="false">
      <c r="A1576" s="0" t="n">
        <v>491407</v>
      </c>
      <c r="B1576" s="0" t="n">
        <v>472387</v>
      </c>
      <c r="C1576" s="0" t="n">
        <v>528281</v>
      </c>
      <c r="D1576" s="0" t="s">
        <v>35</v>
      </c>
      <c r="E1576" s="0" t="s">
        <v>35</v>
      </c>
      <c r="F1576" s="0" t="s">
        <v>480</v>
      </c>
      <c r="G1576" s="0" t="s">
        <v>37</v>
      </c>
      <c r="H1576" s="0" t="s">
        <v>5548</v>
      </c>
      <c r="I1576" s="0" t="s">
        <v>5549</v>
      </c>
      <c r="J1576" s="0" t="s">
        <v>5548</v>
      </c>
      <c r="M1576" s="0" t="s">
        <v>5550</v>
      </c>
      <c r="O1576" s="0" t="s">
        <v>5551</v>
      </c>
      <c r="P1576" s="0" t="n">
        <v>1951</v>
      </c>
      <c r="Q1576" s="0" t="s">
        <v>39</v>
      </c>
      <c r="R1576" s="0" t="s">
        <v>5552</v>
      </c>
      <c r="S1576" s="0" t="s">
        <v>5553</v>
      </c>
      <c r="T1576" s="0" t="s">
        <v>5425</v>
      </c>
      <c r="V1576" s="0" t="n">
        <v>1</v>
      </c>
      <c r="W1576" s="0" t="n">
        <v>1</v>
      </c>
      <c r="X1576" s="0" t="str">
        <f aca="false">"31811011629857"</f>
        <v>31811011629857</v>
      </c>
      <c r="Y1576" s="0" t="s">
        <v>39</v>
      </c>
      <c r="Z1576" s="0" t="s">
        <v>42</v>
      </c>
      <c r="AA1576" s="0" t="s">
        <v>43</v>
      </c>
      <c r="AE1576" s="1" t="s">
        <v>52</v>
      </c>
    </row>
    <row r="1577" customFormat="false" ht="12.8" hidden="false" customHeight="false" outlineLevel="0" collapsed="false">
      <c r="A1577" s="0" t="n">
        <v>491407</v>
      </c>
      <c r="B1577" s="0" t="n">
        <v>472387</v>
      </c>
      <c r="C1577" s="0" t="n">
        <v>528282</v>
      </c>
      <c r="D1577" s="0" t="s">
        <v>35</v>
      </c>
      <c r="E1577" s="0" t="s">
        <v>35</v>
      </c>
      <c r="F1577" s="0" t="s">
        <v>480</v>
      </c>
      <c r="G1577" s="0" t="s">
        <v>37</v>
      </c>
      <c r="H1577" s="0" t="s">
        <v>5548</v>
      </c>
      <c r="I1577" s="0" t="s">
        <v>5549</v>
      </c>
      <c r="J1577" s="0" t="s">
        <v>5548</v>
      </c>
      <c r="M1577" s="0" t="s">
        <v>5550</v>
      </c>
      <c r="O1577" s="0" t="s">
        <v>5551</v>
      </c>
      <c r="P1577" s="0" t="n">
        <v>1951</v>
      </c>
      <c r="Q1577" s="0" t="s">
        <v>39</v>
      </c>
      <c r="R1577" s="0" t="s">
        <v>5552</v>
      </c>
      <c r="S1577" s="0" t="s">
        <v>5553</v>
      </c>
      <c r="T1577" s="0" t="s">
        <v>5580</v>
      </c>
      <c r="V1577" s="0" t="n">
        <v>1</v>
      </c>
      <c r="W1577" s="0" t="n">
        <v>1</v>
      </c>
      <c r="X1577" s="0" t="str">
        <f aca="false">"31811011629907"</f>
        <v>31811011629907</v>
      </c>
      <c r="Y1577" s="0" t="s">
        <v>39</v>
      </c>
      <c r="Z1577" s="0" t="s">
        <v>42</v>
      </c>
      <c r="AA1577" s="0" t="s">
        <v>43</v>
      </c>
      <c r="AE1577" s="1" t="s">
        <v>52</v>
      </c>
    </row>
    <row r="1578" customFormat="false" ht="12.8" hidden="false" customHeight="false" outlineLevel="0" collapsed="false">
      <c r="A1578" s="0" t="n">
        <v>491407</v>
      </c>
      <c r="B1578" s="0" t="n">
        <v>472387</v>
      </c>
      <c r="C1578" s="0" t="n">
        <v>528283</v>
      </c>
      <c r="D1578" s="0" t="s">
        <v>35</v>
      </c>
      <c r="E1578" s="0" t="s">
        <v>35</v>
      </c>
      <c r="F1578" s="0" t="s">
        <v>480</v>
      </c>
      <c r="G1578" s="0" t="s">
        <v>37</v>
      </c>
      <c r="H1578" s="0" t="s">
        <v>5548</v>
      </c>
      <c r="I1578" s="0" t="s">
        <v>5549</v>
      </c>
      <c r="J1578" s="0" t="s">
        <v>5548</v>
      </c>
      <c r="M1578" s="0" t="s">
        <v>5550</v>
      </c>
      <c r="O1578" s="0" t="s">
        <v>5551</v>
      </c>
      <c r="P1578" s="0" t="n">
        <v>1951</v>
      </c>
      <c r="Q1578" s="0" t="s">
        <v>39</v>
      </c>
      <c r="R1578" s="0" t="s">
        <v>5552</v>
      </c>
      <c r="S1578" s="0" t="s">
        <v>5553</v>
      </c>
      <c r="T1578" s="0" t="s">
        <v>5426</v>
      </c>
      <c r="V1578" s="0" t="n">
        <v>1</v>
      </c>
      <c r="W1578" s="0" t="n">
        <v>1</v>
      </c>
      <c r="X1578" s="0" t="str">
        <f aca="false">"31811011629956"</f>
        <v>31811011629956</v>
      </c>
      <c r="Y1578" s="0" t="s">
        <v>39</v>
      </c>
      <c r="Z1578" s="0" t="s">
        <v>42</v>
      </c>
      <c r="AA1578" s="0" t="s">
        <v>43</v>
      </c>
      <c r="AE1578" s="1" t="s">
        <v>52</v>
      </c>
    </row>
    <row r="1579" customFormat="false" ht="12.8" hidden="false" customHeight="false" outlineLevel="0" collapsed="false">
      <c r="A1579" s="0" t="n">
        <v>491407</v>
      </c>
      <c r="B1579" s="0" t="n">
        <v>472387</v>
      </c>
      <c r="C1579" s="0" t="n">
        <v>528284</v>
      </c>
      <c r="D1579" s="0" t="s">
        <v>35</v>
      </c>
      <c r="E1579" s="0" t="s">
        <v>35</v>
      </c>
      <c r="F1579" s="0" t="s">
        <v>480</v>
      </c>
      <c r="G1579" s="0" t="s">
        <v>37</v>
      </c>
      <c r="H1579" s="0" t="s">
        <v>5548</v>
      </c>
      <c r="I1579" s="0" t="s">
        <v>5549</v>
      </c>
      <c r="J1579" s="0" t="s">
        <v>5548</v>
      </c>
      <c r="M1579" s="0" t="s">
        <v>5550</v>
      </c>
      <c r="O1579" s="0" t="s">
        <v>5551</v>
      </c>
      <c r="P1579" s="0" t="n">
        <v>1951</v>
      </c>
      <c r="Q1579" s="0" t="s">
        <v>39</v>
      </c>
      <c r="R1579" s="0" t="s">
        <v>5552</v>
      </c>
      <c r="S1579" s="0" t="s">
        <v>5553</v>
      </c>
      <c r="T1579" s="0" t="s">
        <v>5581</v>
      </c>
      <c r="V1579" s="0" t="n">
        <v>1</v>
      </c>
      <c r="W1579" s="0" t="n">
        <v>1</v>
      </c>
      <c r="X1579" s="0" t="str">
        <f aca="false">"31811011630004"</f>
        <v>31811011630004</v>
      </c>
      <c r="Y1579" s="0" t="s">
        <v>39</v>
      </c>
      <c r="Z1579" s="0" t="s">
        <v>42</v>
      </c>
      <c r="AA1579" s="0" t="s">
        <v>43</v>
      </c>
      <c r="AE1579" s="1" t="s">
        <v>52</v>
      </c>
    </row>
    <row r="1580" customFormat="false" ht="12.8" hidden="false" customHeight="false" outlineLevel="0" collapsed="false">
      <c r="A1580" s="0" t="n">
        <v>491407</v>
      </c>
      <c r="B1580" s="0" t="n">
        <v>472387</v>
      </c>
      <c r="C1580" s="0" t="n">
        <v>528285</v>
      </c>
      <c r="D1580" s="0" t="s">
        <v>35</v>
      </c>
      <c r="E1580" s="0" t="s">
        <v>35</v>
      </c>
      <c r="F1580" s="0" t="s">
        <v>480</v>
      </c>
      <c r="G1580" s="0" t="s">
        <v>37</v>
      </c>
      <c r="H1580" s="0" t="s">
        <v>5548</v>
      </c>
      <c r="I1580" s="0" t="s">
        <v>5549</v>
      </c>
      <c r="J1580" s="0" t="s">
        <v>5548</v>
      </c>
      <c r="M1580" s="0" t="s">
        <v>5550</v>
      </c>
      <c r="O1580" s="0" t="s">
        <v>5551</v>
      </c>
      <c r="P1580" s="0" t="n">
        <v>1951</v>
      </c>
      <c r="Q1580" s="0" t="s">
        <v>39</v>
      </c>
      <c r="R1580" s="0" t="s">
        <v>5552</v>
      </c>
      <c r="S1580" s="0" t="s">
        <v>5553</v>
      </c>
      <c r="T1580" s="0" t="s">
        <v>5427</v>
      </c>
      <c r="V1580" s="0" t="n">
        <v>1</v>
      </c>
      <c r="W1580" s="0" t="n">
        <v>1</v>
      </c>
      <c r="X1580" s="0" t="str">
        <f aca="false">"31811011629899"</f>
        <v>31811011629899</v>
      </c>
      <c r="Y1580" s="0" t="s">
        <v>39</v>
      </c>
      <c r="Z1580" s="0" t="s">
        <v>42</v>
      </c>
      <c r="AA1580" s="0" t="s">
        <v>43</v>
      </c>
      <c r="AE1580" s="1" t="s">
        <v>52</v>
      </c>
    </row>
    <row r="1581" customFormat="false" ht="12.8" hidden="false" customHeight="false" outlineLevel="0" collapsed="false">
      <c r="A1581" s="0" t="n">
        <v>491407</v>
      </c>
      <c r="B1581" s="0" t="n">
        <v>472387</v>
      </c>
      <c r="C1581" s="0" t="n">
        <v>528286</v>
      </c>
      <c r="D1581" s="0" t="s">
        <v>35</v>
      </c>
      <c r="E1581" s="0" t="s">
        <v>35</v>
      </c>
      <c r="F1581" s="0" t="s">
        <v>480</v>
      </c>
      <c r="G1581" s="0" t="s">
        <v>37</v>
      </c>
      <c r="H1581" s="0" t="s">
        <v>5548</v>
      </c>
      <c r="I1581" s="0" t="s">
        <v>5549</v>
      </c>
      <c r="J1581" s="0" t="s">
        <v>5548</v>
      </c>
      <c r="M1581" s="0" t="s">
        <v>5550</v>
      </c>
      <c r="O1581" s="0" t="s">
        <v>5551</v>
      </c>
      <c r="P1581" s="0" t="n">
        <v>1951</v>
      </c>
      <c r="Q1581" s="0" t="s">
        <v>39</v>
      </c>
      <c r="R1581" s="0" t="s">
        <v>5552</v>
      </c>
      <c r="S1581" s="0" t="s">
        <v>5553</v>
      </c>
      <c r="T1581" s="0" t="s">
        <v>5582</v>
      </c>
      <c r="V1581" s="0" t="n">
        <v>1</v>
      </c>
      <c r="W1581" s="0" t="n">
        <v>1</v>
      </c>
      <c r="X1581" s="0" t="str">
        <f aca="false">"31811011629949"</f>
        <v>31811011629949</v>
      </c>
      <c r="Y1581" s="0" t="s">
        <v>39</v>
      </c>
      <c r="Z1581" s="0" t="s">
        <v>42</v>
      </c>
      <c r="AA1581" s="0" t="s">
        <v>43</v>
      </c>
      <c r="AE1581" s="1" t="s">
        <v>52</v>
      </c>
    </row>
    <row r="1582" customFormat="false" ht="12.8" hidden="false" customHeight="false" outlineLevel="0" collapsed="false">
      <c r="A1582" s="0" t="n">
        <v>491407</v>
      </c>
      <c r="B1582" s="0" t="n">
        <v>472387</v>
      </c>
      <c r="C1582" s="0" t="n">
        <v>528287</v>
      </c>
      <c r="D1582" s="0" t="s">
        <v>35</v>
      </c>
      <c r="E1582" s="0" t="s">
        <v>35</v>
      </c>
      <c r="F1582" s="0" t="s">
        <v>480</v>
      </c>
      <c r="G1582" s="0" t="s">
        <v>37</v>
      </c>
      <c r="H1582" s="0" t="s">
        <v>5548</v>
      </c>
      <c r="I1582" s="0" t="s">
        <v>5549</v>
      </c>
      <c r="J1582" s="0" t="s">
        <v>5548</v>
      </c>
      <c r="M1582" s="0" t="s">
        <v>5550</v>
      </c>
      <c r="O1582" s="0" t="s">
        <v>5551</v>
      </c>
      <c r="P1582" s="0" t="n">
        <v>1951</v>
      </c>
      <c r="Q1582" s="0" t="s">
        <v>39</v>
      </c>
      <c r="R1582" s="0" t="s">
        <v>5552</v>
      </c>
      <c r="S1582" s="0" t="s">
        <v>5553</v>
      </c>
      <c r="T1582" s="0" t="s">
        <v>5428</v>
      </c>
      <c r="V1582" s="0" t="n">
        <v>1</v>
      </c>
      <c r="W1582" s="0" t="n">
        <v>1</v>
      </c>
      <c r="X1582" s="0" t="str">
        <f aca="false">"31811011629998"</f>
        <v>31811011629998</v>
      </c>
      <c r="Y1582" s="0" t="s">
        <v>39</v>
      </c>
      <c r="Z1582" s="0" t="s">
        <v>42</v>
      </c>
      <c r="AA1582" s="0" t="s">
        <v>43</v>
      </c>
      <c r="AE1582" s="1" t="s">
        <v>52</v>
      </c>
    </row>
    <row r="1583" customFormat="false" ht="12.8" hidden="false" customHeight="false" outlineLevel="0" collapsed="false">
      <c r="A1583" s="0" t="n">
        <v>491407</v>
      </c>
      <c r="B1583" s="0" t="n">
        <v>472387</v>
      </c>
      <c r="C1583" s="0" t="n">
        <v>528288</v>
      </c>
      <c r="D1583" s="0" t="s">
        <v>35</v>
      </c>
      <c r="E1583" s="0" t="s">
        <v>35</v>
      </c>
      <c r="F1583" s="0" t="s">
        <v>480</v>
      </c>
      <c r="G1583" s="0" t="s">
        <v>37</v>
      </c>
      <c r="H1583" s="0" t="s">
        <v>5548</v>
      </c>
      <c r="I1583" s="0" t="s">
        <v>5549</v>
      </c>
      <c r="J1583" s="0" t="s">
        <v>5548</v>
      </c>
      <c r="M1583" s="0" t="s">
        <v>5550</v>
      </c>
      <c r="O1583" s="0" t="s">
        <v>5551</v>
      </c>
      <c r="P1583" s="0" t="n">
        <v>1951</v>
      </c>
      <c r="Q1583" s="0" t="s">
        <v>39</v>
      </c>
      <c r="R1583" s="0" t="s">
        <v>5552</v>
      </c>
      <c r="S1583" s="0" t="s">
        <v>5553</v>
      </c>
      <c r="T1583" s="0" t="s">
        <v>5583</v>
      </c>
      <c r="V1583" s="0" t="n">
        <v>1</v>
      </c>
      <c r="W1583" s="0" t="n">
        <v>1</v>
      </c>
      <c r="X1583" s="0" t="str">
        <f aca="false">"31811011630046"</f>
        <v>31811011630046</v>
      </c>
      <c r="Y1583" s="0" t="s">
        <v>39</v>
      </c>
      <c r="Z1583" s="0" t="s">
        <v>42</v>
      </c>
      <c r="AA1583" s="0" t="s">
        <v>43</v>
      </c>
      <c r="AE1583" s="1" t="s">
        <v>52</v>
      </c>
    </row>
    <row r="1584" customFormat="false" ht="12.8" hidden="false" customHeight="false" outlineLevel="0" collapsed="false">
      <c r="A1584" s="0" t="n">
        <v>491407</v>
      </c>
      <c r="B1584" s="0" t="n">
        <v>472387</v>
      </c>
      <c r="C1584" s="0" t="n">
        <v>528289</v>
      </c>
      <c r="D1584" s="0" t="s">
        <v>35</v>
      </c>
      <c r="E1584" s="0" t="s">
        <v>35</v>
      </c>
      <c r="F1584" s="0" t="s">
        <v>480</v>
      </c>
      <c r="G1584" s="0" t="s">
        <v>37</v>
      </c>
      <c r="H1584" s="0" t="s">
        <v>5548</v>
      </c>
      <c r="I1584" s="0" t="s">
        <v>5549</v>
      </c>
      <c r="J1584" s="0" t="s">
        <v>5548</v>
      </c>
      <c r="M1584" s="0" t="s">
        <v>5550</v>
      </c>
      <c r="O1584" s="0" t="s">
        <v>5551</v>
      </c>
      <c r="P1584" s="0" t="n">
        <v>1951</v>
      </c>
      <c r="Q1584" s="0" t="s">
        <v>39</v>
      </c>
      <c r="R1584" s="0" t="s">
        <v>5552</v>
      </c>
      <c r="S1584" s="0" t="s">
        <v>5553</v>
      </c>
      <c r="T1584" s="0" t="s">
        <v>5429</v>
      </c>
      <c r="V1584" s="0" t="n">
        <v>1</v>
      </c>
      <c r="W1584" s="0" t="n">
        <v>1</v>
      </c>
      <c r="X1584" s="0" t="str">
        <f aca="false">"31811011629931"</f>
        <v>31811011629931</v>
      </c>
      <c r="Y1584" s="0" t="s">
        <v>39</v>
      </c>
      <c r="Z1584" s="0" t="s">
        <v>42</v>
      </c>
      <c r="AA1584" s="0" t="s">
        <v>43</v>
      </c>
      <c r="AE1584" s="1" t="s">
        <v>52</v>
      </c>
    </row>
    <row r="1585" customFormat="false" ht="12.8" hidden="false" customHeight="false" outlineLevel="0" collapsed="false">
      <c r="A1585" s="0" t="n">
        <v>491407</v>
      </c>
      <c r="B1585" s="0" t="n">
        <v>472387</v>
      </c>
      <c r="C1585" s="0" t="n">
        <v>528290</v>
      </c>
      <c r="D1585" s="0" t="s">
        <v>35</v>
      </c>
      <c r="E1585" s="0" t="s">
        <v>35</v>
      </c>
      <c r="F1585" s="0" t="s">
        <v>480</v>
      </c>
      <c r="G1585" s="0" t="s">
        <v>37</v>
      </c>
      <c r="H1585" s="0" t="s">
        <v>5548</v>
      </c>
      <c r="I1585" s="0" t="s">
        <v>5549</v>
      </c>
      <c r="J1585" s="0" t="s">
        <v>5548</v>
      </c>
      <c r="M1585" s="0" t="s">
        <v>5550</v>
      </c>
      <c r="O1585" s="0" t="s">
        <v>5551</v>
      </c>
      <c r="P1585" s="0" t="n">
        <v>1951</v>
      </c>
      <c r="Q1585" s="0" t="s">
        <v>39</v>
      </c>
      <c r="R1585" s="0" t="s">
        <v>5552</v>
      </c>
      <c r="S1585" s="0" t="s">
        <v>5553</v>
      </c>
      <c r="T1585" s="0" t="s">
        <v>5584</v>
      </c>
      <c r="V1585" s="0" t="n">
        <v>1</v>
      </c>
      <c r="W1585" s="0" t="n">
        <v>1</v>
      </c>
      <c r="X1585" s="0" t="str">
        <f aca="false">"31811011629980"</f>
        <v>31811011629980</v>
      </c>
      <c r="Y1585" s="0" t="s">
        <v>39</v>
      </c>
      <c r="Z1585" s="0" t="s">
        <v>42</v>
      </c>
      <c r="AA1585" s="0" t="s">
        <v>43</v>
      </c>
      <c r="AE1585" s="1" t="s">
        <v>52</v>
      </c>
    </row>
    <row r="1586" customFormat="false" ht="12.8" hidden="false" customHeight="false" outlineLevel="0" collapsed="false">
      <c r="A1586" s="0" t="n">
        <v>238018</v>
      </c>
      <c r="B1586" s="0" t="n">
        <v>260879</v>
      </c>
      <c r="C1586" s="0" t="n">
        <v>293420</v>
      </c>
      <c r="D1586" s="0" t="s">
        <v>35</v>
      </c>
      <c r="E1586" s="0" t="s">
        <v>35</v>
      </c>
      <c r="F1586" s="0" t="s">
        <v>36</v>
      </c>
      <c r="G1586" s="0" t="s">
        <v>37</v>
      </c>
      <c r="H1586" s="0" t="s">
        <v>5585</v>
      </c>
      <c r="I1586" s="0" t="s">
        <v>5549</v>
      </c>
      <c r="J1586" s="0" t="s">
        <v>5585</v>
      </c>
      <c r="M1586" s="0" t="s">
        <v>5586</v>
      </c>
      <c r="N1586" s="0" t="s">
        <v>5166</v>
      </c>
      <c r="P1586" s="0" t="n">
        <v>1958</v>
      </c>
      <c r="Q1586" s="0" t="s">
        <v>39</v>
      </c>
      <c r="R1586" s="0" t="s">
        <v>5587</v>
      </c>
      <c r="S1586" s="0" t="s">
        <v>5588</v>
      </c>
      <c r="V1586" s="0" t="n">
        <v>1</v>
      </c>
      <c r="W1586" s="0" t="n">
        <v>1</v>
      </c>
      <c r="X1586" s="0" t="str">
        <f aca="false">"31811010748591"</f>
        <v>31811010748591</v>
      </c>
      <c r="Y1586" s="0" t="s">
        <v>39</v>
      </c>
      <c r="Z1586" s="0" t="s">
        <v>42</v>
      </c>
      <c r="AA1586" s="0" t="s">
        <v>43</v>
      </c>
      <c r="AE1586" s="1" t="s">
        <v>52</v>
      </c>
    </row>
    <row r="1587" customFormat="false" ht="12.8" hidden="false" customHeight="false" outlineLevel="0" collapsed="false">
      <c r="A1587" s="0" t="n">
        <v>254814</v>
      </c>
      <c r="B1587" s="0" t="n">
        <v>279154</v>
      </c>
      <c r="C1587" s="0" t="n">
        <v>313625</v>
      </c>
      <c r="D1587" s="0" t="s">
        <v>35</v>
      </c>
      <c r="E1587" s="0" t="s">
        <v>35</v>
      </c>
      <c r="F1587" s="0" t="s">
        <v>36</v>
      </c>
      <c r="G1587" s="0" t="s">
        <v>37</v>
      </c>
      <c r="H1587" s="0" t="s">
        <v>5589</v>
      </c>
      <c r="I1587" s="0" t="s">
        <v>5549</v>
      </c>
      <c r="J1587" s="0" t="s">
        <v>5589</v>
      </c>
      <c r="M1587" s="0" t="s">
        <v>5590</v>
      </c>
      <c r="N1587" s="0" t="n">
        <v>1962</v>
      </c>
      <c r="O1587" s="0" t="s">
        <v>5591</v>
      </c>
      <c r="P1587" s="0" t="n">
        <v>1962</v>
      </c>
      <c r="Q1587" s="0" t="s">
        <v>39</v>
      </c>
      <c r="R1587" s="0" t="s">
        <v>5592</v>
      </c>
      <c r="S1587" s="0" t="s">
        <v>5593</v>
      </c>
      <c r="V1587" s="0" t="n">
        <v>1</v>
      </c>
      <c r="W1587" s="0" t="n">
        <v>1</v>
      </c>
      <c r="X1587" s="0" t="str">
        <f aca="false">"31811010748583"</f>
        <v>31811010748583</v>
      </c>
      <c r="Y1587" s="0" t="s">
        <v>39</v>
      </c>
      <c r="Z1587" s="0" t="s">
        <v>42</v>
      </c>
      <c r="AA1587" s="0" t="s">
        <v>43</v>
      </c>
      <c r="AE1587" s="1" t="s">
        <v>52</v>
      </c>
    </row>
    <row r="1588" customFormat="false" ht="12.8" hidden="false" customHeight="false" outlineLevel="0" collapsed="false">
      <c r="A1588" s="0" t="n">
        <v>130241</v>
      </c>
      <c r="B1588" s="0" t="n">
        <v>140184</v>
      </c>
      <c r="C1588" s="0" t="n">
        <v>155752</v>
      </c>
      <c r="D1588" s="0" t="s">
        <v>35</v>
      </c>
      <c r="E1588" s="0" t="s">
        <v>35</v>
      </c>
      <c r="F1588" s="0" t="s">
        <v>36</v>
      </c>
      <c r="G1588" s="0" t="s">
        <v>37</v>
      </c>
      <c r="H1588" s="0" t="s">
        <v>5594</v>
      </c>
      <c r="I1588" s="0" t="s">
        <v>5595</v>
      </c>
      <c r="J1588" s="0" t="s">
        <v>5594</v>
      </c>
      <c r="M1588" s="0" t="s">
        <v>5596</v>
      </c>
      <c r="N1588" s="0" t="s">
        <v>819</v>
      </c>
      <c r="O1588" s="0" t="s">
        <v>5597</v>
      </c>
      <c r="P1588" s="0" t="n">
        <v>1956</v>
      </c>
      <c r="Q1588" s="0" t="s">
        <v>39</v>
      </c>
      <c r="R1588" s="0" t="s">
        <v>5598</v>
      </c>
      <c r="S1588" s="0" t="s">
        <v>5599</v>
      </c>
      <c r="V1588" s="0" t="n">
        <v>1</v>
      </c>
      <c r="W1588" s="0" t="n">
        <v>1</v>
      </c>
      <c r="X1588" s="0" t="str">
        <f aca="false">"31811010748575"</f>
        <v>31811010748575</v>
      </c>
      <c r="Y1588" s="0" t="s">
        <v>39</v>
      </c>
      <c r="Z1588" s="0" t="s">
        <v>42</v>
      </c>
      <c r="AA1588" s="0" t="s">
        <v>43</v>
      </c>
      <c r="AE1588" s="1" t="s">
        <v>52</v>
      </c>
    </row>
    <row r="1589" customFormat="false" ht="12.8" hidden="false" customHeight="false" outlineLevel="0" collapsed="false">
      <c r="A1589" s="0" t="n">
        <v>114431</v>
      </c>
      <c r="B1589" s="0" t="n">
        <v>123130</v>
      </c>
      <c r="C1589" s="0" t="n">
        <v>137247</v>
      </c>
      <c r="D1589" s="0" t="s">
        <v>35</v>
      </c>
      <c r="E1589" s="0" t="s">
        <v>35</v>
      </c>
      <c r="F1589" s="0" t="s">
        <v>36</v>
      </c>
      <c r="G1589" s="0" t="s">
        <v>37</v>
      </c>
      <c r="H1589" s="0" t="s">
        <v>5600</v>
      </c>
      <c r="I1589" s="0" t="s">
        <v>5601</v>
      </c>
      <c r="J1589" s="0" t="s">
        <v>5602</v>
      </c>
      <c r="K1589" s="0" t="s">
        <v>108</v>
      </c>
      <c r="M1589" s="0" t="s">
        <v>5603</v>
      </c>
      <c r="N1589" s="0" t="n">
        <v>1969</v>
      </c>
      <c r="O1589" s="0" t="s">
        <v>387</v>
      </c>
      <c r="P1589" s="0" t="n">
        <v>1969</v>
      </c>
      <c r="Q1589" s="0" t="s">
        <v>39</v>
      </c>
      <c r="R1589" s="0" t="s">
        <v>5604</v>
      </c>
      <c r="S1589" s="0" t="s">
        <v>5605</v>
      </c>
      <c r="V1589" s="0" t="n">
        <v>1</v>
      </c>
      <c r="W1589" s="0" t="n">
        <v>1</v>
      </c>
      <c r="X1589" s="0" t="str">
        <f aca="false">"31811010748633"</f>
        <v>31811010748633</v>
      </c>
      <c r="Y1589" s="0" t="s">
        <v>39</v>
      </c>
      <c r="Z1589" s="0" t="s">
        <v>42</v>
      </c>
      <c r="AA1589" s="0" t="s">
        <v>43</v>
      </c>
      <c r="AE1589" s="1" t="s">
        <v>52</v>
      </c>
    </row>
    <row r="1590" customFormat="false" ht="12.8" hidden="false" customHeight="false" outlineLevel="0" collapsed="false">
      <c r="A1590" s="0" t="n">
        <v>214498</v>
      </c>
      <c r="B1590" s="0" t="n">
        <v>235346</v>
      </c>
      <c r="C1590" s="0" t="n">
        <v>264958</v>
      </c>
      <c r="D1590" s="0" t="s">
        <v>35</v>
      </c>
      <c r="E1590" s="0" t="s">
        <v>35</v>
      </c>
      <c r="F1590" s="0" t="s">
        <v>36</v>
      </c>
      <c r="G1590" s="0" t="s">
        <v>37</v>
      </c>
      <c r="H1590" s="0" t="s">
        <v>5606</v>
      </c>
      <c r="I1590" s="0" t="s">
        <v>5607</v>
      </c>
      <c r="J1590" s="0" t="s">
        <v>5608</v>
      </c>
      <c r="M1590" s="0" t="s">
        <v>5609</v>
      </c>
      <c r="N1590" s="0" t="n">
        <v>1940</v>
      </c>
      <c r="O1590" s="0" t="s">
        <v>5610</v>
      </c>
      <c r="P1590" s="0" t="n">
        <v>1940</v>
      </c>
      <c r="Q1590" s="0" t="s">
        <v>39</v>
      </c>
      <c r="R1590" s="0" t="s">
        <v>5611</v>
      </c>
      <c r="S1590" s="0" t="s">
        <v>5612</v>
      </c>
      <c r="V1590" s="0" t="n">
        <v>1</v>
      </c>
      <c r="W1590" s="0" t="n">
        <v>1</v>
      </c>
      <c r="X1590" s="0" t="str">
        <f aca="false">"31811010748617"</f>
        <v>31811010748617</v>
      </c>
      <c r="Y1590" s="0" t="s">
        <v>39</v>
      </c>
      <c r="Z1590" s="0" t="s">
        <v>42</v>
      </c>
      <c r="AA1590" s="0" t="s">
        <v>43</v>
      </c>
      <c r="AE1590" s="1" t="s">
        <v>52</v>
      </c>
    </row>
    <row r="1591" customFormat="false" ht="12.8" hidden="false" customHeight="false" outlineLevel="0" collapsed="false">
      <c r="A1591" s="0" t="n">
        <v>210985</v>
      </c>
      <c r="B1591" s="0" t="n">
        <v>231476</v>
      </c>
      <c r="C1591" s="0" t="n">
        <v>260509</v>
      </c>
      <c r="D1591" s="0" t="s">
        <v>35</v>
      </c>
      <c r="E1591" s="0" t="s">
        <v>35</v>
      </c>
      <c r="F1591" s="0" t="s">
        <v>480</v>
      </c>
      <c r="G1591" s="0" t="s">
        <v>37</v>
      </c>
      <c r="H1591" s="0" t="s">
        <v>5613</v>
      </c>
      <c r="I1591" s="0" t="s">
        <v>5614</v>
      </c>
      <c r="J1591" s="0" t="s">
        <v>5613</v>
      </c>
      <c r="M1591" s="0" t="s">
        <v>5615</v>
      </c>
      <c r="N1591" s="0" t="s">
        <v>5616</v>
      </c>
      <c r="O1591" s="0" t="s">
        <v>5617</v>
      </c>
      <c r="P1591" s="0" t="n">
        <v>1950</v>
      </c>
      <c r="Q1591" s="0" t="s">
        <v>39</v>
      </c>
      <c r="R1591" s="0" t="s">
        <v>5618</v>
      </c>
      <c r="S1591" s="0" t="s">
        <v>5619</v>
      </c>
      <c r="T1591" s="0" t="n">
        <v>1984</v>
      </c>
      <c r="V1591" s="0" t="n">
        <v>1</v>
      </c>
      <c r="W1591" s="0" t="n">
        <v>1</v>
      </c>
      <c r="X1591" s="0" t="str">
        <f aca="false">"31811012066752"</f>
        <v>31811012066752</v>
      </c>
      <c r="Y1591" s="0" t="s">
        <v>39</v>
      </c>
      <c r="Z1591" s="0" t="s">
        <v>42</v>
      </c>
      <c r="AA1591" s="0" t="s">
        <v>622</v>
      </c>
      <c r="AE1591" s="1" t="s">
        <v>52</v>
      </c>
    </row>
    <row r="1592" customFormat="false" ht="12.8" hidden="false" customHeight="false" outlineLevel="0" collapsed="false">
      <c r="A1592" s="0" t="n">
        <v>210985</v>
      </c>
      <c r="B1592" s="0" t="n">
        <v>231476</v>
      </c>
      <c r="C1592" s="0" t="n">
        <v>260510</v>
      </c>
      <c r="D1592" s="0" t="s">
        <v>35</v>
      </c>
      <c r="E1592" s="0" t="s">
        <v>35</v>
      </c>
      <c r="F1592" s="0" t="s">
        <v>480</v>
      </c>
      <c r="G1592" s="0" t="s">
        <v>37</v>
      </c>
      <c r="H1592" s="0" t="s">
        <v>5613</v>
      </c>
      <c r="I1592" s="0" t="s">
        <v>5614</v>
      </c>
      <c r="J1592" s="0" t="s">
        <v>5613</v>
      </c>
      <c r="M1592" s="0" t="s">
        <v>5615</v>
      </c>
      <c r="N1592" s="0" t="s">
        <v>5616</v>
      </c>
      <c r="O1592" s="0" t="s">
        <v>5617</v>
      </c>
      <c r="P1592" s="0" t="n">
        <v>1950</v>
      </c>
      <c r="Q1592" s="0" t="s">
        <v>39</v>
      </c>
      <c r="R1592" s="0" t="s">
        <v>5618</v>
      </c>
      <c r="S1592" s="0" t="s">
        <v>5619</v>
      </c>
      <c r="T1592" s="0" t="n">
        <v>1983</v>
      </c>
      <c r="V1592" s="0" t="n">
        <v>1</v>
      </c>
      <c r="W1592" s="0" t="n">
        <v>1</v>
      </c>
      <c r="X1592" s="0" t="str">
        <f aca="false">"31811012066760"</f>
        <v>31811012066760</v>
      </c>
      <c r="Y1592" s="0" t="s">
        <v>39</v>
      </c>
      <c r="Z1592" s="0" t="s">
        <v>42</v>
      </c>
      <c r="AA1592" s="0" t="s">
        <v>622</v>
      </c>
      <c r="AE1592" s="1" t="s">
        <v>52</v>
      </c>
    </row>
    <row r="1593" customFormat="false" ht="12.8" hidden="false" customHeight="false" outlineLevel="0" collapsed="false">
      <c r="A1593" s="0" t="n">
        <v>210985</v>
      </c>
      <c r="B1593" s="0" t="n">
        <v>231476</v>
      </c>
      <c r="C1593" s="0" t="n">
        <v>260511</v>
      </c>
      <c r="D1593" s="0" t="s">
        <v>35</v>
      </c>
      <c r="E1593" s="0" t="s">
        <v>35</v>
      </c>
      <c r="F1593" s="0" t="s">
        <v>480</v>
      </c>
      <c r="G1593" s="0" t="s">
        <v>37</v>
      </c>
      <c r="H1593" s="0" t="s">
        <v>5613</v>
      </c>
      <c r="I1593" s="0" t="s">
        <v>5614</v>
      </c>
      <c r="J1593" s="0" t="s">
        <v>5613</v>
      </c>
      <c r="M1593" s="0" t="s">
        <v>5615</v>
      </c>
      <c r="N1593" s="0" t="s">
        <v>5616</v>
      </c>
      <c r="O1593" s="0" t="s">
        <v>5617</v>
      </c>
      <c r="P1593" s="0" t="n">
        <v>1950</v>
      </c>
      <c r="Q1593" s="0" t="s">
        <v>39</v>
      </c>
      <c r="R1593" s="0" t="s">
        <v>5618</v>
      </c>
      <c r="S1593" s="0" t="s">
        <v>5619</v>
      </c>
      <c r="T1593" s="0" t="n">
        <v>1982</v>
      </c>
      <c r="V1593" s="0" t="n">
        <v>1</v>
      </c>
      <c r="W1593" s="0" t="n">
        <v>1</v>
      </c>
      <c r="X1593" s="0" t="str">
        <f aca="false">"31811012067081"</f>
        <v>31811012067081</v>
      </c>
      <c r="Y1593" s="0" t="s">
        <v>39</v>
      </c>
      <c r="Z1593" s="0" t="s">
        <v>42</v>
      </c>
      <c r="AA1593" s="0" t="s">
        <v>622</v>
      </c>
      <c r="AE1593" s="1" t="s">
        <v>52</v>
      </c>
    </row>
    <row r="1594" customFormat="false" ht="12.8" hidden="false" customHeight="false" outlineLevel="0" collapsed="false">
      <c r="A1594" s="0" t="n">
        <v>210985</v>
      </c>
      <c r="B1594" s="0" t="n">
        <v>231476</v>
      </c>
      <c r="C1594" s="0" t="n">
        <v>260512</v>
      </c>
      <c r="D1594" s="0" t="s">
        <v>35</v>
      </c>
      <c r="E1594" s="0" t="s">
        <v>35</v>
      </c>
      <c r="F1594" s="0" t="s">
        <v>480</v>
      </c>
      <c r="G1594" s="0" t="s">
        <v>37</v>
      </c>
      <c r="H1594" s="0" t="s">
        <v>5613</v>
      </c>
      <c r="I1594" s="0" t="s">
        <v>5614</v>
      </c>
      <c r="J1594" s="0" t="s">
        <v>5613</v>
      </c>
      <c r="M1594" s="0" t="s">
        <v>5615</v>
      </c>
      <c r="N1594" s="0" t="s">
        <v>5616</v>
      </c>
      <c r="O1594" s="0" t="s">
        <v>5617</v>
      </c>
      <c r="P1594" s="0" t="n">
        <v>1950</v>
      </c>
      <c r="Q1594" s="0" t="s">
        <v>39</v>
      </c>
      <c r="R1594" s="0" t="s">
        <v>5618</v>
      </c>
      <c r="S1594" s="0" t="s">
        <v>5619</v>
      </c>
      <c r="T1594" s="0" t="n">
        <v>1981</v>
      </c>
      <c r="V1594" s="0" t="n">
        <v>1</v>
      </c>
      <c r="W1594" s="0" t="n">
        <v>1</v>
      </c>
      <c r="X1594" s="0" t="str">
        <f aca="false">"31811012067073"</f>
        <v>31811012067073</v>
      </c>
      <c r="Y1594" s="0" t="s">
        <v>39</v>
      </c>
      <c r="Z1594" s="0" t="s">
        <v>42</v>
      </c>
      <c r="AA1594" s="0" t="s">
        <v>622</v>
      </c>
      <c r="AE1594" s="1" t="s">
        <v>52</v>
      </c>
    </row>
    <row r="1595" customFormat="false" ht="12.8" hidden="false" customHeight="false" outlineLevel="0" collapsed="false">
      <c r="A1595" s="0" t="n">
        <v>210985</v>
      </c>
      <c r="B1595" s="0" t="n">
        <v>231476</v>
      </c>
      <c r="C1595" s="0" t="n">
        <v>260513</v>
      </c>
      <c r="D1595" s="0" t="s">
        <v>35</v>
      </c>
      <c r="E1595" s="0" t="s">
        <v>35</v>
      </c>
      <c r="F1595" s="0" t="s">
        <v>480</v>
      </c>
      <c r="G1595" s="0" t="s">
        <v>37</v>
      </c>
      <c r="H1595" s="0" t="s">
        <v>5613</v>
      </c>
      <c r="I1595" s="0" t="s">
        <v>5614</v>
      </c>
      <c r="J1595" s="0" t="s">
        <v>5613</v>
      </c>
      <c r="M1595" s="0" t="s">
        <v>5615</v>
      </c>
      <c r="N1595" s="0" t="s">
        <v>5616</v>
      </c>
      <c r="O1595" s="0" t="s">
        <v>5617</v>
      </c>
      <c r="P1595" s="0" t="n">
        <v>1950</v>
      </c>
      <c r="Q1595" s="0" t="s">
        <v>39</v>
      </c>
      <c r="R1595" s="0" t="s">
        <v>5618</v>
      </c>
      <c r="S1595" s="0" t="s">
        <v>5619</v>
      </c>
      <c r="T1595" s="0" t="n">
        <v>1980</v>
      </c>
      <c r="V1595" s="0" t="n">
        <v>1</v>
      </c>
      <c r="W1595" s="0" t="n">
        <v>1</v>
      </c>
      <c r="X1595" s="0" t="str">
        <f aca="false">"31811012067065"</f>
        <v>31811012067065</v>
      </c>
      <c r="Y1595" s="0" t="s">
        <v>39</v>
      </c>
      <c r="Z1595" s="0" t="s">
        <v>42</v>
      </c>
      <c r="AA1595" s="0" t="s">
        <v>622</v>
      </c>
      <c r="AE1595" s="1" t="s">
        <v>52</v>
      </c>
    </row>
    <row r="1596" customFormat="false" ht="12.8" hidden="false" customHeight="false" outlineLevel="0" collapsed="false">
      <c r="A1596" s="0" t="n">
        <v>210985</v>
      </c>
      <c r="B1596" s="0" t="n">
        <v>231476</v>
      </c>
      <c r="C1596" s="0" t="n">
        <v>260514</v>
      </c>
      <c r="D1596" s="0" t="s">
        <v>35</v>
      </c>
      <c r="E1596" s="0" t="s">
        <v>35</v>
      </c>
      <c r="F1596" s="0" t="s">
        <v>480</v>
      </c>
      <c r="G1596" s="0" t="s">
        <v>37</v>
      </c>
      <c r="H1596" s="0" t="s">
        <v>5613</v>
      </c>
      <c r="I1596" s="0" t="s">
        <v>5614</v>
      </c>
      <c r="J1596" s="0" t="s">
        <v>5613</v>
      </c>
      <c r="M1596" s="0" t="s">
        <v>5615</v>
      </c>
      <c r="N1596" s="0" t="s">
        <v>5616</v>
      </c>
      <c r="O1596" s="0" t="s">
        <v>5617</v>
      </c>
      <c r="P1596" s="0" t="n">
        <v>1950</v>
      </c>
      <c r="Q1596" s="0" t="s">
        <v>39</v>
      </c>
      <c r="R1596" s="0" t="s">
        <v>5618</v>
      </c>
      <c r="S1596" s="0" t="s">
        <v>5619</v>
      </c>
      <c r="T1596" s="0" t="n">
        <v>1979</v>
      </c>
      <c r="V1596" s="0" t="n">
        <v>1</v>
      </c>
      <c r="W1596" s="0" t="n">
        <v>1</v>
      </c>
      <c r="X1596" s="0" t="str">
        <f aca="false">"31811012067057"</f>
        <v>31811012067057</v>
      </c>
      <c r="Y1596" s="0" t="s">
        <v>39</v>
      </c>
      <c r="Z1596" s="0" t="s">
        <v>42</v>
      </c>
      <c r="AA1596" s="0" t="s">
        <v>622</v>
      </c>
      <c r="AE1596" s="1" t="s">
        <v>52</v>
      </c>
    </row>
    <row r="1597" customFormat="false" ht="12.8" hidden="false" customHeight="false" outlineLevel="0" collapsed="false">
      <c r="A1597" s="0" t="n">
        <v>210985</v>
      </c>
      <c r="B1597" s="0" t="n">
        <v>231476</v>
      </c>
      <c r="C1597" s="0" t="n">
        <v>260515</v>
      </c>
      <c r="D1597" s="0" t="s">
        <v>35</v>
      </c>
      <c r="E1597" s="0" t="s">
        <v>35</v>
      </c>
      <c r="F1597" s="0" t="s">
        <v>480</v>
      </c>
      <c r="G1597" s="0" t="s">
        <v>37</v>
      </c>
      <c r="H1597" s="0" t="s">
        <v>5613</v>
      </c>
      <c r="I1597" s="0" t="s">
        <v>5614</v>
      </c>
      <c r="J1597" s="0" t="s">
        <v>5613</v>
      </c>
      <c r="M1597" s="0" t="s">
        <v>5615</v>
      </c>
      <c r="N1597" s="0" t="s">
        <v>5616</v>
      </c>
      <c r="O1597" s="0" t="s">
        <v>5617</v>
      </c>
      <c r="P1597" s="0" t="n">
        <v>1950</v>
      </c>
      <c r="Q1597" s="0" t="s">
        <v>39</v>
      </c>
      <c r="R1597" s="0" t="s">
        <v>5618</v>
      </c>
      <c r="S1597" s="0" t="s">
        <v>5619</v>
      </c>
      <c r="T1597" s="0" t="n">
        <v>1978</v>
      </c>
      <c r="V1597" s="0" t="n">
        <v>1</v>
      </c>
      <c r="W1597" s="0" t="n">
        <v>1</v>
      </c>
      <c r="X1597" s="0" t="str">
        <f aca="false">"31811012067404"</f>
        <v>31811012067404</v>
      </c>
      <c r="Y1597" s="0" t="s">
        <v>39</v>
      </c>
      <c r="Z1597" s="0" t="s">
        <v>42</v>
      </c>
      <c r="AA1597" s="0" t="s">
        <v>622</v>
      </c>
      <c r="AE1597" s="1" t="s">
        <v>52</v>
      </c>
    </row>
    <row r="1598" customFormat="false" ht="12.8" hidden="false" customHeight="false" outlineLevel="0" collapsed="false">
      <c r="A1598" s="0" t="n">
        <v>210985</v>
      </c>
      <c r="B1598" s="0" t="n">
        <v>231476</v>
      </c>
      <c r="C1598" s="0" t="n">
        <v>260516</v>
      </c>
      <c r="D1598" s="0" t="s">
        <v>35</v>
      </c>
      <c r="E1598" s="0" t="s">
        <v>35</v>
      </c>
      <c r="F1598" s="0" t="s">
        <v>480</v>
      </c>
      <c r="G1598" s="0" t="s">
        <v>37</v>
      </c>
      <c r="H1598" s="0" t="s">
        <v>5613</v>
      </c>
      <c r="I1598" s="0" t="s">
        <v>5614</v>
      </c>
      <c r="J1598" s="0" t="s">
        <v>5613</v>
      </c>
      <c r="M1598" s="0" t="s">
        <v>5615</v>
      </c>
      <c r="N1598" s="0" t="s">
        <v>5616</v>
      </c>
      <c r="O1598" s="0" t="s">
        <v>5617</v>
      </c>
      <c r="P1598" s="0" t="n">
        <v>1950</v>
      </c>
      <c r="Q1598" s="0" t="s">
        <v>39</v>
      </c>
      <c r="R1598" s="0" t="s">
        <v>5618</v>
      </c>
      <c r="S1598" s="0" t="s">
        <v>5619</v>
      </c>
      <c r="T1598" s="0" t="n">
        <v>1977</v>
      </c>
      <c r="V1598" s="0" t="n">
        <v>1</v>
      </c>
      <c r="W1598" s="0" t="n">
        <v>1</v>
      </c>
      <c r="X1598" s="0" t="str">
        <f aca="false">"31811012067396"</f>
        <v>31811012067396</v>
      </c>
      <c r="Y1598" s="0" t="s">
        <v>39</v>
      </c>
      <c r="Z1598" s="0" t="s">
        <v>42</v>
      </c>
      <c r="AA1598" s="0" t="s">
        <v>622</v>
      </c>
      <c r="AE1598" s="1" t="s">
        <v>52</v>
      </c>
    </row>
    <row r="1599" customFormat="false" ht="12.8" hidden="false" customHeight="false" outlineLevel="0" collapsed="false">
      <c r="A1599" s="0" t="n">
        <v>210985</v>
      </c>
      <c r="B1599" s="0" t="n">
        <v>231476</v>
      </c>
      <c r="C1599" s="0" t="n">
        <v>260517</v>
      </c>
      <c r="D1599" s="0" t="s">
        <v>35</v>
      </c>
      <c r="E1599" s="0" t="s">
        <v>35</v>
      </c>
      <c r="F1599" s="0" t="s">
        <v>480</v>
      </c>
      <c r="G1599" s="0" t="s">
        <v>37</v>
      </c>
      <c r="H1599" s="0" t="s">
        <v>5613</v>
      </c>
      <c r="I1599" s="0" t="s">
        <v>5614</v>
      </c>
      <c r="J1599" s="0" t="s">
        <v>5613</v>
      </c>
      <c r="M1599" s="0" t="s">
        <v>5615</v>
      </c>
      <c r="N1599" s="0" t="s">
        <v>5616</v>
      </c>
      <c r="O1599" s="0" t="s">
        <v>5617</v>
      </c>
      <c r="P1599" s="0" t="n">
        <v>1950</v>
      </c>
      <c r="Q1599" s="0" t="s">
        <v>39</v>
      </c>
      <c r="R1599" s="0" t="s">
        <v>5618</v>
      </c>
      <c r="S1599" s="0" t="s">
        <v>5619</v>
      </c>
      <c r="T1599" s="0" t="n">
        <v>1976</v>
      </c>
      <c r="V1599" s="0" t="n">
        <v>1</v>
      </c>
      <c r="W1599" s="0" t="n">
        <v>1</v>
      </c>
      <c r="X1599" s="0" t="str">
        <f aca="false">"31811012067388"</f>
        <v>31811012067388</v>
      </c>
      <c r="Y1599" s="0" t="s">
        <v>39</v>
      </c>
      <c r="Z1599" s="0" t="s">
        <v>42</v>
      </c>
      <c r="AA1599" s="0" t="s">
        <v>622</v>
      </c>
      <c r="AE1599" s="1" t="s">
        <v>52</v>
      </c>
    </row>
    <row r="1600" customFormat="false" ht="12.8" hidden="false" customHeight="false" outlineLevel="0" collapsed="false">
      <c r="A1600" s="0" t="n">
        <v>210985</v>
      </c>
      <c r="B1600" s="0" t="n">
        <v>231476</v>
      </c>
      <c r="C1600" s="0" t="n">
        <v>260518</v>
      </c>
      <c r="D1600" s="0" t="s">
        <v>35</v>
      </c>
      <c r="E1600" s="0" t="s">
        <v>35</v>
      </c>
      <c r="F1600" s="0" t="s">
        <v>480</v>
      </c>
      <c r="G1600" s="0" t="s">
        <v>37</v>
      </c>
      <c r="H1600" s="0" t="s">
        <v>5613</v>
      </c>
      <c r="I1600" s="0" t="s">
        <v>5614</v>
      </c>
      <c r="J1600" s="0" t="s">
        <v>5613</v>
      </c>
      <c r="M1600" s="0" t="s">
        <v>5615</v>
      </c>
      <c r="N1600" s="0" t="s">
        <v>5616</v>
      </c>
      <c r="O1600" s="0" t="s">
        <v>5617</v>
      </c>
      <c r="P1600" s="0" t="n">
        <v>1950</v>
      </c>
      <c r="Q1600" s="0" t="s">
        <v>39</v>
      </c>
      <c r="R1600" s="0" t="s">
        <v>5618</v>
      </c>
      <c r="S1600" s="0" t="s">
        <v>5619</v>
      </c>
      <c r="T1600" s="0" t="n">
        <v>1975</v>
      </c>
      <c r="V1600" s="0" t="n">
        <v>1</v>
      </c>
      <c r="W1600" s="0" t="n">
        <v>1</v>
      </c>
      <c r="X1600" s="0" t="str">
        <f aca="false">"31811012067370"</f>
        <v>31811012067370</v>
      </c>
      <c r="Y1600" s="0" t="s">
        <v>39</v>
      </c>
      <c r="Z1600" s="0" t="s">
        <v>42</v>
      </c>
      <c r="AA1600" s="0" t="s">
        <v>622</v>
      </c>
      <c r="AE1600" s="1" t="s">
        <v>52</v>
      </c>
    </row>
    <row r="1601" customFormat="false" ht="12.8" hidden="false" customHeight="false" outlineLevel="0" collapsed="false">
      <c r="A1601" s="0" t="n">
        <v>210985</v>
      </c>
      <c r="B1601" s="0" t="n">
        <v>231476</v>
      </c>
      <c r="C1601" s="0" t="n">
        <v>260519</v>
      </c>
      <c r="D1601" s="0" t="s">
        <v>35</v>
      </c>
      <c r="E1601" s="0" t="s">
        <v>35</v>
      </c>
      <c r="F1601" s="0" t="s">
        <v>480</v>
      </c>
      <c r="G1601" s="0" t="s">
        <v>37</v>
      </c>
      <c r="H1601" s="0" t="s">
        <v>5613</v>
      </c>
      <c r="I1601" s="0" t="s">
        <v>5614</v>
      </c>
      <c r="J1601" s="0" t="s">
        <v>5613</v>
      </c>
      <c r="M1601" s="0" t="s">
        <v>5615</v>
      </c>
      <c r="N1601" s="0" t="s">
        <v>5616</v>
      </c>
      <c r="O1601" s="0" t="s">
        <v>5617</v>
      </c>
      <c r="P1601" s="0" t="n">
        <v>1950</v>
      </c>
      <c r="Q1601" s="0" t="s">
        <v>39</v>
      </c>
      <c r="R1601" s="0" t="s">
        <v>5618</v>
      </c>
      <c r="S1601" s="0" t="s">
        <v>5619</v>
      </c>
      <c r="T1601" s="0" t="n">
        <v>1974</v>
      </c>
      <c r="V1601" s="0" t="n">
        <v>1</v>
      </c>
      <c r="W1601" s="0" t="n">
        <v>1</v>
      </c>
      <c r="X1601" s="0" t="str">
        <f aca="false">"31811012067727"</f>
        <v>31811012067727</v>
      </c>
      <c r="Y1601" s="0" t="s">
        <v>39</v>
      </c>
      <c r="Z1601" s="0" t="s">
        <v>42</v>
      </c>
      <c r="AA1601" s="0" t="s">
        <v>622</v>
      </c>
      <c r="AE1601" s="1" t="s">
        <v>52</v>
      </c>
    </row>
    <row r="1602" customFormat="false" ht="12.8" hidden="false" customHeight="false" outlineLevel="0" collapsed="false">
      <c r="A1602" s="0" t="n">
        <v>210985</v>
      </c>
      <c r="B1602" s="0" t="n">
        <v>231476</v>
      </c>
      <c r="C1602" s="0" t="n">
        <v>260520</v>
      </c>
      <c r="D1602" s="0" t="s">
        <v>35</v>
      </c>
      <c r="E1602" s="0" t="s">
        <v>35</v>
      </c>
      <c r="F1602" s="0" t="s">
        <v>480</v>
      </c>
      <c r="G1602" s="0" t="s">
        <v>37</v>
      </c>
      <c r="H1602" s="0" t="s">
        <v>5613</v>
      </c>
      <c r="I1602" s="0" t="s">
        <v>5614</v>
      </c>
      <c r="J1602" s="0" t="s">
        <v>5613</v>
      </c>
      <c r="M1602" s="0" t="s">
        <v>5615</v>
      </c>
      <c r="N1602" s="0" t="s">
        <v>5616</v>
      </c>
      <c r="O1602" s="0" t="s">
        <v>5617</v>
      </c>
      <c r="P1602" s="0" t="n">
        <v>1950</v>
      </c>
      <c r="Q1602" s="0" t="s">
        <v>39</v>
      </c>
      <c r="R1602" s="0" t="s">
        <v>5618</v>
      </c>
      <c r="S1602" s="0" t="s">
        <v>5619</v>
      </c>
      <c r="T1602" s="0" t="n">
        <v>1973</v>
      </c>
      <c r="V1602" s="0" t="n">
        <v>1</v>
      </c>
      <c r="W1602" s="0" t="n">
        <v>1</v>
      </c>
      <c r="X1602" s="0" t="str">
        <f aca="false">"31811012067719"</f>
        <v>31811012067719</v>
      </c>
      <c r="Y1602" s="0" t="s">
        <v>39</v>
      </c>
      <c r="Z1602" s="0" t="s">
        <v>42</v>
      </c>
      <c r="AA1602" s="0" t="s">
        <v>622</v>
      </c>
      <c r="AE1602" s="1" t="s">
        <v>52</v>
      </c>
    </row>
    <row r="1603" customFormat="false" ht="12.8" hidden="false" customHeight="false" outlineLevel="0" collapsed="false">
      <c r="A1603" s="0" t="n">
        <v>210985</v>
      </c>
      <c r="B1603" s="0" t="n">
        <v>231476</v>
      </c>
      <c r="C1603" s="0" t="n">
        <v>260521</v>
      </c>
      <c r="D1603" s="0" t="s">
        <v>35</v>
      </c>
      <c r="E1603" s="0" t="s">
        <v>35</v>
      </c>
      <c r="F1603" s="0" t="s">
        <v>480</v>
      </c>
      <c r="G1603" s="0" t="s">
        <v>37</v>
      </c>
      <c r="H1603" s="0" t="s">
        <v>5613</v>
      </c>
      <c r="I1603" s="0" t="s">
        <v>5614</v>
      </c>
      <c r="J1603" s="0" t="s">
        <v>5613</v>
      </c>
      <c r="M1603" s="0" t="s">
        <v>5615</v>
      </c>
      <c r="N1603" s="0" t="s">
        <v>5616</v>
      </c>
      <c r="O1603" s="0" t="s">
        <v>5617</v>
      </c>
      <c r="P1603" s="0" t="n">
        <v>1950</v>
      </c>
      <c r="Q1603" s="0" t="s">
        <v>39</v>
      </c>
      <c r="R1603" s="0" t="s">
        <v>5618</v>
      </c>
      <c r="S1603" s="0" t="s">
        <v>5619</v>
      </c>
      <c r="T1603" s="0" t="n">
        <v>1972</v>
      </c>
      <c r="V1603" s="0" t="n">
        <v>1</v>
      </c>
      <c r="W1603" s="0" t="n">
        <v>1</v>
      </c>
      <c r="X1603" s="0" t="str">
        <f aca="false">"31811012067701"</f>
        <v>31811012067701</v>
      </c>
      <c r="Y1603" s="0" t="s">
        <v>39</v>
      </c>
      <c r="Z1603" s="0" t="s">
        <v>42</v>
      </c>
      <c r="AA1603" s="0" t="s">
        <v>622</v>
      </c>
      <c r="AE1603" s="1" t="s">
        <v>52</v>
      </c>
    </row>
    <row r="1604" customFormat="false" ht="12.8" hidden="false" customHeight="false" outlineLevel="0" collapsed="false">
      <c r="A1604" s="0" t="n">
        <v>210985</v>
      </c>
      <c r="B1604" s="0" t="n">
        <v>231476</v>
      </c>
      <c r="C1604" s="0" t="n">
        <v>260522</v>
      </c>
      <c r="D1604" s="0" t="s">
        <v>35</v>
      </c>
      <c r="E1604" s="0" t="s">
        <v>35</v>
      </c>
      <c r="F1604" s="0" t="s">
        <v>480</v>
      </c>
      <c r="G1604" s="0" t="s">
        <v>37</v>
      </c>
      <c r="H1604" s="0" t="s">
        <v>5613</v>
      </c>
      <c r="I1604" s="0" t="s">
        <v>5614</v>
      </c>
      <c r="J1604" s="0" t="s">
        <v>5613</v>
      </c>
      <c r="M1604" s="0" t="s">
        <v>5615</v>
      </c>
      <c r="N1604" s="0" t="s">
        <v>5616</v>
      </c>
      <c r="O1604" s="0" t="s">
        <v>5617</v>
      </c>
      <c r="P1604" s="0" t="n">
        <v>1950</v>
      </c>
      <c r="Q1604" s="0" t="s">
        <v>39</v>
      </c>
      <c r="R1604" s="0" t="s">
        <v>5618</v>
      </c>
      <c r="S1604" s="0" t="s">
        <v>5619</v>
      </c>
      <c r="T1604" s="0" t="n">
        <v>1971</v>
      </c>
      <c r="V1604" s="0" t="n">
        <v>1</v>
      </c>
      <c r="W1604" s="0" t="n">
        <v>1</v>
      </c>
      <c r="X1604" s="0" t="str">
        <f aca="false">"31811012067693"</f>
        <v>31811012067693</v>
      </c>
      <c r="Y1604" s="0" t="s">
        <v>39</v>
      </c>
      <c r="Z1604" s="0" t="s">
        <v>42</v>
      </c>
      <c r="AA1604" s="0" t="s">
        <v>622</v>
      </c>
      <c r="AE1604" s="1" t="s">
        <v>52</v>
      </c>
    </row>
    <row r="1605" customFormat="false" ht="12.8" hidden="false" customHeight="false" outlineLevel="0" collapsed="false">
      <c r="A1605" s="0" t="n">
        <v>210985</v>
      </c>
      <c r="B1605" s="0" t="n">
        <v>231476</v>
      </c>
      <c r="C1605" s="0" t="n">
        <v>260523</v>
      </c>
      <c r="D1605" s="0" t="s">
        <v>35</v>
      </c>
      <c r="E1605" s="0" t="s">
        <v>35</v>
      </c>
      <c r="F1605" s="0" t="s">
        <v>480</v>
      </c>
      <c r="G1605" s="0" t="s">
        <v>37</v>
      </c>
      <c r="H1605" s="0" t="s">
        <v>5613</v>
      </c>
      <c r="I1605" s="0" t="s">
        <v>5614</v>
      </c>
      <c r="J1605" s="0" t="s">
        <v>5613</v>
      </c>
      <c r="M1605" s="0" t="s">
        <v>5615</v>
      </c>
      <c r="N1605" s="0" t="s">
        <v>5616</v>
      </c>
      <c r="O1605" s="0" t="s">
        <v>5617</v>
      </c>
      <c r="P1605" s="0" t="n">
        <v>1950</v>
      </c>
      <c r="Q1605" s="0" t="s">
        <v>39</v>
      </c>
      <c r="R1605" s="0" t="s">
        <v>5618</v>
      </c>
      <c r="S1605" s="0" t="s">
        <v>5619</v>
      </c>
      <c r="T1605" s="0" t="n">
        <v>1970</v>
      </c>
      <c r="V1605" s="0" t="n">
        <v>1</v>
      </c>
      <c r="W1605" s="0" t="n">
        <v>1</v>
      </c>
      <c r="X1605" s="0" t="str">
        <f aca="false">"31811012066604"</f>
        <v>31811012066604</v>
      </c>
      <c r="Y1605" s="0" t="s">
        <v>39</v>
      </c>
      <c r="Z1605" s="0" t="s">
        <v>42</v>
      </c>
      <c r="AA1605" s="0" t="s">
        <v>622</v>
      </c>
      <c r="AE1605" s="1" t="s">
        <v>52</v>
      </c>
    </row>
    <row r="1606" customFormat="false" ht="12.8" hidden="false" customHeight="false" outlineLevel="0" collapsed="false">
      <c r="A1606" s="0" t="n">
        <v>210985</v>
      </c>
      <c r="B1606" s="0" t="n">
        <v>231476</v>
      </c>
      <c r="C1606" s="0" t="n">
        <v>260524</v>
      </c>
      <c r="D1606" s="0" t="s">
        <v>35</v>
      </c>
      <c r="E1606" s="0" t="s">
        <v>35</v>
      </c>
      <c r="F1606" s="0" t="s">
        <v>480</v>
      </c>
      <c r="G1606" s="0" t="s">
        <v>37</v>
      </c>
      <c r="H1606" s="0" t="s">
        <v>5613</v>
      </c>
      <c r="I1606" s="0" t="s">
        <v>5614</v>
      </c>
      <c r="J1606" s="0" t="s">
        <v>5613</v>
      </c>
      <c r="M1606" s="0" t="s">
        <v>5615</v>
      </c>
      <c r="N1606" s="0" t="s">
        <v>5616</v>
      </c>
      <c r="O1606" s="0" t="s">
        <v>5617</v>
      </c>
      <c r="P1606" s="0" t="n">
        <v>1950</v>
      </c>
      <c r="Q1606" s="0" t="s">
        <v>39</v>
      </c>
      <c r="R1606" s="0" t="s">
        <v>5618</v>
      </c>
      <c r="S1606" s="0" t="s">
        <v>5619</v>
      </c>
      <c r="T1606" s="0" t="n">
        <v>1969</v>
      </c>
      <c r="V1606" s="0" t="n">
        <v>1</v>
      </c>
      <c r="W1606" s="0" t="n">
        <v>1</v>
      </c>
      <c r="X1606" s="0" t="str">
        <f aca="false">"31811012066596"</f>
        <v>31811012066596</v>
      </c>
      <c r="Y1606" s="0" t="s">
        <v>39</v>
      </c>
      <c r="Z1606" s="0" t="s">
        <v>42</v>
      </c>
      <c r="AA1606" s="0" t="s">
        <v>622</v>
      </c>
      <c r="AE1606" s="1" t="s">
        <v>52</v>
      </c>
    </row>
    <row r="1607" customFormat="false" ht="12.8" hidden="false" customHeight="false" outlineLevel="0" collapsed="false">
      <c r="A1607" s="0" t="n">
        <v>210985</v>
      </c>
      <c r="B1607" s="0" t="n">
        <v>231476</v>
      </c>
      <c r="C1607" s="0" t="n">
        <v>260525</v>
      </c>
      <c r="D1607" s="0" t="s">
        <v>35</v>
      </c>
      <c r="E1607" s="0" t="s">
        <v>35</v>
      </c>
      <c r="F1607" s="0" t="s">
        <v>480</v>
      </c>
      <c r="G1607" s="0" t="s">
        <v>37</v>
      </c>
      <c r="H1607" s="0" t="s">
        <v>5613</v>
      </c>
      <c r="I1607" s="0" t="s">
        <v>5614</v>
      </c>
      <c r="J1607" s="0" t="s">
        <v>5613</v>
      </c>
      <c r="M1607" s="0" t="s">
        <v>5615</v>
      </c>
      <c r="N1607" s="0" t="s">
        <v>5616</v>
      </c>
      <c r="O1607" s="0" t="s">
        <v>5617</v>
      </c>
      <c r="P1607" s="0" t="n">
        <v>1950</v>
      </c>
      <c r="Q1607" s="0" t="s">
        <v>39</v>
      </c>
      <c r="R1607" s="0" t="s">
        <v>5618</v>
      </c>
      <c r="S1607" s="0" t="s">
        <v>5619</v>
      </c>
      <c r="T1607" s="0" t="n">
        <v>1968</v>
      </c>
      <c r="V1607" s="0" t="n">
        <v>1</v>
      </c>
      <c r="W1607" s="0" t="n">
        <v>1</v>
      </c>
      <c r="X1607" s="0" t="str">
        <f aca="false">"31811012066588"</f>
        <v>31811012066588</v>
      </c>
      <c r="Y1607" s="0" t="s">
        <v>39</v>
      </c>
      <c r="Z1607" s="0" t="s">
        <v>42</v>
      </c>
      <c r="AA1607" s="0" t="s">
        <v>622</v>
      </c>
      <c r="AE1607" s="1" t="s">
        <v>52</v>
      </c>
    </row>
    <row r="1608" customFormat="false" ht="12.8" hidden="false" customHeight="false" outlineLevel="0" collapsed="false">
      <c r="A1608" s="0" t="n">
        <v>262735</v>
      </c>
      <c r="B1608" s="0" t="n">
        <v>287742</v>
      </c>
      <c r="C1608" s="0" t="n">
        <v>323217</v>
      </c>
      <c r="D1608" s="0" t="s">
        <v>35</v>
      </c>
      <c r="E1608" s="0" t="s">
        <v>35</v>
      </c>
      <c r="F1608" s="0" t="s">
        <v>480</v>
      </c>
      <c r="G1608" s="0" t="s">
        <v>37</v>
      </c>
      <c r="H1608" s="0" t="s">
        <v>5620</v>
      </c>
      <c r="I1608" s="0" t="s">
        <v>5614</v>
      </c>
      <c r="J1608" s="0" t="s">
        <v>5620</v>
      </c>
      <c r="M1608" s="0" t="s">
        <v>5621</v>
      </c>
      <c r="N1608" s="0" t="s">
        <v>5622</v>
      </c>
      <c r="O1608" s="0" t="s">
        <v>5623</v>
      </c>
      <c r="P1608" s="0" t="n">
        <v>1985</v>
      </c>
      <c r="Q1608" s="0" t="s">
        <v>39</v>
      </c>
      <c r="R1608" s="0" t="s">
        <v>5618</v>
      </c>
      <c r="S1608" s="0" t="s">
        <v>5619</v>
      </c>
      <c r="T1608" s="0" t="n">
        <v>1986</v>
      </c>
      <c r="V1608" s="0" t="n">
        <v>1</v>
      </c>
      <c r="W1608" s="0" t="n">
        <v>1</v>
      </c>
      <c r="X1608" s="0" t="str">
        <f aca="false">"31811012066737"</f>
        <v>31811012066737</v>
      </c>
      <c r="Y1608" s="0" t="s">
        <v>39</v>
      </c>
      <c r="Z1608" s="0" t="s">
        <v>42</v>
      </c>
      <c r="AA1608" s="0" t="s">
        <v>622</v>
      </c>
      <c r="AE1608" s="1" t="s">
        <v>52</v>
      </c>
    </row>
    <row r="1609" customFormat="false" ht="12.8" hidden="false" customHeight="false" outlineLevel="0" collapsed="false">
      <c r="A1609" s="0" t="n">
        <v>546322</v>
      </c>
      <c r="B1609" s="0" t="n">
        <v>584663</v>
      </c>
      <c r="C1609" s="0" t="n">
        <v>661171</v>
      </c>
      <c r="D1609" s="0" t="s">
        <v>35</v>
      </c>
      <c r="E1609" s="0" t="s">
        <v>35</v>
      </c>
      <c r="F1609" s="0" t="s">
        <v>480</v>
      </c>
      <c r="G1609" s="0" t="s">
        <v>37</v>
      </c>
      <c r="H1609" s="0" t="s">
        <v>5624</v>
      </c>
      <c r="I1609" s="0" t="s">
        <v>5614</v>
      </c>
      <c r="J1609" s="0" t="s">
        <v>1295</v>
      </c>
      <c r="M1609" s="0" t="s">
        <v>5625</v>
      </c>
      <c r="N1609" s="1" t="s">
        <v>5626</v>
      </c>
      <c r="O1609" s="0" t="s">
        <v>5623</v>
      </c>
      <c r="P1609" s="0" t="n">
        <v>1988</v>
      </c>
      <c r="Q1609" s="0" t="s">
        <v>39</v>
      </c>
      <c r="R1609" s="0" t="s">
        <v>5618</v>
      </c>
      <c r="S1609" s="0" t="s">
        <v>5619</v>
      </c>
      <c r="T1609" s="0" t="n">
        <v>1993</v>
      </c>
      <c r="V1609" s="0" t="n">
        <v>1</v>
      </c>
      <c r="W1609" s="0" t="n">
        <v>1</v>
      </c>
      <c r="X1609" s="0" t="str">
        <f aca="false">"31811012066745"</f>
        <v>31811012066745</v>
      </c>
      <c r="Y1609" s="0" t="s">
        <v>39</v>
      </c>
      <c r="Z1609" s="0" t="s">
        <v>42</v>
      </c>
      <c r="AA1609" s="0" t="s">
        <v>622</v>
      </c>
      <c r="AE1609" s="1" t="s">
        <v>52</v>
      </c>
    </row>
    <row r="1610" customFormat="false" ht="12.8" hidden="false" customHeight="false" outlineLevel="0" collapsed="false">
      <c r="A1610" s="0" t="n">
        <v>537751</v>
      </c>
      <c r="B1610" s="0" t="n">
        <v>575983</v>
      </c>
      <c r="C1610" s="0" t="n">
        <v>842177</v>
      </c>
      <c r="D1610" s="0" t="s">
        <v>35</v>
      </c>
      <c r="E1610" s="0" t="s">
        <v>35</v>
      </c>
      <c r="F1610" s="0" t="s">
        <v>480</v>
      </c>
      <c r="G1610" s="0" t="s">
        <v>37</v>
      </c>
      <c r="H1610" s="0" t="s">
        <v>5627</v>
      </c>
      <c r="I1610" s="0" t="s">
        <v>5628</v>
      </c>
      <c r="J1610" s="0" t="s">
        <v>5627</v>
      </c>
      <c r="M1610" s="0" t="s">
        <v>5629</v>
      </c>
      <c r="O1610" s="0" t="s">
        <v>5630</v>
      </c>
      <c r="Q1610" s="0" t="s">
        <v>39</v>
      </c>
      <c r="R1610" s="0" t="s">
        <v>5631</v>
      </c>
      <c r="S1610" s="0" t="s">
        <v>5632</v>
      </c>
      <c r="T1610" s="0" t="n">
        <v>1968</v>
      </c>
      <c r="V1610" s="0" t="n">
        <v>1</v>
      </c>
      <c r="W1610" s="0" t="n">
        <v>1</v>
      </c>
      <c r="X1610" s="0" t="str">
        <f aca="false">"31811013462059"</f>
        <v>31811013462059</v>
      </c>
      <c r="Y1610" s="0" t="s">
        <v>39</v>
      </c>
      <c r="Z1610" s="0" t="s">
        <v>42</v>
      </c>
      <c r="AA1610" s="0" t="s">
        <v>622</v>
      </c>
      <c r="AE1610" s="1" t="s">
        <v>52</v>
      </c>
      <c r="AF1610" s="1" t="s">
        <v>5633</v>
      </c>
    </row>
    <row r="1611" customFormat="false" ht="12.8" hidden="false" customHeight="false" outlineLevel="0" collapsed="false">
      <c r="A1611" s="0" t="n">
        <v>537751</v>
      </c>
      <c r="B1611" s="0" t="n">
        <v>575983</v>
      </c>
      <c r="C1611" s="0" t="n">
        <v>651993</v>
      </c>
      <c r="D1611" s="0" t="s">
        <v>35</v>
      </c>
      <c r="E1611" s="0" t="s">
        <v>35</v>
      </c>
      <c r="F1611" s="0" t="s">
        <v>480</v>
      </c>
      <c r="G1611" s="0" t="s">
        <v>37</v>
      </c>
      <c r="H1611" s="0" t="s">
        <v>5627</v>
      </c>
      <c r="I1611" s="0" t="s">
        <v>5628</v>
      </c>
      <c r="J1611" s="0" t="s">
        <v>5627</v>
      </c>
      <c r="M1611" s="0" t="s">
        <v>5629</v>
      </c>
      <c r="O1611" s="0" t="s">
        <v>5630</v>
      </c>
      <c r="Q1611" s="0" t="s">
        <v>39</v>
      </c>
      <c r="R1611" s="0" t="s">
        <v>5631</v>
      </c>
      <c r="S1611" s="0" t="s">
        <v>5632</v>
      </c>
      <c r="T1611" s="0" t="n">
        <v>1992</v>
      </c>
      <c r="V1611" s="0" t="n">
        <v>1</v>
      </c>
      <c r="W1611" s="0" t="n">
        <v>1</v>
      </c>
      <c r="X1611" s="0" t="str">
        <f aca="false">"31811012051168"</f>
        <v>31811012051168</v>
      </c>
      <c r="Y1611" s="0" t="s">
        <v>39</v>
      </c>
      <c r="Z1611" s="0" t="s">
        <v>42</v>
      </c>
      <c r="AA1611" s="0" t="s">
        <v>622</v>
      </c>
      <c r="AE1611" s="1" t="s">
        <v>52</v>
      </c>
      <c r="AF1611" s="1" t="s">
        <v>5633</v>
      </c>
    </row>
    <row r="1612" customFormat="false" ht="12.8" hidden="false" customHeight="false" outlineLevel="0" collapsed="false">
      <c r="A1612" s="0" t="n">
        <v>537751</v>
      </c>
      <c r="B1612" s="0" t="n">
        <v>575983</v>
      </c>
      <c r="C1612" s="0" t="n">
        <v>651994</v>
      </c>
      <c r="D1612" s="0" t="s">
        <v>35</v>
      </c>
      <c r="E1612" s="0" t="s">
        <v>35</v>
      </c>
      <c r="F1612" s="0" t="s">
        <v>480</v>
      </c>
      <c r="G1612" s="0" t="s">
        <v>37</v>
      </c>
      <c r="H1612" s="0" t="s">
        <v>5627</v>
      </c>
      <c r="I1612" s="0" t="s">
        <v>5628</v>
      </c>
      <c r="J1612" s="0" t="s">
        <v>5627</v>
      </c>
      <c r="M1612" s="0" t="s">
        <v>5629</v>
      </c>
      <c r="O1612" s="0" t="s">
        <v>5630</v>
      </c>
      <c r="Q1612" s="0" t="s">
        <v>39</v>
      </c>
      <c r="R1612" s="0" t="s">
        <v>5631</v>
      </c>
      <c r="S1612" s="0" t="s">
        <v>5632</v>
      </c>
      <c r="T1612" s="0" t="n">
        <v>1991</v>
      </c>
      <c r="V1612" s="0" t="n">
        <v>1</v>
      </c>
      <c r="W1612" s="0" t="n">
        <v>1</v>
      </c>
      <c r="X1612" s="0" t="str">
        <f aca="false">"31811012051150"</f>
        <v>31811012051150</v>
      </c>
      <c r="Y1612" s="0" t="s">
        <v>39</v>
      </c>
      <c r="Z1612" s="0" t="s">
        <v>42</v>
      </c>
      <c r="AA1612" s="0" t="s">
        <v>622</v>
      </c>
      <c r="AE1612" s="1" t="s">
        <v>52</v>
      </c>
      <c r="AF1612" s="1" t="s">
        <v>5633</v>
      </c>
    </row>
    <row r="1613" customFormat="false" ht="12.8" hidden="false" customHeight="false" outlineLevel="0" collapsed="false">
      <c r="A1613" s="0" t="n">
        <v>537751</v>
      </c>
      <c r="B1613" s="0" t="n">
        <v>575983</v>
      </c>
      <c r="C1613" s="0" t="n">
        <v>651995</v>
      </c>
      <c r="D1613" s="0" t="s">
        <v>35</v>
      </c>
      <c r="E1613" s="0" t="s">
        <v>35</v>
      </c>
      <c r="F1613" s="0" t="s">
        <v>480</v>
      </c>
      <c r="G1613" s="0" t="s">
        <v>37</v>
      </c>
      <c r="H1613" s="0" t="s">
        <v>5627</v>
      </c>
      <c r="I1613" s="0" t="s">
        <v>5628</v>
      </c>
      <c r="J1613" s="0" t="s">
        <v>5627</v>
      </c>
      <c r="M1613" s="0" t="s">
        <v>5629</v>
      </c>
      <c r="O1613" s="0" t="s">
        <v>5630</v>
      </c>
      <c r="Q1613" s="0" t="s">
        <v>39</v>
      </c>
      <c r="R1613" s="0" t="s">
        <v>5631</v>
      </c>
      <c r="S1613" s="0" t="s">
        <v>5632</v>
      </c>
      <c r="T1613" s="0" t="n">
        <v>1990</v>
      </c>
      <c r="V1613" s="0" t="n">
        <v>1</v>
      </c>
      <c r="W1613" s="0" t="n">
        <v>1</v>
      </c>
      <c r="X1613" s="0" t="str">
        <f aca="false">"31811012051143"</f>
        <v>31811012051143</v>
      </c>
      <c r="Y1613" s="0" t="s">
        <v>39</v>
      </c>
      <c r="Z1613" s="0" t="s">
        <v>42</v>
      </c>
      <c r="AA1613" s="0" t="s">
        <v>622</v>
      </c>
      <c r="AE1613" s="1" t="s">
        <v>52</v>
      </c>
      <c r="AF1613" s="1" t="s">
        <v>5633</v>
      </c>
    </row>
    <row r="1614" customFormat="false" ht="12.8" hidden="false" customHeight="false" outlineLevel="0" collapsed="false">
      <c r="A1614" s="0" t="n">
        <v>537751</v>
      </c>
      <c r="B1614" s="0" t="n">
        <v>575983</v>
      </c>
      <c r="C1614" s="0" t="n">
        <v>651996</v>
      </c>
      <c r="D1614" s="0" t="s">
        <v>35</v>
      </c>
      <c r="E1614" s="0" t="s">
        <v>35</v>
      </c>
      <c r="F1614" s="0" t="s">
        <v>480</v>
      </c>
      <c r="G1614" s="0" t="s">
        <v>37</v>
      </c>
      <c r="H1614" s="0" t="s">
        <v>5627</v>
      </c>
      <c r="I1614" s="0" t="s">
        <v>5628</v>
      </c>
      <c r="J1614" s="0" t="s">
        <v>5627</v>
      </c>
      <c r="M1614" s="0" t="s">
        <v>5629</v>
      </c>
      <c r="O1614" s="0" t="s">
        <v>5630</v>
      </c>
      <c r="Q1614" s="0" t="s">
        <v>39</v>
      </c>
      <c r="R1614" s="0" t="s">
        <v>5631</v>
      </c>
      <c r="S1614" s="0" t="s">
        <v>5632</v>
      </c>
      <c r="T1614" s="0" t="n">
        <v>1989</v>
      </c>
      <c r="V1614" s="0" t="n">
        <v>1</v>
      </c>
      <c r="W1614" s="0" t="n">
        <v>1</v>
      </c>
      <c r="X1614" s="0" t="str">
        <f aca="false">"31811012051135"</f>
        <v>31811012051135</v>
      </c>
      <c r="Y1614" s="0" t="s">
        <v>39</v>
      </c>
      <c r="Z1614" s="0" t="s">
        <v>42</v>
      </c>
      <c r="AA1614" s="0" t="s">
        <v>622</v>
      </c>
      <c r="AE1614" s="1" t="s">
        <v>52</v>
      </c>
      <c r="AF1614" s="1" t="s">
        <v>5633</v>
      </c>
    </row>
    <row r="1615" customFormat="false" ht="12.8" hidden="false" customHeight="false" outlineLevel="0" collapsed="false">
      <c r="A1615" s="0" t="n">
        <v>537751</v>
      </c>
      <c r="B1615" s="0" t="n">
        <v>575983</v>
      </c>
      <c r="C1615" s="0" t="n">
        <v>651997</v>
      </c>
      <c r="D1615" s="0" t="s">
        <v>35</v>
      </c>
      <c r="E1615" s="0" t="s">
        <v>35</v>
      </c>
      <c r="F1615" s="0" t="s">
        <v>480</v>
      </c>
      <c r="G1615" s="0" t="s">
        <v>37</v>
      </c>
      <c r="H1615" s="0" t="s">
        <v>5627</v>
      </c>
      <c r="I1615" s="0" t="s">
        <v>5628</v>
      </c>
      <c r="J1615" s="0" t="s">
        <v>5627</v>
      </c>
      <c r="M1615" s="0" t="s">
        <v>5629</v>
      </c>
      <c r="O1615" s="0" t="s">
        <v>5630</v>
      </c>
      <c r="Q1615" s="0" t="s">
        <v>39</v>
      </c>
      <c r="R1615" s="0" t="s">
        <v>5631</v>
      </c>
      <c r="S1615" s="0" t="s">
        <v>5632</v>
      </c>
      <c r="T1615" s="0" t="n">
        <v>1988</v>
      </c>
      <c r="V1615" s="0" t="n">
        <v>1</v>
      </c>
      <c r="W1615" s="0" t="n">
        <v>1</v>
      </c>
      <c r="X1615" s="0" t="str">
        <f aca="false">"31811012080126"</f>
        <v>31811012080126</v>
      </c>
      <c r="Y1615" s="0" t="s">
        <v>39</v>
      </c>
      <c r="Z1615" s="0" t="s">
        <v>42</v>
      </c>
      <c r="AA1615" s="0" t="s">
        <v>622</v>
      </c>
      <c r="AE1615" s="1" t="s">
        <v>52</v>
      </c>
      <c r="AF1615" s="1" t="s">
        <v>5633</v>
      </c>
    </row>
    <row r="1616" customFormat="false" ht="12.8" hidden="false" customHeight="false" outlineLevel="0" collapsed="false">
      <c r="A1616" s="0" t="n">
        <v>599113</v>
      </c>
      <c r="B1616" s="0" t="n">
        <v>640183</v>
      </c>
      <c r="C1616" s="0" t="n">
        <v>716865</v>
      </c>
      <c r="D1616" s="0" t="s">
        <v>35</v>
      </c>
      <c r="E1616" s="0" t="s">
        <v>35</v>
      </c>
      <c r="F1616" s="0" t="s">
        <v>36</v>
      </c>
      <c r="G1616" s="0" t="s">
        <v>37</v>
      </c>
      <c r="H1616" s="0" t="s">
        <v>5634</v>
      </c>
      <c r="I1616" s="0" t="s">
        <v>5635</v>
      </c>
      <c r="J1616" s="0" t="s">
        <v>5636</v>
      </c>
      <c r="L1616" s="0" t="s">
        <v>5637</v>
      </c>
      <c r="M1616" s="0" t="s">
        <v>5638</v>
      </c>
      <c r="N1616" s="0" t="n">
        <v>2003</v>
      </c>
      <c r="O1616" s="0" t="s">
        <v>5639</v>
      </c>
      <c r="P1616" s="0" t="n">
        <v>2003</v>
      </c>
      <c r="Q1616" s="0" t="s">
        <v>39</v>
      </c>
      <c r="R1616" s="0" t="s">
        <v>5640</v>
      </c>
      <c r="S1616" s="0" t="s">
        <v>5641</v>
      </c>
      <c r="V1616" s="0" t="n">
        <v>1</v>
      </c>
      <c r="W1616" s="0" t="n">
        <v>1</v>
      </c>
      <c r="X1616" s="0" t="str">
        <f aca="false">"31811012968924"</f>
        <v>31811012968924</v>
      </c>
      <c r="Y1616" s="0" t="s">
        <v>39</v>
      </c>
      <c r="Z1616" s="0" t="s">
        <v>42</v>
      </c>
      <c r="AA1616" s="0" t="s">
        <v>43</v>
      </c>
      <c r="AE1616" s="1" t="s">
        <v>5642</v>
      </c>
    </row>
    <row r="1617" customFormat="false" ht="12.8" hidden="false" customHeight="false" outlineLevel="0" collapsed="false">
      <c r="A1617" s="0" t="n">
        <v>102050</v>
      </c>
      <c r="B1617" s="0" t="n">
        <v>109908</v>
      </c>
      <c r="C1617" s="0" t="n">
        <v>122762</v>
      </c>
      <c r="D1617" s="0" t="s">
        <v>35</v>
      </c>
      <c r="E1617" s="0" t="s">
        <v>35</v>
      </c>
      <c r="F1617" s="0" t="s">
        <v>36</v>
      </c>
      <c r="G1617" s="0" t="s">
        <v>37</v>
      </c>
      <c r="H1617" s="0" t="s">
        <v>5643</v>
      </c>
      <c r="J1617" s="0" t="s">
        <v>5644</v>
      </c>
      <c r="M1617" s="0" t="s">
        <v>5645</v>
      </c>
      <c r="N1617" s="0" t="s">
        <v>333</v>
      </c>
      <c r="O1617" s="0" t="s">
        <v>5646</v>
      </c>
      <c r="P1617" s="0" t="n">
        <v>1968</v>
      </c>
      <c r="Q1617" s="0" t="s">
        <v>39</v>
      </c>
      <c r="R1617" s="0" t="s">
        <v>5647</v>
      </c>
      <c r="S1617" s="0" t="s">
        <v>5648</v>
      </c>
      <c r="V1617" s="0" t="n">
        <v>1</v>
      </c>
      <c r="W1617" s="0" t="n">
        <v>1</v>
      </c>
      <c r="X1617" s="0" t="str">
        <f aca="false">"31811010748666"</f>
        <v>31811010748666</v>
      </c>
      <c r="Y1617" s="0" t="s">
        <v>39</v>
      </c>
      <c r="Z1617" s="0" t="s">
        <v>42</v>
      </c>
      <c r="AA1617" s="0" t="s">
        <v>43</v>
      </c>
      <c r="AE1617" s="1" t="s">
        <v>52</v>
      </c>
    </row>
    <row r="1618" customFormat="false" ht="12.8" hidden="false" customHeight="false" outlineLevel="0" collapsed="false">
      <c r="A1618" s="0" t="n">
        <v>340029</v>
      </c>
      <c r="B1618" s="0" t="n">
        <v>368906</v>
      </c>
      <c r="C1618" s="0" t="n">
        <v>410939</v>
      </c>
      <c r="D1618" s="0" t="s">
        <v>35</v>
      </c>
      <c r="E1618" s="0" t="s">
        <v>35</v>
      </c>
      <c r="F1618" s="0" t="s">
        <v>36</v>
      </c>
      <c r="G1618" s="0" t="s">
        <v>37</v>
      </c>
      <c r="H1618" s="0" t="s">
        <v>5649</v>
      </c>
      <c r="I1618" s="0" t="s">
        <v>5650</v>
      </c>
      <c r="J1618" s="0" t="s">
        <v>5649</v>
      </c>
      <c r="K1618" s="0" t="s">
        <v>108</v>
      </c>
      <c r="M1618" s="0" t="s">
        <v>5651</v>
      </c>
      <c r="N1618" s="0" t="s">
        <v>203</v>
      </c>
      <c r="O1618" s="0" t="s">
        <v>5652</v>
      </c>
      <c r="P1618" s="0" t="n">
        <v>1957</v>
      </c>
      <c r="Q1618" s="0" t="s">
        <v>39</v>
      </c>
      <c r="R1618" s="0" t="s">
        <v>5653</v>
      </c>
      <c r="S1618" s="0" t="s">
        <v>5654</v>
      </c>
      <c r="V1618" s="0" t="n">
        <v>1</v>
      </c>
      <c r="W1618" s="0" t="n">
        <v>1</v>
      </c>
      <c r="X1618" s="0" t="str">
        <f aca="false">"31811010748658"</f>
        <v>31811010748658</v>
      </c>
      <c r="Y1618" s="0" t="s">
        <v>39</v>
      </c>
      <c r="Z1618" s="0" t="s">
        <v>42</v>
      </c>
      <c r="AA1618" s="0" t="s">
        <v>43</v>
      </c>
      <c r="AE1618" s="1" t="s">
        <v>52</v>
      </c>
    </row>
    <row r="1619" customFormat="false" ht="12.8" hidden="false" customHeight="false" outlineLevel="0" collapsed="false">
      <c r="A1619" s="0" t="n">
        <v>212500</v>
      </c>
      <c r="B1619" s="0" t="n">
        <v>233145</v>
      </c>
      <c r="C1619" s="0" t="n">
        <v>262464</v>
      </c>
      <c r="D1619" s="0" t="s">
        <v>35</v>
      </c>
      <c r="E1619" s="0" t="s">
        <v>35</v>
      </c>
      <c r="F1619" s="0" t="s">
        <v>36</v>
      </c>
      <c r="G1619" s="0" t="s">
        <v>37</v>
      </c>
      <c r="H1619" s="0" t="s">
        <v>5655</v>
      </c>
      <c r="I1619" s="0" t="s">
        <v>5656</v>
      </c>
      <c r="J1619" s="0" t="s">
        <v>5657</v>
      </c>
      <c r="L1619" s="0" t="n">
        <v>9197052507</v>
      </c>
      <c r="M1619" s="0" t="s">
        <v>5658</v>
      </c>
      <c r="N1619" s="0" t="n">
        <v>1983</v>
      </c>
      <c r="O1619" s="0" t="s">
        <v>5659</v>
      </c>
      <c r="P1619" s="0" t="n">
        <v>1983</v>
      </c>
      <c r="Q1619" s="0" t="s">
        <v>39</v>
      </c>
      <c r="R1619" s="0" t="s">
        <v>5660</v>
      </c>
      <c r="S1619" s="0" t="s">
        <v>5661</v>
      </c>
      <c r="V1619" s="0" t="n">
        <v>1</v>
      </c>
      <c r="W1619" s="0" t="n">
        <v>1</v>
      </c>
      <c r="X1619" s="0" t="str">
        <f aca="false">"31811010748690"</f>
        <v>31811010748690</v>
      </c>
      <c r="Y1619" s="0" t="s">
        <v>39</v>
      </c>
      <c r="Z1619" s="0" t="s">
        <v>42</v>
      </c>
      <c r="AA1619" s="0" t="s">
        <v>43</v>
      </c>
      <c r="AE1619" s="1" t="s">
        <v>52</v>
      </c>
      <c r="AH1619" s="1" t="s">
        <v>5662</v>
      </c>
    </row>
    <row r="1620" customFormat="false" ht="12.8" hidden="false" customHeight="false" outlineLevel="0" collapsed="false">
      <c r="A1620" s="0" t="n">
        <v>438189</v>
      </c>
      <c r="B1620" s="0" t="n">
        <v>523570</v>
      </c>
      <c r="C1620" s="0" t="n">
        <v>587674</v>
      </c>
      <c r="D1620" s="0" t="s">
        <v>35</v>
      </c>
      <c r="E1620" s="0" t="s">
        <v>35</v>
      </c>
      <c r="F1620" s="0" t="s">
        <v>480</v>
      </c>
      <c r="G1620" s="0" t="s">
        <v>37</v>
      </c>
      <c r="H1620" s="0" t="s">
        <v>5663</v>
      </c>
      <c r="I1620" s="0" t="s">
        <v>5664</v>
      </c>
      <c r="J1620" s="0" t="s">
        <v>5663</v>
      </c>
      <c r="M1620" s="0" t="s">
        <v>5665</v>
      </c>
      <c r="N1620" s="0" t="s">
        <v>5666</v>
      </c>
      <c r="O1620" s="0" t="s">
        <v>5667</v>
      </c>
      <c r="P1620" s="0" t="n">
        <v>1972</v>
      </c>
      <c r="Q1620" s="0" t="s">
        <v>39</v>
      </c>
      <c r="R1620" s="0" t="s">
        <v>5668</v>
      </c>
      <c r="S1620" s="0" t="s">
        <v>5669</v>
      </c>
      <c r="T1620" s="0" t="n">
        <v>2000</v>
      </c>
      <c r="V1620" s="0" t="n">
        <v>1</v>
      </c>
      <c r="W1620" s="0" t="n">
        <v>1</v>
      </c>
      <c r="X1620" s="0" t="str">
        <f aca="false">"31811012197078"</f>
        <v>31811012197078</v>
      </c>
      <c r="Y1620" s="0" t="s">
        <v>39</v>
      </c>
      <c r="Z1620" s="0" t="s">
        <v>42</v>
      </c>
      <c r="AA1620" s="0" t="s">
        <v>622</v>
      </c>
      <c r="AE1620" s="1" t="s">
        <v>52</v>
      </c>
      <c r="AF1620" s="1" t="s">
        <v>5670</v>
      </c>
      <c r="AG1620" s="0" t="n">
        <v>4175</v>
      </c>
    </row>
    <row r="1621" customFormat="false" ht="12.8" hidden="false" customHeight="false" outlineLevel="0" collapsed="false">
      <c r="A1621" s="0" t="n">
        <v>438189</v>
      </c>
      <c r="B1621" s="0" t="n">
        <v>523570</v>
      </c>
      <c r="C1621" s="0" t="n">
        <v>587675</v>
      </c>
      <c r="D1621" s="0" t="s">
        <v>35</v>
      </c>
      <c r="E1621" s="0" t="s">
        <v>35</v>
      </c>
      <c r="F1621" s="0" t="s">
        <v>480</v>
      </c>
      <c r="G1621" s="0" t="s">
        <v>37</v>
      </c>
      <c r="H1621" s="0" t="s">
        <v>5663</v>
      </c>
      <c r="I1621" s="0" t="s">
        <v>5664</v>
      </c>
      <c r="J1621" s="0" t="s">
        <v>5663</v>
      </c>
      <c r="M1621" s="0" t="s">
        <v>5665</v>
      </c>
      <c r="N1621" s="0" t="s">
        <v>5666</v>
      </c>
      <c r="O1621" s="0" t="s">
        <v>5667</v>
      </c>
      <c r="P1621" s="0" t="n">
        <v>1972</v>
      </c>
      <c r="Q1621" s="0" t="s">
        <v>39</v>
      </c>
      <c r="R1621" s="0" t="s">
        <v>5668</v>
      </c>
      <c r="S1621" s="0" t="s">
        <v>5669</v>
      </c>
      <c r="T1621" s="0" t="n">
        <v>1999</v>
      </c>
      <c r="V1621" s="0" t="n">
        <v>1</v>
      </c>
      <c r="W1621" s="0" t="n">
        <v>1</v>
      </c>
      <c r="X1621" s="0" t="str">
        <f aca="false">"31811012070234"</f>
        <v>31811012070234</v>
      </c>
      <c r="Y1621" s="0" t="s">
        <v>39</v>
      </c>
      <c r="Z1621" s="0" t="s">
        <v>42</v>
      </c>
      <c r="AA1621" s="0" t="s">
        <v>622</v>
      </c>
      <c r="AE1621" s="1" t="s">
        <v>52</v>
      </c>
      <c r="AF1621" s="1" t="s">
        <v>5670</v>
      </c>
      <c r="AG1621" s="0" t="n">
        <v>4175</v>
      </c>
    </row>
    <row r="1622" customFormat="false" ht="12.8" hidden="false" customHeight="false" outlineLevel="0" collapsed="false">
      <c r="A1622" s="0" t="n">
        <v>438189</v>
      </c>
      <c r="B1622" s="0" t="n">
        <v>523570</v>
      </c>
      <c r="C1622" s="0" t="n">
        <v>587676</v>
      </c>
      <c r="D1622" s="0" t="s">
        <v>35</v>
      </c>
      <c r="E1622" s="0" t="s">
        <v>35</v>
      </c>
      <c r="F1622" s="0" t="s">
        <v>480</v>
      </c>
      <c r="G1622" s="0" t="s">
        <v>37</v>
      </c>
      <c r="H1622" s="0" t="s">
        <v>5663</v>
      </c>
      <c r="I1622" s="0" t="s">
        <v>5664</v>
      </c>
      <c r="J1622" s="0" t="s">
        <v>5663</v>
      </c>
      <c r="M1622" s="0" t="s">
        <v>5665</v>
      </c>
      <c r="N1622" s="0" t="s">
        <v>5666</v>
      </c>
      <c r="O1622" s="0" t="s">
        <v>5667</v>
      </c>
      <c r="P1622" s="0" t="n">
        <v>1972</v>
      </c>
      <c r="Q1622" s="0" t="s">
        <v>39</v>
      </c>
      <c r="R1622" s="0" t="s">
        <v>5668</v>
      </c>
      <c r="S1622" s="0" t="s">
        <v>5669</v>
      </c>
      <c r="T1622" s="0" t="n">
        <v>1997</v>
      </c>
      <c r="V1622" s="0" t="n">
        <v>1</v>
      </c>
      <c r="W1622" s="0" t="n">
        <v>1</v>
      </c>
      <c r="X1622" s="0" t="str">
        <f aca="false">"31811010595067"</f>
        <v>31811010595067</v>
      </c>
      <c r="Y1622" s="0" t="s">
        <v>39</v>
      </c>
      <c r="Z1622" s="0" t="s">
        <v>42</v>
      </c>
      <c r="AA1622" s="0" t="s">
        <v>622</v>
      </c>
      <c r="AE1622" s="1" t="s">
        <v>52</v>
      </c>
      <c r="AF1622" s="1" t="s">
        <v>5670</v>
      </c>
      <c r="AG1622" s="0" t="n">
        <v>4175</v>
      </c>
    </row>
    <row r="1623" customFormat="false" ht="12.8" hidden="false" customHeight="false" outlineLevel="0" collapsed="false">
      <c r="A1623" s="0" t="n">
        <v>438189</v>
      </c>
      <c r="B1623" s="0" t="n">
        <v>523570</v>
      </c>
      <c r="C1623" s="0" t="n">
        <v>587677</v>
      </c>
      <c r="D1623" s="0" t="s">
        <v>35</v>
      </c>
      <c r="E1623" s="0" t="s">
        <v>35</v>
      </c>
      <c r="F1623" s="0" t="s">
        <v>480</v>
      </c>
      <c r="G1623" s="0" t="s">
        <v>37</v>
      </c>
      <c r="H1623" s="0" t="s">
        <v>5663</v>
      </c>
      <c r="I1623" s="0" t="s">
        <v>5664</v>
      </c>
      <c r="J1623" s="0" t="s">
        <v>5663</v>
      </c>
      <c r="M1623" s="0" t="s">
        <v>5665</v>
      </c>
      <c r="N1623" s="0" t="s">
        <v>5666</v>
      </c>
      <c r="O1623" s="0" t="s">
        <v>5667</v>
      </c>
      <c r="P1623" s="0" t="n">
        <v>1972</v>
      </c>
      <c r="Q1623" s="0" t="s">
        <v>39</v>
      </c>
      <c r="R1623" s="0" t="s">
        <v>5668</v>
      </c>
      <c r="S1623" s="0" t="s">
        <v>5669</v>
      </c>
      <c r="T1623" s="0" t="n">
        <v>1996</v>
      </c>
      <c r="V1623" s="0" t="n">
        <v>1</v>
      </c>
      <c r="W1623" s="0" t="n">
        <v>1</v>
      </c>
      <c r="X1623" s="0" t="str">
        <f aca="false">"31811011301648"</f>
        <v>31811011301648</v>
      </c>
      <c r="Y1623" s="0" t="s">
        <v>39</v>
      </c>
      <c r="Z1623" s="0" t="s">
        <v>42</v>
      </c>
      <c r="AA1623" s="0" t="s">
        <v>622</v>
      </c>
      <c r="AE1623" s="1" t="s">
        <v>52</v>
      </c>
      <c r="AF1623" s="1" t="s">
        <v>5670</v>
      </c>
      <c r="AG1623" s="0" t="n">
        <v>4175</v>
      </c>
    </row>
    <row r="1624" customFormat="false" ht="12.8" hidden="false" customHeight="false" outlineLevel="0" collapsed="false">
      <c r="A1624" s="0" t="n">
        <v>438189</v>
      </c>
      <c r="B1624" s="0" t="n">
        <v>523570</v>
      </c>
      <c r="C1624" s="0" t="n">
        <v>587678</v>
      </c>
      <c r="D1624" s="0" t="s">
        <v>35</v>
      </c>
      <c r="E1624" s="0" t="s">
        <v>35</v>
      </c>
      <c r="F1624" s="0" t="s">
        <v>480</v>
      </c>
      <c r="G1624" s="0" t="s">
        <v>37</v>
      </c>
      <c r="H1624" s="0" t="s">
        <v>5663</v>
      </c>
      <c r="I1624" s="0" t="s">
        <v>5664</v>
      </c>
      <c r="J1624" s="0" t="s">
        <v>5663</v>
      </c>
      <c r="M1624" s="0" t="s">
        <v>5665</v>
      </c>
      <c r="N1624" s="0" t="s">
        <v>5666</v>
      </c>
      <c r="O1624" s="0" t="s">
        <v>5667</v>
      </c>
      <c r="P1624" s="0" t="n">
        <v>1972</v>
      </c>
      <c r="Q1624" s="0" t="s">
        <v>39</v>
      </c>
      <c r="R1624" s="0" t="s">
        <v>5668</v>
      </c>
      <c r="S1624" s="0" t="s">
        <v>5669</v>
      </c>
      <c r="T1624" s="0" t="n">
        <v>1995</v>
      </c>
      <c r="V1624" s="0" t="n">
        <v>1</v>
      </c>
      <c r="W1624" s="0" t="n">
        <v>1</v>
      </c>
      <c r="X1624" s="0" t="str">
        <f aca="false">"31811010989955"</f>
        <v>31811010989955</v>
      </c>
      <c r="Y1624" s="0" t="s">
        <v>39</v>
      </c>
      <c r="Z1624" s="0" t="s">
        <v>42</v>
      </c>
      <c r="AA1624" s="0" t="s">
        <v>622</v>
      </c>
      <c r="AE1624" s="1" t="s">
        <v>52</v>
      </c>
      <c r="AF1624" s="1" t="s">
        <v>5670</v>
      </c>
      <c r="AG1624" s="0" t="n">
        <v>4175</v>
      </c>
    </row>
    <row r="1625" customFormat="false" ht="12.8" hidden="false" customHeight="false" outlineLevel="0" collapsed="false">
      <c r="A1625" s="0" t="n">
        <v>438189</v>
      </c>
      <c r="B1625" s="0" t="n">
        <v>523570</v>
      </c>
      <c r="C1625" s="0" t="n">
        <v>587679</v>
      </c>
      <c r="D1625" s="0" t="s">
        <v>35</v>
      </c>
      <c r="E1625" s="0" t="s">
        <v>35</v>
      </c>
      <c r="F1625" s="0" t="s">
        <v>480</v>
      </c>
      <c r="G1625" s="0" t="s">
        <v>37</v>
      </c>
      <c r="H1625" s="0" t="s">
        <v>5663</v>
      </c>
      <c r="I1625" s="0" t="s">
        <v>5664</v>
      </c>
      <c r="J1625" s="0" t="s">
        <v>5663</v>
      </c>
      <c r="M1625" s="0" t="s">
        <v>5665</v>
      </c>
      <c r="N1625" s="0" t="s">
        <v>5666</v>
      </c>
      <c r="O1625" s="0" t="s">
        <v>5667</v>
      </c>
      <c r="P1625" s="0" t="n">
        <v>1972</v>
      </c>
      <c r="Q1625" s="0" t="s">
        <v>39</v>
      </c>
      <c r="R1625" s="0" t="s">
        <v>5668</v>
      </c>
      <c r="S1625" s="0" t="s">
        <v>5669</v>
      </c>
      <c r="T1625" s="0" t="n">
        <v>1993</v>
      </c>
      <c r="V1625" s="0" t="n">
        <v>1</v>
      </c>
      <c r="W1625" s="0" t="n">
        <v>1</v>
      </c>
      <c r="X1625" s="0" t="str">
        <f aca="false">"31811011267617"</f>
        <v>31811011267617</v>
      </c>
      <c r="Y1625" s="0" t="s">
        <v>39</v>
      </c>
      <c r="Z1625" s="0" t="s">
        <v>42</v>
      </c>
      <c r="AA1625" s="0" t="s">
        <v>622</v>
      </c>
      <c r="AE1625" s="1" t="s">
        <v>52</v>
      </c>
      <c r="AF1625" s="1" t="s">
        <v>5670</v>
      </c>
      <c r="AG1625" s="0" t="n">
        <v>4175</v>
      </c>
    </row>
    <row r="1626" customFormat="false" ht="12.8" hidden="false" customHeight="false" outlineLevel="0" collapsed="false">
      <c r="A1626" s="0" t="n">
        <v>438189</v>
      </c>
      <c r="B1626" s="0" t="n">
        <v>523570</v>
      </c>
      <c r="C1626" s="0" t="n">
        <v>587680</v>
      </c>
      <c r="D1626" s="0" t="s">
        <v>35</v>
      </c>
      <c r="E1626" s="0" t="s">
        <v>35</v>
      </c>
      <c r="F1626" s="0" t="s">
        <v>480</v>
      </c>
      <c r="G1626" s="0" t="s">
        <v>37</v>
      </c>
      <c r="H1626" s="0" t="s">
        <v>5663</v>
      </c>
      <c r="I1626" s="0" t="s">
        <v>5664</v>
      </c>
      <c r="J1626" s="0" t="s">
        <v>5663</v>
      </c>
      <c r="M1626" s="0" t="s">
        <v>5665</v>
      </c>
      <c r="N1626" s="0" t="s">
        <v>5666</v>
      </c>
      <c r="O1626" s="0" t="s">
        <v>5667</v>
      </c>
      <c r="P1626" s="0" t="n">
        <v>1972</v>
      </c>
      <c r="Q1626" s="0" t="s">
        <v>39</v>
      </c>
      <c r="R1626" s="0" t="s">
        <v>5668</v>
      </c>
      <c r="S1626" s="0" t="s">
        <v>5669</v>
      </c>
      <c r="T1626" s="0" t="n">
        <v>1992</v>
      </c>
      <c r="V1626" s="0" t="n">
        <v>1</v>
      </c>
      <c r="W1626" s="0" t="n">
        <v>1</v>
      </c>
      <c r="X1626" s="0" t="str">
        <f aca="false">"31811011267575"</f>
        <v>31811011267575</v>
      </c>
      <c r="Y1626" s="0" t="s">
        <v>39</v>
      </c>
      <c r="Z1626" s="0" t="s">
        <v>42</v>
      </c>
      <c r="AA1626" s="0" t="s">
        <v>622</v>
      </c>
      <c r="AE1626" s="1" t="s">
        <v>52</v>
      </c>
      <c r="AF1626" s="1" t="s">
        <v>5670</v>
      </c>
      <c r="AG1626" s="0" t="n">
        <v>4175</v>
      </c>
    </row>
    <row r="1627" customFormat="false" ht="12.8" hidden="false" customHeight="false" outlineLevel="0" collapsed="false">
      <c r="A1627" s="0" t="n">
        <v>438189</v>
      </c>
      <c r="B1627" s="0" t="n">
        <v>523570</v>
      </c>
      <c r="C1627" s="0" t="n">
        <v>587681</v>
      </c>
      <c r="D1627" s="0" t="s">
        <v>35</v>
      </c>
      <c r="E1627" s="0" t="s">
        <v>35</v>
      </c>
      <c r="F1627" s="0" t="s">
        <v>480</v>
      </c>
      <c r="G1627" s="0" t="s">
        <v>37</v>
      </c>
      <c r="H1627" s="0" t="s">
        <v>5663</v>
      </c>
      <c r="I1627" s="0" t="s">
        <v>5664</v>
      </c>
      <c r="J1627" s="0" t="s">
        <v>5663</v>
      </c>
      <c r="M1627" s="0" t="s">
        <v>5665</v>
      </c>
      <c r="N1627" s="0" t="s">
        <v>5666</v>
      </c>
      <c r="O1627" s="0" t="s">
        <v>5667</v>
      </c>
      <c r="P1627" s="0" t="n">
        <v>1972</v>
      </c>
      <c r="Q1627" s="0" t="s">
        <v>39</v>
      </c>
      <c r="R1627" s="0" t="s">
        <v>5668</v>
      </c>
      <c r="S1627" s="0" t="s">
        <v>5669</v>
      </c>
      <c r="T1627" s="0" t="n">
        <v>1991</v>
      </c>
      <c r="V1627" s="0" t="n">
        <v>1</v>
      </c>
      <c r="W1627" s="0" t="n">
        <v>1</v>
      </c>
      <c r="X1627" s="0" t="str">
        <f aca="false">"31811011267534"</f>
        <v>31811011267534</v>
      </c>
      <c r="Y1627" s="0" t="s">
        <v>39</v>
      </c>
      <c r="Z1627" s="0" t="s">
        <v>42</v>
      </c>
      <c r="AA1627" s="0" t="s">
        <v>622</v>
      </c>
      <c r="AE1627" s="1" t="s">
        <v>52</v>
      </c>
      <c r="AF1627" s="1" t="s">
        <v>5670</v>
      </c>
      <c r="AG1627" s="0" t="n">
        <v>4175</v>
      </c>
    </row>
    <row r="1628" customFormat="false" ht="12.8" hidden="false" customHeight="false" outlineLevel="0" collapsed="false">
      <c r="A1628" s="0" t="n">
        <v>438189</v>
      </c>
      <c r="B1628" s="0" t="n">
        <v>523570</v>
      </c>
      <c r="C1628" s="0" t="n">
        <v>587682</v>
      </c>
      <c r="D1628" s="0" t="s">
        <v>35</v>
      </c>
      <c r="E1628" s="0" t="s">
        <v>35</v>
      </c>
      <c r="F1628" s="0" t="s">
        <v>480</v>
      </c>
      <c r="G1628" s="0" t="s">
        <v>37</v>
      </c>
      <c r="H1628" s="0" t="s">
        <v>5663</v>
      </c>
      <c r="I1628" s="0" t="s">
        <v>5664</v>
      </c>
      <c r="J1628" s="0" t="s">
        <v>5663</v>
      </c>
      <c r="M1628" s="0" t="s">
        <v>5665</v>
      </c>
      <c r="N1628" s="0" t="s">
        <v>5666</v>
      </c>
      <c r="O1628" s="0" t="s">
        <v>5667</v>
      </c>
      <c r="P1628" s="0" t="n">
        <v>1972</v>
      </c>
      <c r="Q1628" s="0" t="s">
        <v>39</v>
      </c>
      <c r="R1628" s="0" t="s">
        <v>5668</v>
      </c>
      <c r="S1628" s="0" t="s">
        <v>5669</v>
      </c>
      <c r="T1628" s="0" t="n">
        <v>1990</v>
      </c>
      <c r="V1628" s="0" t="n">
        <v>1</v>
      </c>
      <c r="W1628" s="0" t="n">
        <v>1</v>
      </c>
      <c r="X1628" s="0" t="str">
        <f aca="false">"31811011267492"</f>
        <v>31811011267492</v>
      </c>
      <c r="Y1628" s="0" t="s">
        <v>39</v>
      </c>
      <c r="Z1628" s="0" t="s">
        <v>42</v>
      </c>
      <c r="AA1628" s="0" t="s">
        <v>622</v>
      </c>
      <c r="AE1628" s="1" t="s">
        <v>52</v>
      </c>
      <c r="AF1628" s="1" t="s">
        <v>5670</v>
      </c>
      <c r="AG1628" s="0" t="n">
        <v>4175</v>
      </c>
    </row>
    <row r="1629" customFormat="false" ht="12.8" hidden="false" customHeight="false" outlineLevel="0" collapsed="false">
      <c r="A1629" s="0" t="n">
        <v>438189</v>
      </c>
      <c r="B1629" s="0" t="n">
        <v>523570</v>
      </c>
      <c r="C1629" s="0" t="n">
        <v>587683</v>
      </c>
      <c r="D1629" s="0" t="s">
        <v>35</v>
      </c>
      <c r="E1629" s="0" t="s">
        <v>35</v>
      </c>
      <c r="F1629" s="0" t="s">
        <v>480</v>
      </c>
      <c r="G1629" s="0" t="s">
        <v>37</v>
      </c>
      <c r="H1629" s="0" t="s">
        <v>5663</v>
      </c>
      <c r="I1629" s="0" t="s">
        <v>5664</v>
      </c>
      <c r="J1629" s="0" t="s">
        <v>5663</v>
      </c>
      <c r="M1629" s="0" t="s">
        <v>5665</v>
      </c>
      <c r="N1629" s="0" t="s">
        <v>5666</v>
      </c>
      <c r="O1629" s="0" t="s">
        <v>5667</v>
      </c>
      <c r="P1629" s="0" t="n">
        <v>1972</v>
      </c>
      <c r="Q1629" s="0" t="s">
        <v>39</v>
      </c>
      <c r="R1629" s="0" t="s">
        <v>5668</v>
      </c>
      <c r="S1629" s="0" t="s">
        <v>5669</v>
      </c>
      <c r="T1629" s="0" t="n">
        <v>1989</v>
      </c>
      <c r="V1629" s="0" t="n">
        <v>1</v>
      </c>
      <c r="W1629" s="0" t="n">
        <v>1</v>
      </c>
      <c r="X1629" s="0" t="str">
        <f aca="false">"31811011267450"</f>
        <v>31811011267450</v>
      </c>
      <c r="Y1629" s="0" t="s">
        <v>39</v>
      </c>
      <c r="Z1629" s="0" t="s">
        <v>42</v>
      </c>
      <c r="AA1629" s="0" t="s">
        <v>622</v>
      </c>
      <c r="AE1629" s="1" t="s">
        <v>52</v>
      </c>
      <c r="AF1629" s="1" t="s">
        <v>5670</v>
      </c>
      <c r="AG1629" s="0" t="n">
        <v>4175</v>
      </c>
    </row>
    <row r="1630" customFormat="false" ht="12.8" hidden="false" customHeight="false" outlineLevel="0" collapsed="false">
      <c r="A1630" s="0" t="n">
        <v>438189</v>
      </c>
      <c r="B1630" s="0" t="n">
        <v>523570</v>
      </c>
      <c r="C1630" s="0" t="n">
        <v>587684</v>
      </c>
      <c r="D1630" s="0" t="s">
        <v>35</v>
      </c>
      <c r="E1630" s="0" t="s">
        <v>35</v>
      </c>
      <c r="F1630" s="0" t="s">
        <v>480</v>
      </c>
      <c r="G1630" s="0" t="s">
        <v>37</v>
      </c>
      <c r="H1630" s="0" t="s">
        <v>5663</v>
      </c>
      <c r="I1630" s="0" t="s">
        <v>5664</v>
      </c>
      <c r="J1630" s="0" t="s">
        <v>5663</v>
      </c>
      <c r="M1630" s="0" t="s">
        <v>5665</v>
      </c>
      <c r="N1630" s="0" t="s">
        <v>5666</v>
      </c>
      <c r="O1630" s="0" t="s">
        <v>5667</v>
      </c>
      <c r="P1630" s="0" t="n">
        <v>1972</v>
      </c>
      <c r="Q1630" s="0" t="s">
        <v>39</v>
      </c>
      <c r="R1630" s="0" t="s">
        <v>5668</v>
      </c>
      <c r="S1630" s="0" t="s">
        <v>5669</v>
      </c>
      <c r="T1630" s="0" t="n">
        <v>1988</v>
      </c>
      <c r="V1630" s="0" t="n">
        <v>1</v>
      </c>
      <c r="W1630" s="0" t="n">
        <v>1</v>
      </c>
      <c r="X1630" s="0" t="str">
        <f aca="false">"31811011267419"</f>
        <v>31811011267419</v>
      </c>
      <c r="Y1630" s="0" t="s">
        <v>39</v>
      </c>
      <c r="Z1630" s="0" t="s">
        <v>42</v>
      </c>
      <c r="AA1630" s="0" t="s">
        <v>622</v>
      </c>
      <c r="AE1630" s="1" t="s">
        <v>52</v>
      </c>
      <c r="AF1630" s="1" t="s">
        <v>5670</v>
      </c>
      <c r="AG1630" s="0" t="n">
        <v>4175</v>
      </c>
    </row>
    <row r="1631" customFormat="false" ht="12.8" hidden="false" customHeight="false" outlineLevel="0" collapsed="false">
      <c r="A1631" s="0" t="n">
        <v>438189</v>
      </c>
      <c r="B1631" s="0" t="n">
        <v>523570</v>
      </c>
      <c r="C1631" s="0" t="n">
        <v>587685</v>
      </c>
      <c r="D1631" s="0" t="s">
        <v>35</v>
      </c>
      <c r="E1631" s="0" t="s">
        <v>35</v>
      </c>
      <c r="F1631" s="0" t="s">
        <v>480</v>
      </c>
      <c r="G1631" s="0" t="s">
        <v>37</v>
      </c>
      <c r="H1631" s="0" t="s">
        <v>5663</v>
      </c>
      <c r="I1631" s="0" t="s">
        <v>5664</v>
      </c>
      <c r="J1631" s="0" t="s">
        <v>5663</v>
      </c>
      <c r="M1631" s="0" t="s">
        <v>5665</v>
      </c>
      <c r="N1631" s="0" t="s">
        <v>5666</v>
      </c>
      <c r="O1631" s="0" t="s">
        <v>5667</v>
      </c>
      <c r="P1631" s="0" t="n">
        <v>1972</v>
      </c>
      <c r="Q1631" s="0" t="s">
        <v>39</v>
      </c>
      <c r="R1631" s="0" t="s">
        <v>5668</v>
      </c>
      <c r="S1631" s="0" t="s">
        <v>5669</v>
      </c>
      <c r="T1631" s="0" t="n">
        <v>1987</v>
      </c>
      <c r="V1631" s="0" t="n">
        <v>1</v>
      </c>
      <c r="W1631" s="0" t="n">
        <v>1</v>
      </c>
      <c r="X1631" s="0" t="str">
        <f aca="false">"31811011267401"</f>
        <v>31811011267401</v>
      </c>
      <c r="Y1631" s="0" t="s">
        <v>39</v>
      </c>
      <c r="Z1631" s="0" t="s">
        <v>42</v>
      </c>
      <c r="AA1631" s="0" t="s">
        <v>622</v>
      </c>
      <c r="AE1631" s="1" t="s">
        <v>52</v>
      </c>
      <c r="AF1631" s="1" t="s">
        <v>5670</v>
      </c>
      <c r="AG1631" s="0" t="n">
        <v>4175</v>
      </c>
    </row>
    <row r="1632" customFormat="false" ht="12.8" hidden="false" customHeight="false" outlineLevel="0" collapsed="false">
      <c r="A1632" s="0" t="n">
        <v>438189</v>
      </c>
      <c r="B1632" s="0" t="n">
        <v>523570</v>
      </c>
      <c r="C1632" s="0" t="n">
        <v>587686</v>
      </c>
      <c r="D1632" s="0" t="s">
        <v>35</v>
      </c>
      <c r="E1632" s="0" t="s">
        <v>35</v>
      </c>
      <c r="F1632" s="0" t="s">
        <v>480</v>
      </c>
      <c r="G1632" s="0" t="s">
        <v>37</v>
      </c>
      <c r="H1632" s="0" t="s">
        <v>5663</v>
      </c>
      <c r="I1632" s="0" t="s">
        <v>5664</v>
      </c>
      <c r="J1632" s="0" t="s">
        <v>5663</v>
      </c>
      <c r="M1632" s="0" t="s">
        <v>5665</v>
      </c>
      <c r="N1632" s="0" t="s">
        <v>5666</v>
      </c>
      <c r="O1632" s="0" t="s">
        <v>5667</v>
      </c>
      <c r="P1632" s="0" t="n">
        <v>1972</v>
      </c>
      <c r="Q1632" s="0" t="s">
        <v>39</v>
      </c>
      <c r="R1632" s="0" t="s">
        <v>5668</v>
      </c>
      <c r="S1632" s="0" t="s">
        <v>5669</v>
      </c>
      <c r="T1632" s="0" t="n">
        <v>1986</v>
      </c>
      <c r="V1632" s="0" t="n">
        <v>1</v>
      </c>
      <c r="W1632" s="0" t="n">
        <v>1</v>
      </c>
      <c r="X1632" s="0" t="str">
        <f aca="false">"31811011267369"</f>
        <v>31811011267369</v>
      </c>
      <c r="Y1632" s="0" t="s">
        <v>39</v>
      </c>
      <c r="Z1632" s="0" t="s">
        <v>42</v>
      </c>
      <c r="AA1632" s="0" t="s">
        <v>622</v>
      </c>
      <c r="AE1632" s="1" t="s">
        <v>52</v>
      </c>
      <c r="AF1632" s="1" t="s">
        <v>5670</v>
      </c>
      <c r="AG1632" s="0" t="n">
        <v>4175</v>
      </c>
    </row>
    <row r="1633" customFormat="false" ht="12.8" hidden="false" customHeight="false" outlineLevel="0" collapsed="false">
      <c r="A1633" s="0" t="n">
        <v>438189</v>
      </c>
      <c r="B1633" s="0" t="n">
        <v>523570</v>
      </c>
      <c r="C1633" s="0" t="n">
        <v>587687</v>
      </c>
      <c r="D1633" s="0" t="s">
        <v>35</v>
      </c>
      <c r="E1633" s="0" t="s">
        <v>35</v>
      </c>
      <c r="F1633" s="0" t="s">
        <v>480</v>
      </c>
      <c r="G1633" s="0" t="s">
        <v>37</v>
      </c>
      <c r="H1633" s="0" t="s">
        <v>5663</v>
      </c>
      <c r="I1633" s="0" t="s">
        <v>5664</v>
      </c>
      <c r="J1633" s="0" t="s">
        <v>5663</v>
      </c>
      <c r="M1633" s="0" t="s">
        <v>5665</v>
      </c>
      <c r="N1633" s="0" t="s">
        <v>5666</v>
      </c>
      <c r="O1633" s="0" t="s">
        <v>5667</v>
      </c>
      <c r="P1633" s="0" t="n">
        <v>1972</v>
      </c>
      <c r="Q1633" s="0" t="s">
        <v>39</v>
      </c>
      <c r="R1633" s="0" t="s">
        <v>5668</v>
      </c>
      <c r="S1633" s="0" t="s">
        <v>5669</v>
      </c>
      <c r="T1633" s="0" t="n">
        <v>1981</v>
      </c>
      <c r="V1633" s="0" t="n">
        <v>1</v>
      </c>
      <c r="W1633" s="0" t="n">
        <v>1</v>
      </c>
      <c r="X1633" s="0" t="str">
        <f aca="false">"31811011267328"</f>
        <v>31811011267328</v>
      </c>
      <c r="Y1633" s="0" t="s">
        <v>39</v>
      </c>
      <c r="Z1633" s="0" t="s">
        <v>42</v>
      </c>
      <c r="AA1633" s="0" t="s">
        <v>622</v>
      </c>
      <c r="AE1633" s="1" t="s">
        <v>52</v>
      </c>
      <c r="AF1633" s="1" t="s">
        <v>5670</v>
      </c>
      <c r="AG1633" s="0" t="n">
        <v>4175</v>
      </c>
    </row>
    <row r="1634" customFormat="false" ht="12.8" hidden="false" customHeight="false" outlineLevel="0" collapsed="false">
      <c r="A1634" s="0" t="n">
        <v>438189</v>
      </c>
      <c r="B1634" s="0" t="n">
        <v>523570</v>
      </c>
      <c r="C1634" s="0" t="n">
        <v>587688</v>
      </c>
      <c r="D1634" s="0" t="s">
        <v>35</v>
      </c>
      <c r="E1634" s="0" t="s">
        <v>35</v>
      </c>
      <c r="F1634" s="0" t="s">
        <v>480</v>
      </c>
      <c r="G1634" s="0" t="s">
        <v>37</v>
      </c>
      <c r="H1634" s="0" t="s">
        <v>5663</v>
      </c>
      <c r="I1634" s="0" t="s">
        <v>5664</v>
      </c>
      <c r="J1634" s="0" t="s">
        <v>5663</v>
      </c>
      <c r="M1634" s="0" t="s">
        <v>5665</v>
      </c>
      <c r="N1634" s="0" t="s">
        <v>5666</v>
      </c>
      <c r="O1634" s="0" t="s">
        <v>5667</v>
      </c>
      <c r="P1634" s="0" t="n">
        <v>1972</v>
      </c>
      <c r="Q1634" s="0" t="s">
        <v>39</v>
      </c>
      <c r="R1634" s="0" t="s">
        <v>5668</v>
      </c>
      <c r="S1634" s="0" t="s">
        <v>5669</v>
      </c>
      <c r="T1634" s="0" t="n">
        <v>1980</v>
      </c>
      <c r="V1634" s="0" t="n">
        <v>1</v>
      </c>
      <c r="W1634" s="0" t="n">
        <v>1</v>
      </c>
      <c r="X1634" s="0" t="str">
        <f aca="false">"31811011267286"</f>
        <v>31811011267286</v>
      </c>
      <c r="Y1634" s="0" t="s">
        <v>39</v>
      </c>
      <c r="Z1634" s="0" t="s">
        <v>42</v>
      </c>
      <c r="AA1634" s="0" t="s">
        <v>622</v>
      </c>
      <c r="AE1634" s="1" t="s">
        <v>52</v>
      </c>
      <c r="AF1634" s="1" t="s">
        <v>5670</v>
      </c>
      <c r="AG1634" s="0" t="n">
        <v>4175</v>
      </c>
    </row>
    <row r="1635" customFormat="false" ht="12.8" hidden="false" customHeight="false" outlineLevel="0" collapsed="false">
      <c r="A1635" s="0" t="n">
        <v>438189</v>
      </c>
      <c r="B1635" s="0" t="n">
        <v>523570</v>
      </c>
      <c r="C1635" s="0" t="n">
        <v>587689</v>
      </c>
      <c r="D1635" s="0" t="s">
        <v>35</v>
      </c>
      <c r="E1635" s="0" t="s">
        <v>35</v>
      </c>
      <c r="F1635" s="0" t="s">
        <v>480</v>
      </c>
      <c r="G1635" s="0" t="s">
        <v>37</v>
      </c>
      <c r="H1635" s="0" t="s">
        <v>5663</v>
      </c>
      <c r="I1635" s="0" t="s">
        <v>5664</v>
      </c>
      <c r="J1635" s="0" t="s">
        <v>5663</v>
      </c>
      <c r="M1635" s="0" t="s">
        <v>5665</v>
      </c>
      <c r="N1635" s="0" t="s">
        <v>5666</v>
      </c>
      <c r="O1635" s="0" t="s">
        <v>5667</v>
      </c>
      <c r="P1635" s="0" t="n">
        <v>1972</v>
      </c>
      <c r="Q1635" s="0" t="s">
        <v>39</v>
      </c>
      <c r="R1635" s="0" t="s">
        <v>5668</v>
      </c>
      <c r="S1635" s="0" t="s">
        <v>5669</v>
      </c>
      <c r="T1635" s="0" t="n">
        <v>1979</v>
      </c>
      <c r="V1635" s="0" t="n">
        <v>1</v>
      </c>
      <c r="W1635" s="0" t="n">
        <v>1</v>
      </c>
      <c r="X1635" s="0" t="str">
        <f aca="false">"31811011267245"</f>
        <v>31811011267245</v>
      </c>
      <c r="Y1635" s="0" t="s">
        <v>39</v>
      </c>
      <c r="Z1635" s="0" t="s">
        <v>42</v>
      </c>
      <c r="AA1635" s="0" t="s">
        <v>622</v>
      </c>
      <c r="AE1635" s="1" t="s">
        <v>52</v>
      </c>
      <c r="AF1635" s="1" t="s">
        <v>5670</v>
      </c>
      <c r="AG1635" s="0" t="n">
        <v>4175</v>
      </c>
    </row>
    <row r="1636" customFormat="false" ht="12.8" hidden="false" customHeight="false" outlineLevel="0" collapsed="false">
      <c r="A1636" s="0" t="n">
        <v>438189</v>
      </c>
      <c r="B1636" s="0" t="n">
        <v>523570</v>
      </c>
      <c r="C1636" s="0" t="n">
        <v>587690</v>
      </c>
      <c r="D1636" s="0" t="s">
        <v>35</v>
      </c>
      <c r="E1636" s="0" t="s">
        <v>35</v>
      </c>
      <c r="F1636" s="0" t="s">
        <v>480</v>
      </c>
      <c r="G1636" s="0" t="s">
        <v>37</v>
      </c>
      <c r="H1636" s="0" t="s">
        <v>5663</v>
      </c>
      <c r="I1636" s="0" t="s">
        <v>5664</v>
      </c>
      <c r="J1636" s="0" t="s">
        <v>5663</v>
      </c>
      <c r="M1636" s="0" t="s">
        <v>5665</v>
      </c>
      <c r="N1636" s="0" t="s">
        <v>5666</v>
      </c>
      <c r="O1636" s="0" t="s">
        <v>5667</v>
      </c>
      <c r="P1636" s="0" t="n">
        <v>1972</v>
      </c>
      <c r="Q1636" s="0" t="s">
        <v>39</v>
      </c>
      <c r="R1636" s="0" t="s">
        <v>5668</v>
      </c>
      <c r="S1636" s="0" t="s">
        <v>5669</v>
      </c>
      <c r="T1636" s="0" t="n">
        <v>1976</v>
      </c>
      <c r="V1636" s="0" t="n">
        <v>1</v>
      </c>
      <c r="W1636" s="0" t="n">
        <v>1</v>
      </c>
      <c r="X1636" s="0" t="str">
        <f aca="false">"31811011267203"</f>
        <v>31811011267203</v>
      </c>
      <c r="Y1636" s="0" t="s">
        <v>39</v>
      </c>
      <c r="Z1636" s="0" t="s">
        <v>42</v>
      </c>
      <c r="AA1636" s="0" t="s">
        <v>622</v>
      </c>
      <c r="AE1636" s="1" t="s">
        <v>52</v>
      </c>
      <c r="AF1636" s="1" t="s">
        <v>5670</v>
      </c>
      <c r="AG1636" s="0" t="n">
        <v>4175</v>
      </c>
    </row>
    <row r="1637" customFormat="false" ht="12.8" hidden="false" customHeight="false" outlineLevel="0" collapsed="false">
      <c r="A1637" s="0" t="n">
        <v>438189</v>
      </c>
      <c r="B1637" s="0" t="n">
        <v>523570</v>
      </c>
      <c r="C1637" s="0" t="n">
        <v>587691</v>
      </c>
      <c r="D1637" s="0" t="s">
        <v>35</v>
      </c>
      <c r="E1637" s="0" t="s">
        <v>35</v>
      </c>
      <c r="F1637" s="0" t="s">
        <v>480</v>
      </c>
      <c r="G1637" s="0" t="s">
        <v>37</v>
      </c>
      <c r="H1637" s="0" t="s">
        <v>5663</v>
      </c>
      <c r="I1637" s="0" t="s">
        <v>5664</v>
      </c>
      <c r="J1637" s="0" t="s">
        <v>5663</v>
      </c>
      <c r="M1637" s="0" t="s">
        <v>5665</v>
      </c>
      <c r="N1637" s="0" t="s">
        <v>5666</v>
      </c>
      <c r="O1637" s="0" t="s">
        <v>5667</v>
      </c>
      <c r="P1637" s="0" t="n">
        <v>1972</v>
      </c>
      <c r="Q1637" s="0" t="s">
        <v>39</v>
      </c>
      <c r="R1637" s="0" t="s">
        <v>5668</v>
      </c>
      <c r="S1637" s="0" t="s">
        <v>5669</v>
      </c>
      <c r="T1637" s="0" t="n">
        <v>1975</v>
      </c>
      <c r="V1637" s="0" t="n">
        <v>1</v>
      </c>
      <c r="W1637" s="0" t="n">
        <v>1</v>
      </c>
      <c r="X1637" s="0" t="str">
        <f aca="false">"31811011267161"</f>
        <v>31811011267161</v>
      </c>
      <c r="Y1637" s="0" t="s">
        <v>39</v>
      </c>
      <c r="Z1637" s="0" t="s">
        <v>42</v>
      </c>
      <c r="AA1637" s="0" t="s">
        <v>622</v>
      </c>
      <c r="AE1637" s="1" t="s">
        <v>52</v>
      </c>
      <c r="AF1637" s="1" t="s">
        <v>5670</v>
      </c>
      <c r="AG1637" s="0" t="n">
        <v>4175</v>
      </c>
    </row>
    <row r="1638" customFormat="false" ht="12.8" hidden="false" customHeight="false" outlineLevel="0" collapsed="false">
      <c r="A1638" s="0" t="n">
        <v>438189</v>
      </c>
      <c r="B1638" s="0" t="n">
        <v>523570</v>
      </c>
      <c r="C1638" s="0" t="n">
        <v>587692</v>
      </c>
      <c r="D1638" s="0" t="s">
        <v>35</v>
      </c>
      <c r="E1638" s="0" t="s">
        <v>35</v>
      </c>
      <c r="F1638" s="0" t="s">
        <v>480</v>
      </c>
      <c r="G1638" s="0" t="s">
        <v>37</v>
      </c>
      <c r="H1638" s="0" t="s">
        <v>5663</v>
      </c>
      <c r="I1638" s="0" t="s">
        <v>5664</v>
      </c>
      <c r="J1638" s="0" t="s">
        <v>5663</v>
      </c>
      <c r="M1638" s="0" t="s">
        <v>5665</v>
      </c>
      <c r="N1638" s="0" t="s">
        <v>5666</v>
      </c>
      <c r="O1638" s="0" t="s">
        <v>5667</v>
      </c>
      <c r="P1638" s="0" t="n">
        <v>1972</v>
      </c>
      <c r="Q1638" s="0" t="s">
        <v>39</v>
      </c>
      <c r="R1638" s="0" t="s">
        <v>5668</v>
      </c>
      <c r="S1638" s="0" t="s">
        <v>5669</v>
      </c>
      <c r="T1638" s="0" t="n">
        <v>1974</v>
      </c>
      <c r="V1638" s="0" t="n">
        <v>1</v>
      </c>
      <c r="W1638" s="0" t="n">
        <v>1</v>
      </c>
      <c r="X1638" s="0" t="str">
        <f aca="false">"31811011267120"</f>
        <v>31811011267120</v>
      </c>
      <c r="Y1638" s="0" t="s">
        <v>39</v>
      </c>
      <c r="Z1638" s="0" t="s">
        <v>42</v>
      </c>
      <c r="AA1638" s="0" t="s">
        <v>622</v>
      </c>
      <c r="AE1638" s="1" t="s">
        <v>52</v>
      </c>
      <c r="AF1638" s="1" t="s">
        <v>5670</v>
      </c>
      <c r="AG1638" s="0" t="n">
        <v>4175</v>
      </c>
    </row>
    <row r="1639" customFormat="false" ht="12.8" hidden="false" customHeight="false" outlineLevel="0" collapsed="false">
      <c r="A1639" s="0" t="n">
        <v>438189</v>
      </c>
      <c r="B1639" s="0" t="n">
        <v>523570</v>
      </c>
      <c r="C1639" s="0" t="n">
        <v>587693</v>
      </c>
      <c r="D1639" s="0" t="s">
        <v>35</v>
      </c>
      <c r="E1639" s="0" t="s">
        <v>35</v>
      </c>
      <c r="F1639" s="0" t="s">
        <v>480</v>
      </c>
      <c r="G1639" s="0" t="s">
        <v>37</v>
      </c>
      <c r="H1639" s="0" t="s">
        <v>5663</v>
      </c>
      <c r="I1639" s="0" t="s">
        <v>5664</v>
      </c>
      <c r="J1639" s="0" t="s">
        <v>5663</v>
      </c>
      <c r="M1639" s="0" t="s">
        <v>5665</v>
      </c>
      <c r="N1639" s="0" t="s">
        <v>5666</v>
      </c>
      <c r="O1639" s="0" t="s">
        <v>5667</v>
      </c>
      <c r="P1639" s="0" t="n">
        <v>1972</v>
      </c>
      <c r="Q1639" s="0" t="s">
        <v>39</v>
      </c>
      <c r="R1639" s="0" t="s">
        <v>5668</v>
      </c>
      <c r="S1639" s="0" t="s">
        <v>5669</v>
      </c>
      <c r="T1639" s="0" t="n">
        <v>1973</v>
      </c>
      <c r="V1639" s="0" t="n">
        <v>1</v>
      </c>
      <c r="W1639" s="0" t="n">
        <v>1</v>
      </c>
      <c r="X1639" s="0" t="str">
        <f aca="false">"31811011267393"</f>
        <v>31811011267393</v>
      </c>
      <c r="Y1639" s="0" t="s">
        <v>39</v>
      </c>
      <c r="Z1639" s="0" t="s">
        <v>42</v>
      </c>
      <c r="AA1639" s="0" t="s">
        <v>622</v>
      </c>
      <c r="AE1639" s="1" t="s">
        <v>52</v>
      </c>
      <c r="AF1639" s="1" t="s">
        <v>5670</v>
      </c>
      <c r="AG1639" s="0" t="n">
        <v>4175</v>
      </c>
    </row>
    <row r="1640" customFormat="false" ht="12.8" hidden="false" customHeight="false" outlineLevel="0" collapsed="false">
      <c r="A1640" s="0" t="n">
        <v>438189</v>
      </c>
      <c r="B1640" s="0" t="n">
        <v>523570</v>
      </c>
      <c r="C1640" s="0" t="n">
        <v>587694</v>
      </c>
      <c r="D1640" s="0" t="s">
        <v>35</v>
      </c>
      <c r="E1640" s="0" t="s">
        <v>35</v>
      </c>
      <c r="F1640" s="0" t="s">
        <v>480</v>
      </c>
      <c r="G1640" s="0" t="s">
        <v>37</v>
      </c>
      <c r="H1640" s="0" t="s">
        <v>5663</v>
      </c>
      <c r="I1640" s="0" t="s">
        <v>5664</v>
      </c>
      <c r="J1640" s="0" t="s">
        <v>5663</v>
      </c>
      <c r="M1640" s="0" t="s">
        <v>5665</v>
      </c>
      <c r="N1640" s="0" t="s">
        <v>5666</v>
      </c>
      <c r="O1640" s="0" t="s">
        <v>5667</v>
      </c>
      <c r="P1640" s="0" t="n">
        <v>1972</v>
      </c>
      <c r="Q1640" s="0" t="s">
        <v>39</v>
      </c>
      <c r="R1640" s="0" t="s">
        <v>5668</v>
      </c>
      <c r="S1640" s="0" t="s">
        <v>5669</v>
      </c>
      <c r="T1640" s="0" t="n">
        <v>1972</v>
      </c>
      <c r="V1640" s="0" t="n">
        <v>1</v>
      </c>
      <c r="W1640" s="0" t="n">
        <v>1</v>
      </c>
      <c r="X1640" s="0" t="str">
        <f aca="false">"31811011267351"</f>
        <v>31811011267351</v>
      </c>
      <c r="Y1640" s="0" t="s">
        <v>39</v>
      </c>
      <c r="Z1640" s="0" t="s">
        <v>42</v>
      </c>
      <c r="AA1640" s="0" t="s">
        <v>622</v>
      </c>
      <c r="AE1640" s="1" t="s">
        <v>52</v>
      </c>
      <c r="AF1640" s="1" t="s">
        <v>5670</v>
      </c>
      <c r="AG1640" s="0" t="n">
        <v>4175</v>
      </c>
    </row>
    <row r="1641" customFormat="false" ht="12.8" hidden="false" customHeight="false" outlineLevel="0" collapsed="false">
      <c r="A1641" s="0" t="n">
        <v>438189</v>
      </c>
      <c r="B1641" s="0" t="n">
        <v>523570</v>
      </c>
      <c r="C1641" s="0" t="n">
        <v>689773</v>
      </c>
      <c r="D1641" s="0" t="s">
        <v>35</v>
      </c>
      <c r="E1641" s="0" t="s">
        <v>35</v>
      </c>
      <c r="F1641" s="0" t="s">
        <v>480</v>
      </c>
      <c r="G1641" s="0" t="s">
        <v>37</v>
      </c>
      <c r="H1641" s="0" t="s">
        <v>5663</v>
      </c>
      <c r="I1641" s="0" t="s">
        <v>5664</v>
      </c>
      <c r="J1641" s="0" t="s">
        <v>5663</v>
      </c>
      <c r="M1641" s="0" t="s">
        <v>5665</v>
      </c>
      <c r="N1641" s="0" t="s">
        <v>5666</v>
      </c>
      <c r="O1641" s="0" t="s">
        <v>5667</v>
      </c>
      <c r="P1641" s="0" t="n">
        <v>1972</v>
      </c>
      <c r="Q1641" s="0" t="s">
        <v>39</v>
      </c>
      <c r="R1641" s="0" t="s">
        <v>5668</v>
      </c>
      <c r="S1641" s="0" t="s">
        <v>5669</v>
      </c>
      <c r="T1641" s="0" t="n">
        <v>2001</v>
      </c>
      <c r="V1641" s="0" t="n">
        <v>1</v>
      </c>
      <c r="W1641" s="0" t="n">
        <v>1</v>
      </c>
      <c r="X1641" s="0" t="str">
        <f aca="false">"31811012756865"</f>
        <v>31811012756865</v>
      </c>
      <c r="Y1641" s="0" t="s">
        <v>39</v>
      </c>
      <c r="Z1641" s="0" t="s">
        <v>42</v>
      </c>
      <c r="AA1641" s="0" t="s">
        <v>622</v>
      </c>
      <c r="AE1641" s="1" t="s">
        <v>52</v>
      </c>
      <c r="AF1641" s="1" t="s">
        <v>5670</v>
      </c>
      <c r="AG1641" s="0" t="n">
        <v>4175</v>
      </c>
    </row>
    <row r="1642" customFormat="false" ht="12.8" hidden="false" customHeight="false" outlineLevel="0" collapsed="false">
      <c r="A1642" s="0" t="n">
        <v>438189</v>
      </c>
      <c r="B1642" s="0" t="n">
        <v>523570</v>
      </c>
      <c r="C1642" s="0" t="n">
        <v>702591</v>
      </c>
      <c r="D1642" s="0" t="s">
        <v>35</v>
      </c>
      <c r="E1642" s="0" t="s">
        <v>35</v>
      </c>
      <c r="F1642" s="0" t="s">
        <v>480</v>
      </c>
      <c r="G1642" s="0" t="s">
        <v>37</v>
      </c>
      <c r="H1642" s="0" t="s">
        <v>5663</v>
      </c>
      <c r="I1642" s="0" t="s">
        <v>5664</v>
      </c>
      <c r="J1642" s="0" t="s">
        <v>5663</v>
      </c>
      <c r="M1642" s="0" t="s">
        <v>5665</v>
      </c>
      <c r="N1642" s="0" t="s">
        <v>5666</v>
      </c>
      <c r="O1642" s="0" t="s">
        <v>5667</v>
      </c>
      <c r="P1642" s="0" t="n">
        <v>1972</v>
      </c>
      <c r="Q1642" s="0" t="s">
        <v>39</v>
      </c>
      <c r="R1642" s="0" t="s">
        <v>5668</v>
      </c>
      <c r="S1642" s="0" t="s">
        <v>5669</v>
      </c>
      <c r="T1642" s="0" t="n">
        <v>2002</v>
      </c>
      <c r="V1642" s="0" t="n">
        <v>1</v>
      </c>
      <c r="W1642" s="0" t="n">
        <v>2</v>
      </c>
      <c r="X1642" s="0" t="str">
        <f aca="false">"31811012842699"</f>
        <v>31811012842699</v>
      </c>
      <c r="Y1642" s="0" t="s">
        <v>39</v>
      </c>
      <c r="Z1642" s="0" t="s">
        <v>42</v>
      </c>
      <c r="AA1642" s="0" t="s">
        <v>622</v>
      </c>
      <c r="AE1642" s="1" t="s">
        <v>52</v>
      </c>
      <c r="AF1642" s="1" t="s">
        <v>5670</v>
      </c>
      <c r="AG1642" s="0" t="n">
        <v>4175</v>
      </c>
    </row>
    <row r="1643" customFormat="false" ht="12.8" hidden="false" customHeight="false" outlineLevel="0" collapsed="false">
      <c r="A1643" s="0" t="n">
        <v>438189</v>
      </c>
      <c r="B1643" s="0" t="n">
        <v>523570</v>
      </c>
      <c r="C1643" s="0" t="n">
        <v>721003</v>
      </c>
      <c r="D1643" s="0" t="s">
        <v>35</v>
      </c>
      <c r="E1643" s="0" t="s">
        <v>35</v>
      </c>
      <c r="F1643" s="0" t="s">
        <v>480</v>
      </c>
      <c r="G1643" s="0" t="s">
        <v>37</v>
      </c>
      <c r="H1643" s="0" t="s">
        <v>5663</v>
      </c>
      <c r="I1643" s="0" t="s">
        <v>5664</v>
      </c>
      <c r="J1643" s="0" t="s">
        <v>5663</v>
      </c>
      <c r="M1643" s="0" t="s">
        <v>5665</v>
      </c>
      <c r="N1643" s="0" t="s">
        <v>5666</v>
      </c>
      <c r="O1643" s="0" t="s">
        <v>5667</v>
      </c>
      <c r="P1643" s="0" t="n">
        <v>1972</v>
      </c>
      <c r="Q1643" s="0" t="s">
        <v>39</v>
      </c>
      <c r="R1643" s="0" t="s">
        <v>5668</v>
      </c>
      <c r="S1643" s="0" t="s">
        <v>5669</v>
      </c>
      <c r="T1643" s="0" t="n">
        <v>2003</v>
      </c>
      <c r="V1643" s="0" t="n">
        <v>1</v>
      </c>
      <c r="W1643" s="0" t="n">
        <v>1</v>
      </c>
      <c r="X1643" s="0" t="str">
        <f aca="false">"31811012991827"</f>
        <v>31811012991827</v>
      </c>
      <c r="Y1643" s="0" t="s">
        <v>39</v>
      </c>
      <c r="Z1643" s="0" t="s">
        <v>42</v>
      </c>
      <c r="AA1643" s="0" t="s">
        <v>622</v>
      </c>
      <c r="AE1643" s="1" t="s">
        <v>52</v>
      </c>
      <c r="AF1643" s="1" t="s">
        <v>5670</v>
      </c>
      <c r="AG1643" s="0" t="n">
        <v>4175</v>
      </c>
    </row>
    <row r="1644" customFormat="false" ht="12.8" hidden="false" customHeight="false" outlineLevel="0" collapsed="false">
      <c r="A1644" s="0" t="n">
        <v>438189</v>
      </c>
      <c r="B1644" s="0" t="n">
        <v>523570</v>
      </c>
      <c r="C1644" s="0" t="n">
        <v>737640</v>
      </c>
      <c r="D1644" s="0" t="s">
        <v>35</v>
      </c>
      <c r="E1644" s="0" t="s">
        <v>35</v>
      </c>
      <c r="F1644" s="0" t="s">
        <v>480</v>
      </c>
      <c r="G1644" s="0" t="s">
        <v>37</v>
      </c>
      <c r="H1644" s="0" t="s">
        <v>5663</v>
      </c>
      <c r="I1644" s="0" t="s">
        <v>5664</v>
      </c>
      <c r="J1644" s="0" t="s">
        <v>5663</v>
      </c>
      <c r="M1644" s="0" t="s">
        <v>5665</v>
      </c>
      <c r="N1644" s="0" t="s">
        <v>5666</v>
      </c>
      <c r="O1644" s="0" t="s">
        <v>5667</v>
      </c>
      <c r="P1644" s="0" t="n">
        <v>1972</v>
      </c>
      <c r="Q1644" s="0" t="s">
        <v>39</v>
      </c>
      <c r="R1644" s="0" t="s">
        <v>5668</v>
      </c>
      <c r="S1644" s="0" t="s">
        <v>5669</v>
      </c>
      <c r="T1644" s="0" t="n">
        <v>2004</v>
      </c>
      <c r="V1644" s="0" t="n">
        <v>1</v>
      </c>
      <c r="W1644" s="0" t="n">
        <v>1</v>
      </c>
      <c r="X1644" s="0" t="str">
        <f aca="false">"31811012593201"</f>
        <v>31811012593201</v>
      </c>
      <c r="Y1644" s="0" t="s">
        <v>39</v>
      </c>
      <c r="Z1644" s="0" t="s">
        <v>42</v>
      </c>
      <c r="AA1644" s="0" t="s">
        <v>622</v>
      </c>
      <c r="AE1644" s="1" t="s">
        <v>52</v>
      </c>
      <c r="AF1644" s="1" t="s">
        <v>5670</v>
      </c>
      <c r="AG1644" s="0" t="n">
        <v>4175</v>
      </c>
    </row>
    <row r="1645" customFormat="false" ht="12.8" hidden="false" customHeight="false" outlineLevel="0" collapsed="false">
      <c r="A1645" s="0" t="n">
        <v>438189</v>
      </c>
      <c r="B1645" s="0" t="n">
        <v>523570</v>
      </c>
      <c r="C1645" s="0" t="n">
        <v>763786</v>
      </c>
      <c r="D1645" s="0" t="s">
        <v>35</v>
      </c>
      <c r="E1645" s="0" t="s">
        <v>35</v>
      </c>
      <c r="F1645" s="0" t="s">
        <v>480</v>
      </c>
      <c r="G1645" s="0" t="s">
        <v>37</v>
      </c>
      <c r="H1645" s="0" t="s">
        <v>5663</v>
      </c>
      <c r="I1645" s="0" t="s">
        <v>5664</v>
      </c>
      <c r="J1645" s="0" t="s">
        <v>5663</v>
      </c>
      <c r="M1645" s="0" t="s">
        <v>5665</v>
      </c>
      <c r="N1645" s="0" t="s">
        <v>5666</v>
      </c>
      <c r="O1645" s="0" t="s">
        <v>5667</v>
      </c>
      <c r="P1645" s="0" t="n">
        <v>1972</v>
      </c>
      <c r="Q1645" s="0" t="s">
        <v>39</v>
      </c>
      <c r="R1645" s="0" t="s">
        <v>5668</v>
      </c>
      <c r="S1645" s="0" t="s">
        <v>5669</v>
      </c>
      <c r="T1645" s="0" t="n">
        <v>2006</v>
      </c>
      <c r="V1645" s="0" t="n">
        <v>1</v>
      </c>
      <c r="W1645" s="0" t="n">
        <v>1</v>
      </c>
      <c r="X1645" s="0" t="str">
        <f aca="false">"31811012305408"</f>
        <v>31811012305408</v>
      </c>
      <c r="Y1645" s="0" t="s">
        <v>39</v>
      </c>
      <c r="Z1645" s="0" t="s">
        <v>42</v>
      </c>
      <c r="AA1645" s="0" t="s">
        <v>622</v>
      </c>
      <c r="AE1645" s="1" t="s">
        <v>52</v>
      </c>
      <c r="AF1645" s="1" t="s">
        <v>5670</v>
      </c>
      <c r="AG1645" s="0" t="n">
        <v>4175</v>
      </c>
    </row>
    <row r="1646" customFormat="false" ht="12.8" hidden="false" customHeight="false" outlineLevel="0" collapsed="false">
      <c r="A1646" s="0" t="n">
        <v>438189</v>
      </c>
      <c r="B1646" s="0" t="n">
        <v>523570</v>
      </c>
      <c r="C1646" s="0" t="n">
        <v>775438</v>
      </c>
      <c r="D1646" s="0" t="s">
        <v>35</v>
      </c>
      <c r="E1646" s="0" t="s">
        <v>35</v>
      </c>
      <c r="F1646" s="0" t="s">
        <v>480</v>
      </c>
      <c r="G1646" s="0" t="s">
        <v>37</v>
      </c>
      <c r="H1646" s="0" t="s">
        <v>5663</v>
      </c>
      <c r="I1646" s="0" t="s">
        <v>5664</v>
      </c>
      <c r="J1646" s="0" t="s">
        <v>5663</v>
      </c>
      <c r="M1646" s="0" t="s">
        <v>5665</v>
      </c>
      <c r="N1646" s="0" t="s">
        <v>5666</v>
      </c>
      <c r="O1646" s="0" t="s">
        <v>5667</v>
      </c>
      <c r="P1646" s="0" t="n">
        <v>1972</v>
      </c>
      <c r="Q1646" s="0" t="s">
        <v>39</v>
      </c>
      <c r="R1646" s="0" t="s">
        <v>5668</v>
      </c>
      <c r="S1646" s="0" t="s">
        <v>5669</v>
      </c>
      <c r="T1646" s="0" t="n">
        <v>2007</v>
      </c>
      <c r="V1646" s="0" t="n">
        <v>1</v>
      </c>
      <c r="W1646" s="0" t="n">
        <v>1</v>
      </c>
      <c r="X1646" s="0" t="str">
        <f aca="false">"31811013194041"</f>
        <v>31811013194041</v>
      </c>
      <c r="Y1646" s="0" t="s">
        <v>39</v>
      </c>
      <c r="Z1646" s="0" t="s">
        <v>42</v>
      </c>
      <c r="AA1646" s="0" t="s">
        <v>622</v>
      </c>
      <c r="AE1646" s="1" t="s">
        <v>52</v>
      </c>
      <c r="AF1646" s="1" t="s">
        <v>5670</v>
      </c>
      <c r="AG1646" s="0" t="n">
        <v>4175</v>
      </c>
    </row>
    <row r="1647" customFormat="false" ht="12.8" hidden="false" customHeight="false" outlineLevel="0" collapsed="false">
      <c r="A1647" s="0" t="n">
        <v>438189</v>
      </c>
      <c r="B1647" s="0" t="n">
        <v>523570</v>
      </c>
      <c r="C1647" s="0" t="n">
        <v>792488</v>
      </c>
      <c r="D1647" s="0" t="s">
        <v>35</v>
      </c>
      <c r="E1647" s="0" t="s">
        <v>35</v>
      </c>
      <c r="F1647" s="0" t="s">
        <v>480</v>
      </c>
      <c r="G1647" s="0" t="s">
        <v>37</v>
      </c>
      <c r="H1647" s="0" t="s">
        <v>5663</v>
      </c>
      <c r="I1647" s="0" t="s">
        <v>5664</v>
      </c>
      <c r="J1647" s="0" t="s">
        <v>5663</v>
      </c>
      <c r="M1647" s="0" t="s">
        <v>5665</v>
      </c>
      <c r="N1647" s="0" t="s">
        <v>5666</v>
      </c>
      <c r="O1647" s="0" t="s">
        <v>5667</v>
      </c>
      <c r="P1647" s="0" t="n">
        <v>1972</v>
      </c>
      <c r="Q1647" s="0" t="s">
        <v>39</v>
      </c>
      <c r="R1647" s="0" t="s">
        <v>5668</v>
      </c>
      <c r="S1647" s="0" t="s">
        <v>5669</v>
      </c>
      <c r="T1647" s="0" t="n">
        <v>2008</v>
      </c>
      <c r="V1647" s="0" t="n">
        <v>1</v>
      </c>
      <c r="W1647" s="0" t="n">
        <v>1</v>
      </c>
      <c r="X1647" s="0" t="str">
        <f aca="false">"31811013601623"</f>
        <v>31811013601623</v>
      </c>
      <c r="Y1647" s="0" t="s">
        <v>39</v>
      </c>
      <c r="Z1647" s="0" t="s">
        <v>42</v>
      </c>
      <c r="AA1647" s="0" t="s">
        <v>622</v>
      </c>
      <c r="AE1647" s="1" t="s">
        <v>52</v>
      </c>
      <c r="AF1647" s="1" t="s">
        <v>5670</v>
      </c>
      <c r="AG1647" s="0" t="n">
        <v>4175</v>
      </c>
    </row>
    <row r="1648" customFormat="false" ht="12.8" hidden="false" customHeight="false" outlineLevel="0" collapsed="false">
      <c r="A1648" s="0" t="n">
        <v>422606</v>
      </c>
      <c r="B1648" s="0" t="n">
        <v>455628</v>
      </c>
      <c r="C1648" s="0" t="n">
        <v>508713</v>
      </c>
      <c r="D1648" s="0" t="s">
        <v>35</v>
      </c>
      <c r="E1648" s="0" t="s">
        <v>35</v>
      </c>
      <c r="F1648" s="0" t="s">
        <v>36</v>
      </c>
      <c r="G1648" s="0" t="s">
        <v>37</v>
      </c>
      <c r="H1648" s="0" t="s">
        <v>5671</v>
      </c>
      <c r="I1648" s="0" t="s">
        <v>5672</v>
      </c>
      <c r="J1648" s="0" t="s">
        <v>5671</v>
      </c>
      <c r="M1648" s="0" t="s">
        <v>5673</v>
      </c>
      <c r="Q1648" s="0" t="s">
        <v>39</v>
      </c>
      <c r="R1648" s="0" t="s">
        <v>5674</v>
      </c>
      <c r="S1648" s="0" t="s">
        <v>5675</v>
      </c>
      <c r="T1648" s="0" t="n">
        <v>1972</v>
      </c>
      <c r="V1648" s="0" t="n">
        <v>1</v>
      </c>
      <c r="W1648" s="0" t="n">
        <v>1</v>
      </c>
      <c r="X1648" s="0" t="str">
        <f aca="false">"31811012050772"</f>
        <v>31811012050772</v>
      </c>
      <c r="Y1648" s="0" t="s">
        <v>39</v>
      </c>
      <c r="Z1648" s="0" t="s">
        <v>42</v>
      </c>
      <c r="AA1648" s="0" t="s">
        <v>622</v>
      </c>
      <c r="AE1648" s="1" t="s">
        <v>52</v>
      </c>
    </row>
    <row r="1649" customFormat="false" ht="12.8" hidden="false" customHeight="false" outlineLevel="0" collapsed="false">
      <c r="A1649" s="0" t="n">
        <v>422606</v>
      </c>
      <c r="B1649" s="0" t="n">
        <v>455628</v>
      </c>
      <c r="C1649" s="0" t="n">
        <v>508714</v>
      </c>
      <c r="D1649" s="0" t="s">
        <v>35</v>
      </c>
      <c r="E1649" s="0" t="s">
        <v>35</v>
      </c>
      <c r="F1649" s="0" t="s">
        <v>36</v>
      </c>
      <c r="G1649" s="0" t="s">
        <v>37</v>
      </c>
      <c r="H1649" s="0" t="s">
        <v>5671</v>
      </c>
      <c r="I1649" s="0" t="s">
        <v>5672</v>
      </c>
      <c r="J1649" s="0" t="s">
        <v>5671</v>
      </c>
      <c r="M1649" s="0" t="s">
        <v>5673</v>
      </c>
      <c r="Q1649" s="0" t="s">
        <v>39</v>
      </c>
      <c r="R1649" s="0" t="s">
        <v>5674</v>
      </c>
      <c r="S1649" s="0" t="s">
        <v>5675</v>
      </c>
      <c r="T1649" s="0" t="n">
        <v>1971</v>
      </c>
      <c r="V1649" s="0" t="n">
        <v>1</v>
      </c>
      <c r="W1649" s="0" t="n">
        <v>1</v>
      </c>
      <c r="X1649" s="0" t="str">
        <f aca="false">"31811012051481"</f>
        <v>31811012051481</v>
      </c>
      <c r="Y1649" s="0" t="s">
        <v>39</v>
      </c>
      <c r="Z1649" s="0" t="s">
        <v>42</v>
      </c>
      <c r="AA1649" s="0" t="s">
        <v>622</v>
      </c>
      <c r="AE1649" s="1" t="s">
        <v>52</v>
      </c>
    </row>
    <row r="1650" customFormat="false" ht="12.8" hidden="false" customHeight="false" outlineLevel="0" collapsed="false">
      <c r="A1650" s="0" t="n">
        <v>422606</v>
      </c>
      <c r="B1650" s="0" t="n">
        <v>455628</v>
      </c>
      <c r="C1650" s="0" t="n">
        <v>508715</v>
      </c>
      <c r="D1650" s="0" t="s">
        <v>35</v>
      </c>
      <c r="E1650" s="0" t="s">
        <v>35</v>
      </c>
      <c r="F1650" s="0" t="s">
        <v>36</v>
      </c>
      <c r="G1650" s="0" t="s">
        <v>37</v>
      </c>
      <c r="H1650" s="0" t="s">
        <v>5671</v>
      </c>
      <c r="I1650" s="0" t="s">
        <v>5672</v>
      </c>
      <c r="J1650" s="0" t="s">
        <v>5671</v>
      </c>
      <c r="M1650" s="0" t="s">
        <v>5673</v>
      </c>
      <c r="Q1650" s="0" t="s">
        <v>39</v>
      </c>
      <c r="R1650" s="0" t="s">
        <v>5674</v>
      </c>
      <c r="S1650" s="0" t="s">
        <v>5675</v>
      </c>
      <c r="T1650" s="0" t="n">
        <v>1969</v>
      </c>
      <c r="V1650" s="0" t="n">
        <v>1</v>
      </c>
      <c r="W1650" s="0" t="n">
        <v>1</v>
      </c>
      <c r="X1650" s="0" t="str">
        <f aca="false">"31811012051473"</f>
        <v>31811012051473</v>
      </c>
      <c r="Y1650" s="0" t="s">
        <v>39</v>
      </c>
      <c r="Z1650" s="0" t="s">
        <v>42</v>
      </c>
      <c r="AA1650" s="0" t="s">
        <v>622</v>
      </c>
      <c r="AE1650" s="1" t="s">
        <v>52</v>
      </c>
    </row>
    <row r="1651" customFormat="false" ht="12.8" hidden="false" customHeight="false" outlineLevel="0" collapsed="false">
      <c r="A1651" s="0" t="n">
        <v>422606</v>
      </c>
      <c r="B1651" s="0" t="n">
        <v>455628</v>
      </c>
      <c r="C1651" s="0" t="n">
        <v>508716</v>
      </c>
      <c r="D1651" s="0" t="s">
        <v>35</v>
      </c>
      <c r="E1651" s="0" t="s">
        <v>35</v>
      </c>
      <c r="F1651" s="0" t="s">
        <v>36</v>
      </c>
      <c r="G1651" s="0" t="s">
        <v>37</v>
      </c>
      <c r="H1651" s="0" t="s">
        <v>5671</v>
      </c>
      <c r="I1651" s="0" t="s">
        <v>5672</v>
      </c>
      <c r="J1651" s="0" t="s">
        <v>5671</v>
      </c>
      <c r="M1651" s="0" t="s">
        <v>5673</v>
      </c>
      <c r="Q1651" s="0" t="s">
        <v>39</v>
      </c>
      <c r="R1651" s="0" t="s">
        <v>5674</v>
      </c>
      <c r="S1651" s="0" t="s">
        <v>5675</v>
      </c>
      <c r="T1651" s="0" t="n">
        <v>1968</v>
      </c>
      <c r="V1651" s="0" t="n">
        <v>1</v>
      </c>
      <c r="W1651" s="0" t="n">
        <v>1</v>
      </c>
      <c r="X1651" s="0" t="str">
        <f aca="false">"31811012051465"</f>
        <v>31811012051465</v>
      </c>
      <c r="Y1651" s="0" t="s">
        <v>39</v>
      </c>
      <c r="Z1651" s="0" t="s">
        <v>42</v>
      </c>
      <c r="AA1651" s="0" t="s">
        <v>622</v>
      </c>
      <c r="AE1651" s="1" t="s">
        <v>52</v>
      </c>
    </row>
    <row r="1652" customFormat="false" ht="12.8" hidden="false" customHeight="false" outlineLevel="0" collapsed="false">
      <c r="A1652" s="0" t="n">
        <v>422606</v>
      </c>
      <c r="B1652" s="0" t="n">
        <v>455628</v>
      </c>
      <c r="C1652" s="0" t="n">
        <v>508717</v>
      </c>
      <c r="D1652" s="0" t="s">
        <v>35</v>
      </c>
      <c r="E1652" s="0" t="s">
        <v>35</v>
      </c>
      <c r="F1652" s="0" t="s">
        <v>36</v>
      </c>
      <c r="G1652" s="0" t="s">
        <v>37</v>
      </c>
      <c r="H1652" s="0" t="s">
        <v>5671</v>
      </c>
      <c r="I1652" s="0" t="s">
        <v>5672</v>
      </c>
      <c r="J1652" s="0" t="s">
        <v>5671</v>
      </c>
      <c r="M1652" s="0" t="s">
        <v>5673</v>
      </c>
      <c r="Q1652" s="0" t="s">
        <v>39</v>
      </c>
      <c r="R1652" s="0" t="s">
        <v>5674</v>
      </c>
      <c r="S1652" s="0" t="s">
        <v>5675</v>
      </c>
      <c r="T1652" s="0" t="n">
        <v>1962</v>
      </c>
      <c r="V1652" s="0" t="n">
        <v>1</v>
      </c>
      <c r="W1652" s="0" t="n">
        <v>1</v>
      </c>
      <c r="X1652" s="0" t="str">
        <f aca="false">"31811012051457"</f>
        <v>31811012051457</v>
      </c>
      <c r="Y1652" s="0" t="s">
        <v>39</v>
      </c>
      <c r="Z1652" s="0" t="s">
        <v>42</v>
      </c>
      <c r="AA1652" s="0" t="s">
        <v>622</v>
      </c>
      <c r="AE1652" s="1" t="s">
        <v>52</v>
      </c>
    </row>
    <row r="1653" customFormat="false" ht="12.8" hidden="false" customHeight="false" outlineLevel="0" collapsed="false">
      <c r="A1653" s="0" t="n">
        <v>475119</v>
      </c>
      <c r="B1653" s="0" t="n">
        <v>507272</v>
      </c>
      <c r="C1653" s="0" t="n">
        <v>569645</v>
      </c>
      <c r="D1653" s="0" t="s">
        <v>35</v>
      </c>
      <c r="E1653" s="0" t="s">
        <v>35</v>
      </c>
      <c r="F1653" s="0" t="s">
        <v>36</v>
      </c>
      <c r="G1653" s="0" t="s">
        <v>37</v>
      </c>
      <c r="H1653" s="0" t="s">
        <v>5676</v>
      </c>
      <c r="I1653" s="0" t="s">
        <v>5677</v>
      </c>
      <c r="J1653" s="0" t="s">
        <v>5676</v>
      </c>
      <c r="M1653" s="0" t="s">
        <v>5678</v>
      </c>
      <c r="N1653" s="0" t="n">
        <v>1968</v>
      </c>
      <c r="O1653" s="0" t="s">
        <v>5679</v>
      </c>
      <c r="P1653" s="0" t="n">
        <v>1968</v>
      </c>
      <c r="Q1653" s="0" t="s">
        <v>39</v>
      </c>
      <c r="R1653" s="0" t="s">
        <v>5680</v>
      </c>
      <c r="S1653" s="0" t="s">
        <v>5681</v>
      </c>
      <c r="V1653" s="0" t="n">
        <v>1</v>
      </c>
      <c r="W1653" s="0" t="n">
        <v>1</v>
      </c>
      <c r="X1653" s="0" t="str">
        <f aca="false">"31811010748708"</f>
        <v>31811010748708</v>
      </c>
      <c r="Y1653" s="0" t="s">
        <v>39</v>
      </c>
      <c r="Z1653" s="0" t="s">
        <v>42</v>
      </c>
      <c r="AA1653" s="0" t="s">
        <v>43</v>
      </c>
      <c r="AE1653" s="1" t="s">
        <v>52</v>
      </c>
    </row>
    <row r="1654" customFormat="false" ht="12.8" hidden="false" customHeight="false" outlineLevel="0" collapsed="false">
      <c r="A1654" s="0" t="n">
        <v>533918</v>
      </c>
      <c r="B1654" s="0" t="n">
        <v>572043</v>
      </c>
      <c r="C1654" s="0" t="n">
        <v>646387</v>
      </c>
      <c r="D1654" s="0" t="s">
        <v>35</v>
      </c>
      <c r="E1654" s="0" t="s">
        <v>35</v>
      </c>
      <c r="F1654" s="0" t="s">
        <v>480</v>
      </c>
      <c r="G1654" s="0" t="s">
        <v>37</v>
      </c>
      <c r="H1654" s="0" t="s">
        <v>5682</v>
      </c>
      <c r="I1654" s="0" t="s">
        <v>5683</v>
      </c>
      <c r="J1654" s="0" t="s">
        <v>5682</v>
      </c>
      <c r="M1654" s="0" t="s">
        <v>5684</v>
      </c>
      <c r="O1654" s="0" t="s">
        <v>5685</v>
      </c>
      <c r="P1654" s="0" t="s">
        <v>1298</v>
      </c>
      <c r="Q1654" s="0" t="s">
        <v>39</v>
      </c>
      <c r="R1654" s="0" t="s">
        <v>5686</v>
      </c>
      <c r="S1654" s="0" t="s">
        <v>5687</v>
      </c>
      <c r="T1654" s="0" t="n">
        <v>1993</v>
      </c>
      <c r="V1654" s="0" t="n">
        <v>1</v>
      </c>
      <c r="W1654" s="0" t="n">
        <v>1</v>
      </c>
      <c r="X1654" s="0" t="str">
        <f aca="false">"31811010587353"</f>
        <v>31811010587353</v>
      </c>
      <c r="Y1654" s="0" t="s">
        <v>39</v>
      </c>
      <c r="Z1654" s="0" t="s">
        <v>42</v>
      </c>
      <c r="AA1654" s="0" t="s">
        <v>622</v>
      </c>
      <c r="AE1654" s="1" t="s">
        <v>52</v>
      </c>
    </row>
    <row r="1655" customFormat="false" ht="12.8" hidden="false" customHeight="false" outlineLevel="0" collapsed="false">
      <c r="A1655" s="0" t="n">
        <v>533918</v>
      </c>
      <c r="B1655" s="0" t="n">
        <v>572043</v>
      </c>
      <c r="C1655" s="0" t="n">
        <v>646388</v>
      </c>
      <c r="D1655" s="0" t="s">
        <v>35</v>
      </c>
      <c r="E1655" s="0" t="s">
        <v>35</v>
      </c>
      <c r="F1655" s="0" t="s">
        <v>480</v>
      </c>
      <c r="G1655" s="0" t="s">
        <v>37</v>
      </c>
      <c r="H1655" s="0" t="s">
        <v>5682</v>
      </c>
      <c r="I1655" s="0" t="s">
        <v>5683</v>
      </c>
      <c r="J1655" s="0" t="s">
        <v>5682</v>
      </c>
      <c r="M1655" s="0" t="s">
        <v>5684</v>
      </c>
      <c r="O1655" s="0" t="s">
        <v>5685</v>
      </c>
      <c r="P1655" s="0" t="s">
        <v>1298</v>
      </c>
      <c r="Q1655" s="0" t="s">
        <v>39</v>
      </c>
      <c r="R1655" s="0" t="s">
        <v>5686</v>
      </c>
      <c r="S1655" s="0" t="s">
        <v>5687</v>
      </c>
      <c r="T1655" s="0" t="n">
        <v>1989</v>
      </c>
      <c r="V1655" s="0" t="n">
        <v>1</v>
      </c>
      <c r="W1655" s="0" t="n">
        <v>1</v>
      </c>
      <c r="X1655" s="0" t="str">
        <f aca="false">"31811010587312"</f>
        <v>31811010587312</v>
      </c>
      <c r="Y1655" s="0" t="s">
        <v>39</v>
      </c>
      <c r="Z1655" s="0" t="s">
        <v>42</v>
      </c>
      <c r="AA1655" s="0" t="s">
        <v>622</v>
      </c>
      <c r="AE1655" s="1" t="s">
        <v>52</v>
      </c>
    </row>
    <row r="1656" customFormat="false" ht="12.8" hidden="false" customHeight="false" outlineLevel="0" collapsed="false">
      <c r="A1656" s="0" t="n">
        <v>533918</v>
      </c>
      <c r="B1656" s="0" t="n">
        <v>572043</v>
      </c>
      <c r="C1656" s="0" t="n">
        <v>646389</v>
      </c>
      <c r="D1656" s="0" t="s">
        <v>35</v>
      </c>
      <c r="E1656" s="0" t="s">
        <v>35</v>
      </c>
      <c r="F1656" s="0" t="s">
        <v>480</v>
      </c>
      <c r="G1656" s="0" t="s">
        <v>37</v>
      </c>
      <c r="H1656" s="0" t="s">
        <v>5682</v>
      </c>
      <c r="I1656" s="0" t="s">
        <v>5683</v>
      </c>
      <c r="J1656" s="0" t="s">
        <v>5682</v>
      </c>
      <c r="M1656" s="0" t="s">
        <v>5684</v>
      </c>
      <c r="O1656" s="0" t="s">
        <v>5685</v>
      </c>
      <c r="P1656" s="0" t="s">
        <v>1298</v>
      </c>
      <c r="Q1656" s="0" t="s">
        <v>39</v>
      </c>
      <c r="R1656" s="0" t="s">
        <v>5686</v>
      </c>
      <c r="S1656" s="0" t="s">
        <v>5687</v>
      </c>
      <c r="T1656" s="0" t="n">
        <v>1988</v>
      </c>
      <c r="V1656" s="0" t="n">
        <v>1</v>
      </c>
      <c r="W1656" s="0" t="n">
        <v>1</v>
      </c>
      <c r="X1656" s="0" t="str">
        <f aca="false">"31811010649054"</f>
        <v>31811010649054</v>
      </c>
      <c r="Y1656" s="0" t="s">
        <v>39</v>
      </c>
      <c r="Z1656" s="0" t="s">
        <v>42</v>
      </c>
      <c r="AA1656" s="0" t="s">
        <v>622</v>
      </c>
      <c r="AE1656" s="1" t="s">
        <v>52</v>
      </c>
    </row>
    <row r="1657" customFormat="false" ht="12.8" hidden="false" customHeight="false" outlineLevel="0" collapsed="false">
      <c r="A1657" s="0" t="n">
        <v>533918</v>
      </c>
      <c r="B1657" s="0" t="n">
        <v>572043</v>
      </c>
      <c r="C1657" s="0" t="n">
        <v>646390</v>
      </c>
      <c r="D1657" s="0" t="s">
        <v>35</v>
      </c>
      <c r="E1657" s="0" t="s">
        <v>35</v>
      </c>
      <c r="F1657" s="0" t="s">
        <v>480</v>
      </c>
      <c r="G1657" s="0" t="s">
        <v>37</v>
      </c>
      <c r="H1657" s="0" t="s">
        <v>5682</v>
      </c>
      <c r="I1657" s="0" t="s">
        <v>5683</v>
      </c>
      <c r="J1657" s="0" t="s">
        <v>5682</v>
      </c>
      <c r="M1657" s="0" t="s">
        <v>5684</v>
      </c>
      <c r="O1657" s="0" t="s">
        <v>5685</v>
      </c>
      <c r="P1657" s="0" t="s">
        <v>1298</v>
      </c>
      <c r="Q1657" s="0" t="s">
        <v>39</v>
      </c>
      <c r="R1657" s="0" t="s">
        <v>5686</v>
      </c>
      <c r="S1657" s="0" t="s">
        <v>5687</v>
      </c>
      <c r="T1657" s="0" t="n">
        <v>1987</v>
      </c>
      <c r="V1657" s="0" t="n">
        <v>1</v>
      </c>
      <c r="W1657" s="0" t="n">
        <v>1</v>
      </c>
      <c r="X1657" s="0" t="str">
        <f aca="false">"31811010578543"</f>
        <v>31811010578543</v>
      </c>
      <c r="Y1657" s="0" t="s">
        <v>39</v>
      </c>
      <c r="Z1657" s="0" t="s">
        <v>42</v>
      </c>
      <c r="AA1657" s="0" t="s">
        <v>622</v>
      </c>
      <c r="AE1657" s="1" t="s">
        <v>52</v>
      </c>
    </row>
    <row r="1658" customFormat="false" ht="12.8" hidden="false" customHeight="false" outlineLevel="0" collapsed="false">
      <c r="A1658" s="0" t="n">
        <v>533918</v>
      </c>
      <c r="B1658" s="0" t="n">
        <v>572043</v>
      </c>
      <c r="C1658" s="0" t="n">
        <v>646391</v>
      </c>
      <c r="D1658" s="0" t="s">
        <v>35</v>
      </c>
      <c r="E1658" s="0" t="s">
        <v>35</v>
      </c>
      <c r="F1658" s="0" t="s">
        <v>480</v>
      </c>
      <c r="G1658" s="0" t="s">
        <v>37</v>
      </c>
      <c r="H1658" s="0" t="s">
        <v>5682</v>
      </c>
      <c r="I1658" s="0" t="s">
        <v>5683</v>
      </c>
      <c r="J1658" s="0" t="s">
        <v>5682</v>
      </c>
      <c r="M1658" s="0" t="s">
        <v>5684</v>
      </c>
      <c r="O1658" s="0" t="s">
        <v>5685</v>
      </c>
      <c r="P1658" s="0" t="s">
        <v>1298</v>
      </c>
      <c r="Q1658" s="0" t="s">
        <v>39</v>
      </c>
      <c r="R1658" s="0" t="s">
        <v>5686</v>
      </c>
      <c r="S1658" s="0" t="s">
        <v>5687</v>
      </c>
      <c r="T1658" s="0" t="n">
        <v>1986</v>
      </c>
      <c r="V1658" s="0" t="n">
        <v>1</v>
      </c>
      <c r="W1658" s="0" t="n">
        <v>1</v>
      </c>
      <c r="X1658" s="0" t="str">
        <f aca="false">"31811010578501"</f>
        <v>31811010578501</v>
      </c>
      <c r="Y1658" s="0" t="s">
        <v>39</v>
      </c>
      <c r="Z1658" s="0" t="s">
        <v>42</v>
      </c>
      <c r="AA1658" s="0" t="s">
        <v>622</v>
      </c>
      <c r="AE1658" s="1" t="s">
        <v>52</v>
      </c>
    </row>
    <row r="1659" customFormat="false" ht="12.8" hidden="false" customHeight="false" outlineLevel="0" collapsed="false">
      <c r="A1659" s="0" t="n">
        <v>533918</v>
      </c>
      <c r="B1659" s="0" t="n">
        <v>572043</v>
      </c>
      <c r="C1659" s="0" t="n">
        <v>646392</v>
      </c>
      <c r="D1659" s="0" t="s">
        <v>35</v>
      </c>
      <c r="E1659" s="0" t="s">
        <v>35</v>
      </c>
      <c r="F1659" s="0" t="s">
        <v>480</v>
      </c>
      <c r="G1659" s="0" t="s">
        <v>37</v>
      </c>
      <c r="H1659" s="0" t="s">
        <v>5682</v>
      </c>
      <c r="I1659" s="0" t="s">
        <v>5683</v>
      </c>
      <c r="J1659" s="0" t="s">
        <v>5682</v>
      </c>
      <c r="M1659" s="0" t="s">
        <v>5684</v>
      </c>
      <c r="O1659" s="0" t="s">
        <v>5685</v>
      </c>
      <c r="P1659" s="0" t="s">
        <v>1298</v>
      </c>
      <c r="Q1659" s="0" t="s">
        <v>39</v>
      </c>
      <c r="R1659" s="0" t="s">
        <v>5686</v>
      </c>
      <c r="S1659" s="0" t="s">
        <v>5687</v>
      </c>
      <c r="T1659" s="0" t="n">
        <v>1985</v>
      </c>
      <c r="V1659" s="0" t="n">
        <v>1</v>
      </c>
      <c r="W1659" s="0" t="n">
        <v>1</v>
      </c>
      <c r="X1659" s="0" t="str">
        <f aca="false">"31811010578469"</f>
        <v>31811010578469</v>
      </c>
      <c r="Y1659" s="0" t="s">
        <v>39</v>
      </c>
      <c r="Z1659" s="0" t="s">
        <v>42</v>
      </c>
      <c r="AA1659" s="0" t="s">
        <v>622</v>
      </c>
      <c r="AE1659" s="1" t="s">
        <v>52</v>
      </c>
    </row>
    <row r="1660" customFormat="false" ht="12.8" hidden="false" customHeight="false" outlineLevel="0" collapsed="false">
      <c r="A1660" s="0" t="n">
        <v>533918</v>
      </c>
      <c r="B1660" s="0" t="n">
        <v>572043</v>
      </c>
      <c r="C1660" s="0" t="n">
        <v>646393</v>
      </c>
      <c r="D1660" s="0" t="s">
        <v>35</v>
      </c>
      <c r="E1660" s="0" t="s">
        <v>35</v>
      </c>
      <c r="F1660" s="0" t="s">
        <v>480</v>
      </c>
      <c r="G1660" s="0" t="s">
        <v>37</v>
      </c>
      <c r="H1660" s="0" t="s">
        <v>5682</v>
      </c>
      <c r="I1660" s="0" t="s">
        <v>5683</v>
      </c>
      <c r="J1660" s="0" t="s">
        <v>5682</v>
      </c>
      <c r="M1660" s="0" t="s">
        <v>5684</v>
      </c>
      <c r="O1660" s="0" t="s">
        <v>5685</v>
      </c>
      <c r="P1660" s="0" t="s">
        <v>1298</v>
      </c>
      <c r="Q1660" s="0" t="s">
        <v>39</v>
      </c>
      <c r="R1660" s="0" t="s">
        <v>5686</v>
      </c>
      <c r="S1660" s="0" t="s">
        <v>5687</v>
      </c>
      <c r="T1660" s="0" t="n">
        <v>1984</v>
      </c>
      <c r="V1660" s="0" t="n">
        <v>1</v>
      </c>
      <c r="W1660" s="0" t="n">
        <v>1</v>
      </c>
      <c r="X1660" s="0" t="str">
        <f aca="false">"31811010578428"</f>
        <v>31811010578428</v>
      </c>
      <c r="Y1660" s="0" t="s">
        <v>39</v>
      </c>
      <c r="Z1660" s="0" t="s">
        <v>42</v>
      </c>
      <c r="AA1660" s="0" t="s">
        <v>622</v>
      </c>
      <c r="AE1660" s="1" t="s">
        <v>52</v>
      </c>
    </row>
    <row r="1661" customFormat="false" ht="12.8" hidden="false" customHeight="false" outlineLevel="0" collapsed="false">
      <c r="A1661" s="0" t="n">
        <v>533918</v>
      </c>
      <c r="B1661" s="0" t="n">
        <v>572043</v>
      </c>
      <c r="C1661" s="0" t="n">
        <v>646394</v>
      </c>
      <c r="D1661" s="0" t="s">
        <v>35</v>
      </c>
      <c r="E1661" s="0" t="s">
        <v>35</v>
      </c>
      <c r="F1661" s="0" t="s">
        <v>480</v>
      </c>
      <c r="G1661" s="0" t="s">
        <v>37</v>
      </c>
      <c r="H1661" s="0" t="s">
        <v>5682</v>
      </c>
      <c r="I1661" s="0" t="s">
        <v>5683</v>
      </c>
      <c r="J1661" s="0" t="s">
        <v>5682</v>
      </c>
      <c r="M1661" s="0" t="s">
        <v>5684</v>
      </c>
      <c r="O1661" s="0" t="s">
        <v>5685</v>
      </c>
      <c r="P1661" s="0" t="s">
        <v>1298</v>
      </c>
      <c r="Q1661" s="0" t="s">
        <v>39</v>
      </c>
      <c r="R1661" s="0" t="s">
        <v>5686</v>
      </c>
      <c r="S1661" s="0" t="s">
        <v>5687</v>
      </c>
      <c r="T1661" s="0" t="n">
        <v>1983</v>
      </c>
      <c r="V1661" s="0" t="n">
        <v>1</v>
      </c>
      <c r="W1661" s="0" t="n">
        <v>1</v>
      </c>
      <c r="X1661" s="0" t="str">
        <f aca="false">"31811010578618"</f>
        <v>31811010578618</v>
      </c>
      <c r="Y1661" s="0" t="s">
        <v>39</v>
      </c>
      <c r="Z1661" s="0" t="s">
        <v>42</v>
      </c>
      <c r="AA1661" s="0" t="s">
        <v>622</v>
      </c>
      <c r="AE1661" s="1" t="s">
        <v>52</v>
      </c>
    </row>
    <row r="1662" customFormat="false" ht="12.8" hidden="false" customHeight="false" outlineLevel="0" collapsed="false">
      <c r="A1662" s="0" t="n">
        <v>533918</v>
      </c>
      <c r="B1662" s="0" t="n">
        <v>572043</v>
      </c>
      <c r="C1662" s="0" t="n">
        <v>646395</v>
      </c>
      <c r="D1662" s="0" t="s">
        <v>35</v>
      </c>
      <c r="E1662" s="0" t="s">
        <v>35</v>
      </c>
      <c r="F1662" s="0" t="s">
        <v>480</v>
      </c>
      <c r="G1662" s="0" t="s">
        <v>37</v>
      </c>
      <c r="H1662" s="0" t="s">
        <v>5682</v>
      </c>
      <c r="I1662" s="0" t="s">
        <v>5683</v>
      </c>
      <c r="J1662" s="0" t="s">
        <v>5682</v>
      </c>
      <c r="M1662" s="0" t="s">
        <v>5684</v>
      </c>
      <c r="O1662" s="0" t="s">
        <v>5685</v>
      </c>
      <c r="P1662" s="0" t="s">
        <v>1298</v>
      </c>
      <c r="Q1662" s="0" t="s">
        <v>39</v>
      </c>
      <c r="R1662" s="0" t="s">
        <v>5686</v>
      </c>
      <c r="S1662" s="0" t="s">
        <v>5687</v>
      </c>
      <c r="T1662" s="0" t="n">
        <v>1982</v>
      </c>
      <c r="V1662" s="0" t="n">
        <v>1</v>
      </c>
      <c r="W1662" s="0" t="n">
        <v>1</v>
      </c>
      <c r="X1662" s="0" t="str">
        <f aca="false">"31811010578576"</f>
        <v>31811010578576</v>
      </c>
      <c r="Y1662" s="0" t="s">
        <v>39</v>
      </c>
      <c r="Z1662" s="0" t="s">
        <v>42</v>
      </c>
      <c r="AA1662" s="0" t="s">
        <v>622</v>
      </c>
      <c r="AE1662" s="1" t="s">
        <v>52</v>
      </c>
    </row>
    <row r="1663" customFormat="false" ht="12.8" hidden="false" customHeight="false" outlineLevel="0" collapsed="false">
      <c r="A1663" s="0" t="n">
        <v>533918</v>
      </c>
      <c r="B1663" s="0" t="n">
        <v>572043</v>
      </c>
      <c r="C1663" s="0" t="n">
        <v>646396</v>
      </c>
      <c r="D1663" s="0" t="s">
        <v>35</v>
      </c>
      <c r="E1663" s="0" t="s">
        <v>35</v>
      </c>
      <c r="F1663" s="0" t="s">
        <v>480</v>
      </c>
      <c r="G1663" s="0" t="s">
        <v>37</v>
      </c>
      <c r="H1663" s="0" t="s">
        <v>5682</v>
      </c>
      <c r="I1663" s="0" t="s">
        <v>5683</v>
      </c>
      <c r="J1663" s="0" t="s">
        <v>5682</v>
      </c>
      <c r="M1663" s="0" t="s">
        <v>5684</v>
      </c>
      <c r="O1663" s="0" t="s">
        <v>5685</v>
      </c>
      <c r="P1663" s="0" t="s">
        <v>1298</v>
      </c>
      <c r="Q1663" s="0" t="s">
        <v>39</v>
      </c>
      <c r="R1663" s="0" t="s">
        <v>5686</v>
      </c>
      <c r="S1663" s="0" t="s">
        <v>5687</v>
      </c>
      <c r="T1663" s="0" t="n">
        <v>1981</v>
      </c>
      <c r="V1663" s="0" t="n">
        <v>1</v>
      </c>
      <c r="W1663" s="0" t="n">
        <v>1</v>
      </c>
      <c r="X1663" s="0" t="str">
        <f aca="false">"31811010578535"</f>
        <v>31811010578535</v>
      </c>
      <c r="Y1663" s="0" t="s">
        <v>39</v>
      </c>
      <c r="Z1663" s="0" t="s">
        <v>42</v>
      </c>
      <c r="AA1663" s="0" t="s">
        <v>622</v>
      </c>
      <c r="AE1663" s="1" t="s">
        <v>52</v>
      </c>
    </row>
    <row r="1664" customFormat="false" ht="12.8" hidden="false" customHeight="false" outlineLevel="0" collapsed="false">
      <c r="A1664" s="0" t="n">
        <v>533918</v>
      </c>
      <c r="B1664" s="0" t="n">
        <v>572043</v>
      </c>
      <c r="C1664" s="0" t="n">
        <v>646397</v>
      </c>
      <c r="D1664" s="0" t="s">
        <v>35</v>
      </c>
      <c r="E1664" s="0" t="s">
        <v>35</v>
      </c>
      <c r="F1664" s="0" t="s">
        <v>480</v>
      </c>
      <c r="G1664" s="0" t="s">
        <v>37</v>
      </c>
      <c r="H1664" s="0" t="s">
        <v>5682</v>
      </c>
      <c r="I1664" s="0" t="s">
        <v>5683</v>
      </c>
      <c r="J1664" s="0" t="s">
        <v>5682</v>
      </c>
      <c r="M1664" s="0" t="s">
        <v>5684</v>
      </c>
      <c r="O1664" s="0" t="s">
        <v>5685</v>
      </c>
      <c r="P1664" s="0" t="s">
        <v>1298</v>
      </c>
      <c r="Q1664" s="0" t="s">
        <v>39</v>
      </c>
      <c r="R1664" s="0" t="s">
        <v>5686</v>
      </c>
      <c r="S1664" s="0" t="s">
        <v>5687</v>
      </c>
      <c r="T1664" s="0" t="n">
        <v>1980</v>
      </c>
      <c r="V1664" s="0" t="n">
        <v>1</v>
      </c>
      <c r="W1664" s="0" t="n">
        <v>1</v>
      </c>
      <c r="X1664" s="0" t="str">
        <f aca="false">"31811010578493"</f>
        <v>31811010578493</v>
      </c>
      <c r="Y1664" s="0" t="s">
        <v>39</v>
      </c>
      <c r="Z1664" s="0" t="s">
        <v>42</v>
      </c>
      <c r="AA1664" s="0" t="s">
        <v>622</v>
      </c>
      <c r="AE1664" s="1" t="s">
        <v>52</v>
      </c>
    </row>
    <row r="1665" customFormat="false" ht="12.8" hidden="false" customHeight="false" outlineLevel="0" collapsed="false">
      <c r="A1665" s="0" t="n">
        <v>533918</v>
      </c>
      <c r="B1665" s="0" t="n">
        <v>572043</v>
      </c>
      <c r="C1665" s="0" t="n">
        <v>646398</v>
      </c>
      <c r="D1665" s="0" t="s">
        <v>35</v>
      </c>
      <c r="E1665" s="0" t="s">
        <v>35</v>
      </c>
      <c r="F1665" s="0" t="s">
        <v>480</v>
      </c>
      <c r="G1665" s="0" t="s">
        <v>37</v>
      </c>
      <c r="H1665" s="0" t="s">
        <v>5682</v>
      </c>
      <c r="I1665" s="0" t="s">
        <v>5683</v>
      </c>
      <c r="J1665" s="0" t="s">
        <v>5682</v>
      </c>
      <c r="M1665" s="0" t="s">
        <v>5684</v>
      </c>
      <c r="O1665" s="0" t="s">
        <v>5685</v>
      </c>
      <c r="P1665" s="0" t="s">
        <v>1298</v>
      </c>
      <c r="Q1665" s="0" t="s">
        <v>39</v>
      </c>
      <c r="R1665" s="0" t="s">
        <v>5686</v>
      </c>
      <c r="S1665" s="0" t="s">
        <v>5687</v>
      </c>
      <c r="T1665" s="0" t="n">
        <v>1979</v>
      </c>
      <c r="V1665" s="0" t="n">
        <v>1</v>
      </c>
      <c r="W1665" s="0" t="n">
        <v>1</v>
      </c>
      <c r="X1665" s="0" t="str">
        <f aca="false">"31811010578451"</f>
        <v>31811010578451</v>
      </c>
      <c r="Y1665" s="0" t="s">
        <v>39</v>
      </c>
      <c r="Z1665" s="0" t="s">
        <v>42</v>
      </c>
      <c r="AA1665" s="0" t="s">
        <v>622</v>
      </c>
      <c r="AE1665" s="1" t="s">
        <v>52</v>
      </c>
    </row>
    <row r="1666" customFormat="false" ht="12.8" hidden="false" customHeight="false" outlineLevel="0" collapsed="false">
      <c r="A1666" s="0" t="n">
        <v>533918</v>
      </c>
      <c r="B1666" s="0" t="n">
        <v>572043</v>
      </c>
      <c r="C1666" s="0" t="n">
        <v>646399</v>
      </c>
      <c r="D1666" s="0" t="s">
        <v>35</v>
      </c>
      <c r="E1666" s="0" t="s">
        <v>35</v>
      </c>
      <c r="F1666" s="0" t="s">
        <v>480</v>
      </c>
      <c r="G1666" s="0" t="s">
        <v>37</v>
      </c>
      <c r="H1666" s="0" t="s">
        <v>5682</v>
      </c>
      <c r="I1666" s="0" t="s">
        <v>5683</v>
      </c>
      <c r="J1666" s="0" t="s">
        <v>5682</v>
      </c>
      <c r="M1666" s="0" t="s">
        <v>5684</v>
      </c>
      <c r="O1666" s="0" t="s">
        <v>5685</v>
      </c>
      <c r="P1666" s="0" t="s">
        <v>1298</v>
      </c>
      <c r="Q1666" s="0" t="s">
        <v>39</v>
      </c>
      <c r="R1666" s="0" t="s">
        <v>5686</v>
      </c>
      <c r="S1666" s="0" t="s">
        <v>5687</v>
      </c>
      <c r="T1666" s="0" t="n">
        <v>1978</v>
      </c>
      <c r="V1666" s="0" t="n">
        <v>1</v>
      </c>
      <c r="W1666" s="0" t="n">
        <v>1</v>
      </c>
      <c r="X1666" s="0" t="str">
        <f aca="false">"31811010578410"</f>
        <v>31811010578410</v>
      </c>
      <c r="Y1666" s="0" t="s">
        <v>39</v>
      </c>
      <c r="Z1666" s="0" t="s">
        <v>42</v>
      </c>
      <c r="AA1666" s="0" t="s">
        <v>622</v>
      </c>
      <c r="AE1666" s="1" t="s">
        <v>52</v>
      </c>
    </row>
    <row r="1667" customFormat="false" ht="12.8" hidden="false" customHeight="false" outlineLevel="0" collapsed="false">
      <c r="A1667" s="0" t="n">
        <v>533918</v>
      </c>
      <c r="B1667" s="0" t="n">
        <v>572043</v>
      </c>
      <c r="C1667" s="0" t="n">
        <v>646400</v>
      </c>
      <c r="D1667" s="0" t="s">
        <v>35</v>
      </c>
      <c r="E1667" s="0" t="s">
        <v>35</v>
      </c>
      <c r="F1667" s="0" t="s">
        <v>480</v>
      </c>
      <c r="G1667" s="0" t="s">
        <v>37</v>
      </c>
      <c r="H1667" s="0" t="s">
        <v>5682</v>
      </c>
      <c r="I1667" s="0" t="s">
        <v>5683</v>
      </c>
      <c r="J1667" s="0" t="s">
        <v>5682</v>
      </c>
      <c r="M1667" s="0" t="s">
        <v>5684</v>
      </c>
      <c r="O1667" s="0" t="s">
        <v>5685</v>
      </c>
      <c r="P1667" s="0" t="s">
        <v>1298</v>
      </c>
      <c r="Q1667" s="0" t="s">
        <v>39</v>
      </c>
      <c r="R1667" s="0" t="s">
        <v>5686</v>
      </c>
      <c r="S1667" s="0" t="s">
        <v>5687</v>
      </c>
      <c r="T1667" s="0" t="n">
        <v>1977</v>
      </c>
      <c r="V1667" s="0" t="n">
        <v>1</v>
      </c>
      <c r="W1667" s="0" t="n">
        <v>1</v>
      </c>
      <c r="X1667" s="0" t="str">
        <f aca="false">"31811010578113"</f>
        <v>31811010578113</v>
      </c>
      <c r="Y1667" s="0" t="s">
        <v>39</v>
      </c>
      <c r="Z1667" s="0" t="s">
        <v>42</v>
      </c>
      <c r="AA1667" s="0" t="s">
        <v>622</v>
      </c>
      <c r="AE1667" s="1" t="s">
        <v>52</v>
      </c>
    </row>
    <row r="1668" customFormat="false" ht="12.8" hidden="false" customHeight="false" outlineLevel="0" collapsed="false">
      <c r="A1668" s="0" t="n">
        <v>533918</v>
      </c>
      <c r="B1668" s="0" t="n">
        <v>572043</v>
      </c>
      <c r="C1668" s="0" t="n">
        <v>646401</v>
      </c>
      <c r="D1668" s="0" t="s">
        <v>35</v>
      </c>
      <c r="E1668" s="0" t="s">
        <v>35</v>
      </c>
      <c r="F1668" s="0" t="s">
        <v>480</v>
      </c>
      <c r="G1668" s="0" t="s">
        <v>37</v>
      </c>
      <c r="H1668" s="0" t="s">
        <v>5682</v>
      </c>
      <c r="I1668" s="0" t="s">
        <v>5683</v>
      </c>
      <c r="J1668" s="0" t="s">
        <v>5682</v>
      </c>
      <c r="M1668" s="0" t="s">
        <v>5684</v>
      </c>
      <c r="O1668" s="0" t="s">
        <v>5685</v>
      </c>
      <c r="P1668" s="0" t="s">
        <v>1298</v>
      </c>
      <c r="Q1668" s="0" t="s">
        <v>39</v>
      </c>
      <c r="R1668" s="0" t="s">
        <v>5686</v>
      </c>
      <c r="S1668" s="0" t="s">
        <v>5687</v>
      </c>
      <c r="T1668" s="0" t="n">
        <v>1976</v>
      </c>
      <c r="V1668" s="0" t="n">
        <v>1</v>
      </c>
      <c r="W1668" s="0" t="n">
        <v>1</v>
      </c>
      <c r="X1668" s="0" t="str">
        <f aca="false">"31811010578154"</f>
        <v>31811010578154</v>
      </c>
      <c r="Y1668" s="0" t="s">
        <v>39</v>
      </c>
      <c r="Z1668" s="0" t="s">
        <v>42</v>
      </c>
      <c r="AA1668" s="0" t="s">
        <v>622</v>
      </c>
      <c r="AE1668" s="1" t="s">
        <v>52</v>
      </c>
    </row>
    <row r="1669" customFormat="false" ht="12.8" hidden="false" customHeight="false" outlineLevel="0" collapsed="false">
      <c r="A1669" s="0" t="n">
        <v>533918</v>
      </c>
      <c r="B1669" s="0" t="n">
        <v>572043</v>
      </c>
      <c r="C1669" s="0" t="n">
        <v>646402</v>
      </c>
      <c r="D1669" s="0" t="s">
        <v>35</v>
      </c>
      <c r="E1669" s="0" t="s">
        <v>35</v>
      </c>
      <c r="F1669" s="0" t="s">
        <v>480</v>
      </c>
      <c r="G1669" s="0" t="s">
        <v>37</v>
      </c>
      <c r="H1669" s="0" t="s">
        <v>5682</v>
      </c>
      <c r="I1669" s="0" t="s">
        <v>5683</v>
      </c>
      <c r="J1669" s="0" t="s">
        <v>5682</v>
      </c>
      <c r="M1669" s="0" t="s">
        <v>5684</v>
      </c>
      <c r="O1669" s="0" t="s">
        <v>5685</v>
      </c>
      <c r="P1669" s="0" t="s">
        <v>1298</v>
      </c>
      <c r="Q1669" s="0" t="s">
        <v>39</v>
      </c>
      <c r="R1669" s="0" t="s">
        <v>5686</v>
      </c>
      <c r="S1669" s="0" t="s">
        <v>5687</v>
      </c>
      <c r="T1669" s="0" t="n">
        <v>1975</v>
      </c>
      <c r="V1669" s="0" t="n">
        <v>1</v>
      </c>
      <c r="W1669" s="0" t="n">
        <v>1</v>
      </c>
      <c r="X1669" s="0" t="str">
        <f aca="false">"31811010578196"</f>
        <v>31811010578196</v>
      </c>
      <c r="Y1669" s="0" t="s">
        <v>39</v>
      </c>
      <c r="Z1669" s="0" t="s">
        <v>42</v>
      </c>
      <c r="AA1669" s="0" t="s">
        <v>622</v>
      </c>
      <c r="AE1669" s="1" t="s">
        <v>52</v>
      </c>
    </row>
    <row r="1670" customFormat="false" ht="12.8" hidden="false" customHeight="false" outlineLevel="0" collapsed="false">
      <c r="A1670" s="0" t="n">
        <v>533918</v>
      </c>
      <c r="B1670" s="0" t="n">
        <v>572043</v>
      </c>
      <c r="C1670" s="0" t="n">
        <v>646403</v>
      </c>
      <c r="D1670" s="0" t="s">
        <v>35</v>
      </c>
      <c r="E1670" s="0" t="s">
        <v>35</v>
      </c>
      <c r="F1670" s="0" t="s">
        <v>480</v>
      </c>
      <c r="G1670" s="0" t="s">
        <v>37</v>
      </c>
      <c r="H1670" s="0" t="s">
        <v>5682</v>
      </c>
      <c r="I1670" s="0" t="s">
        <v>5683</v>
      </c>
      <c r="J1670" s="0" t="s">
        <v>5682</v>
      </c>
      <c r="M1670" s="0" t="s">
        <v>5684</v>
      </c>
      <c r="O1670" s="0" t="s">
        <v>5685</v>
      </c>
      <c r="P1670" s="0" t="s">
        <v>1298</v>
      </c>
      <c r="Q1670" s="0" t="s">
        <v>39</v>
      </c>
      <c r="R1670" s="0" t="s">
        <v>5686</v>
      </c>
      <c r="S1670" s="0" t="s">
        <v>5687</v>
      </c>
      <c r="T1670" s="0" t="n">
        <v>1974</v>
      </c>
      <c r="V1670" s="0" t="n">
        <v>1</v>
      </c>
      <c r="W1670" s="0" t="n">
        <v>1</v>
      </c>
      <c r="X1670" s="0" t="str">
        <f aca="false">"31811010578238"</f>
        <v>31811010578238</v>
      </c>
      <c r="Y1670" s="0" t="s">
        <v>39</v>
      </c>
      <c r="Z1670" s="0" t="s">
        <v>42</v>
      </c>
      <c r="AA1670" s="0" t="s">
        <v>622</v>
      </c>
      <c r="AE1670" s="1" t="s">
        <v>52</v>
      </c>
    </row>
    <row r="1671" customFormat="false" ht="12.8" hidden="false" customHeight="false" outlineLevel="0" collapsed="false">
      <c r="A1671" s="0" t="n">
        <v>533918</v>
      </c>
      <c r="B1671" s="0" t="n">
        <v>572043</v>
      </c>
      <c r="C1671" s="0" t="n">
        <v>646404</v>
      </c>
      <c r="D1671" s="0" t="s">
        <v>35</v>
      </c>
      <c r="E1671" s="0" t="s">
        <v>35</v>
      </c>
      <c r="F1671" s="0" t="s">
        <v>480</v>
      </c>
      <c r="G1671" s="0" t="s">
        <v>37</v>
      </c>
      <c r="H1671" s="0" t="s">
        <v>5682</v>
      </c>
      <c r="I1671" s="0" t="s">
        <v>5683</v>
      </c>
      <c r="J1671" s="0" t="s">
        <v>5682</v>
      </c>
      <c r="M1671" s="0" t="s">
        <v>5684</v>
      </c>
      <c r="O1671" s="0" t="s">
        <v>5685</v>
      </c>
      <c r="P1671" s="0" t="s">
        <v>1298</v>
      </c>
      <c r="Q1671" s="0" t="s">
        <v>39</v>
      </c>
      <c r="R1671" s="0" t="s">
        <v>5686</v>
      </c>
      <c r="S1671" s="0" t="s">
        <v>5687</v>
      </c>
      <c r="T1671" s="0" t="n">
        <v>1973</v>
      </c>
      <c r="V1671" s="0" t="n">
        <v>1</v>
      </c>
      <c r="W1671" s="0" t="n">
        <v>1</v>
      </c>
      <c r="X1671" s="0" t="str">
        <f aca="false">"31811010578279"</f>
        <v>31811010578279</v>
      </c>
      <c r="Y1671" s="0" t="s">
        <v>39</v>
      </c>
      <c r="Z1671" s="0" t="s">
        <v>42</v>
      </c>
      <c r="AA1671" s="0" t="s">
        <v>622</v>
      </c>
      <c r="AE1671" s="1" t="s">
        <v>52</v>
      </c>
    </row>
    <row r="1672" customFormat="false" ht="12.8" hidden="false" customHeight="false" outlineLevel="0" collapsed="false">
      <c r="A1672" s="0" t="n">
        <v>533918</v>
      </c>
      <c r="B1672" s="0" t="n">
        <v>572043</v>
      </c>
      <c r="C1672" s="0" t="n">
        <v>646405</v>
      </c>
      <c r="D1672" s="0" t="s">
        <v>35</v>
      </c>
      <c r="E1672" s="0" t="s">
        <v>35</v>
      </c>
      <c r="F1672" s="0" t="s">
        <v>480</v>
      </c>
      <c r="G1672" s="0" t="s">
        <v>37</v>
      </c>
      <c r="H1672" s="0" t="s">
        <v>5682</v>
      </c>
      <c r="I1672" s="0" t="s">
        <v>5683</v>
      </c>
      <c r="J1672" s="0" t="s">
        <v>5682</v>
      </c>
      <c r="M1672" s="0" t="s">
        <v>5684</v>
      </c>
      <c r="O1672" s="0" t="s">
        <v>5685</v>
      </c>
      <c r="P1672" s="0" t="s">
        <v>1298</v>
      </c>
      <c r="Q1672" s="0" t="s">
        <v>39</v>
      </c>
      <c r="R1672" s="0" t="s">
        <v>5686</v>
      </c>
      <c r="S1672" s="0" t="s">
        <v>5687</v>
      </c>
      <c r="T1672" s="0" t="n">
        <v>1972</v>
      </c>
      <c r="V1672" s="0" t="n">
        <v>1</v>
      </c>
      <c r="W1672" s="0" t="n">
        <v>1</v>
      </c>
      <c r="X1672" s="0" t="str">
        <f aca="false">"31811010578311"</f>
        <v>31811010578311</v>
      </c>
      <c r="Y1672" s="0" t="s">
        <v>39</v>
      </c>
      <c r="Z1672" s="0" t="s">
        <v>42</v>
      </c>
      <c r="AA1672" s="0" t="s">
        <v>622</v>
      </c>
      <c r="AE1672" s="1" t="s">
        <v>52</v>
      </c>
    </row>
    <row r="1673" customFormat="false" ht="12.8" hidden="false" customHeight="false" outlineLevel="0" collapsed="false">
      <c r="A1673" s="0" t="n">
        <v>533918</v>
      </c>
      <c r="B1673" s="0" t="n">
        <v>572043</v>
      </c>
      <c r="C1673" s="0" t="n">
        <v>646406</v>
      </c>
      <c r="D1673" s="0" t="s">
        <v>35</v>
      </c>
      <c r="E1673" s="0" t="s">
        <v>35</v>
      </c>
      <c r="F1673" s="0" t="s">
        <v>480</v>
      </c>
      <c r="G1673" s="0" t="s">
        <v>37</v>
      </c>
      <c r="H1673" s="0" t="s">
        <v>5682</v>
      </c>
      <c r="I1673" s="0" t="s">
        <v>5683</v>
      </c>
      <c r="J1673" s="0" t="s">
        <v>5682</v>
      </c>
      <c r="M1673" s="0" t="s">
        <v>5684</v>
      </c>
      <c r="O1673" s="0" t="s">
        <v>5685</v>
      </c>
      <c r="P1673" s="0" t="s">
        <v>1298</v>
      </c>
      <c r="Q1673" s="0" t="s">
        <v>39</v>
      </c>
      <c r="R1673" s="0" t="s">
        <v>5686</v>
      </c>
      <c r="S1673" s="0" t="s">
        <v>5687</v>
      </c>
      <c r="T1673" s="0" t="n">
        <v>1971</v>
      </c>
      <c r="V1673" s="0" t="n">
        <v>1</v>
      </c>
      <c r="W1673" s="0" t="n">
        <v>1</v>
      </c>
      <c r="X1673" s="0" t="str">
        <f aca="false">"31811010578352"</f>
        <v>31811010578352</v>
      </c>
      <c r="Y1673" s="0" t="s">
        <v>39</v>
      </c>
      <c r="Z1673" s="0" t="s">
        <v>42</v>
      </c>
      <c r="AA1673" s="0" t="s">
        <v>622</v>
      </c>
      <c r="AE1673" s="1" t="s">
        <v>52</v>
      </c>
    </row>
    <row r="1674" customFormat="false" ht="12.8" hidden="false" customHeight="false" outlineLevel="0" collapsed="false">
      <c r="A1674" s="0" t="n">
        <v>533918</v>
      </c>
      <c r="B1674" s="0" t="n">
        <v>572043</v>
      </c>
      <c r="C1674" s="0" t="n">
        <v>646407</v>
      </c>
      <c r="D1674" s="0" t="s">
        <v>35</v>
      </c>
      <c r="E1674" s="0" t="s">
        <v>35</v>
      </c>
      <c r="F1674" s="0" t="s">
        <v>480</v>
      </c>
      <c r="G1674" s="0" t="s">
        <v>37</v>
      </c>
      <c r="H1674" s="0" t="s">
        <v>5682</v>
      </c>
      <c r="I1674" s="0" t="s">
        <v>5683</v>
      </c>
      <c r="J1674" s="0" t="s">
        <v>5682</v>
      </c>
      <c r="M1674" s="0" t="s">
        <v>5684</v>
      </c>
      <c r="O1674" s="0" t="s">
        <v>5685</v>
      </c>
      <c r="P1674" s="0" t="s">
        <v>1298</v>
      </c>
      <c r="Q1674" s="0" t="s">
        <v>39</v>
      </c>
      <c r="R1674" s="0" t="s">
        <v>5686</v>
      </c>
      <c r="S1674" s="0" t="s">
        <v>5687</v>
      </c>
      <c r="T1674" s="0" t="n">
        <v>1970</v>
      </c>
      <c r="V1674" s="0" t="n">
        <v>1</v>
      </c>
      <c r="W1674" s="0" t="n">
        <v>1</v>
      </c>
      <c r="X1674" s="0" t="str">
        <f aca="false">"31811010578394"</f>
        <v>31811010578394</v>
      </c>
      <c r="Y1674" s="0" t="s">
        <v>39</v>
      </c>
      <c r="Z1674" s="0" t="s">
        <v>42</v>
      </c>
      <c r="AA1674" s="0" t="s">
        <v>622</v>
      </c>
      <c r="AE1674" s="1" t="s">
        <v>52</v>
      </c>
    </row>
    <row r="1675" customFormat="false" ht="12.8" hidden="false" customHeight="false" outlineLevel="0" collapsed="false">
      <c r="A1675" s="0" t="n">
        <v>204897</v>
      </c>
      <c r="B1675" s="0" t="n">
        <v>224797</v>
      </c>
      <c r="C1675" s="0" t="n">
        <v>252951</v>
      </c>
      <c r="D1675" s="0" t="s">
        <v>35</v>
      </c>
      <c r="E1675" s="0" t="s">
        <v>35</v>
      </c>
      <c r="F1675" s="0" t="s">
        <v>36</v>
      </c>
      <c r="G1675" s="0" t="s">
        <v>37</v>
      </c>
      <c r="H1675" s="0" t="s">
        <v>5688</v>
      </c>
      <c r="I1675" s="0" t="s">
        <v>5689</v>
      </c>
      <c r="J1675" s="0" t="s">
        <v>5690</v>
      </c>
      <c r="M1675" s="0" t="s">
        <v>5691</v>
      </c>
      <c r="N1675" s="0" t="n">
        <v>1936</v>
      </c>
      <c r="O1675" s="0" t="s">
        <v>5692</v>
      </c>
      <c r="P1675" s="0" t="n">
        <v>1936</v>
      </c>
      <c r="Q1675" s="0" t="s">
        <v>39</v>
      </c>
      <c r="R1675" s="0" t="s">
        <v>5693</v>
      </c>
      <c r="S1675" s="0" t="s">
        <v>5694</v>
      </c>
      <c r="V1675" s="0" t="n">
        <v>1</v>
      </c>
      <c r="W1675" s="0" t="n">
        <v>1</v>
      </c>
      <c r="X1675" s="0" t="str">
        <f aca="false">"31811010938143"</f>
        <v>31811010938143</v>
      </c>
      <c r="Y1675" s="0" t="s">
        <v>39</v>
      </c>
      <c r="Z1675" s="0" t="s">
        <v>42</v>
      </c>
      <c r="AA1675" s="0" t="s">
        <v>43</v>
      </c>
      <c r="AE1675" s="1" t="s">
        <v>52</v>
      </c>
      <c r="AH1675" s="1" t="s">
        <v>5695</v>
      </c>
    </row>
    <row r="1676" customFormat="false" ht="12.8" hidden="false" customHeight="false" outlineLevel="0" collapsed="false">
      <c r="A1676" s="0" t="n">
        <v>204897</v>
      </c>
      <c r="B1676" s="0" t="n">
        <v>224798</v>
      </c>
      <c r="C1676" s="0" t="n">
        <v>252952</v>
      </c>
      <c r="D1676" s="0" t="s">
        <v>35</v>
      </c>
      <c r="E1676" s="0" t="s">
        <v>35</v>
      </c>
      <c r="F1676" s="0" t="s">
        <v>36</v>
      </c>
      <c r="G1676" s="0" t="s">
        <v>37</v>
      </c>
      <c r="H1676" s="0" t="s">
        <v>5688</v>
      </c>
      <c r="I1676" s="0" t="s">
        <v>5689</v>
      </c>
      <c r="J1676" s="0" t="s">
        <v>5690</v>
      </c>
      <c r="M1676" s="0" t="s">
        <v>5691</v>
      </c>
      <c r="N1676" s="0" t="n">
        <v>1936</v>
      </c>
      <c r="O1676" s="0" t="s">
        <v>5692</v>
      </c>
      <c r="P1676" s="0" t="n">
        <v>1936</v>
      </c>
      <c r="Q1676" s="0" t="s">
        <v>39</v>
      </c>
      <c r="R1676" s="0" t="s">
        <v>5693</v>
      </c>
      <c r="S1676" s="0" t="s">
        <v>5694</v>
      </c>
      <c r="V1676" s="0" t="n">
        <v>2</v>
      </c>
      <c r="W1676" s="0" t="n">
        <v>1</v>
      </c>
      <c r="X1676" s="0" t="str">
        <f aca="false">"31811010938184"</f>
        <v>31811010938184</v>
      </c>
      <c r="Y1676" s="0" t="s">
        <v>39</v>
      </c>
      <c r="Z1676" s="0" t="s">
        <v>42</v>
      </c>
      <c r="AA1676" s="0" t="s">
        <v>43</v>
      </c>
      <c r="AE1676" s="1" t="s">
        <v>52</v>
      </c>
      <c r="AH1676" s="1" t="s">
        <v>5695</v>
      </c>
    </row>
    <row r="1677" customFormat="false" ht="12.8" hidden="false" customHeight="false" outlineLevel="0" collapsed="false">
      <c r="A1677" s="0" t="n">
        <v>519941</v>
      </c>
      <c r="B1677" s="0" t="n">
        <v>557359</v>
      </c>
      <c r="C1677" s="0" t="n">
        <v>629260</v>
      </c>
      <c r="D1677" s="0" t="s">
        <v>35</v>
      </c>
      <c r="E1677" s="0" t="s">
        <v>35</v>
      </c>
      <c r="F1677" s="0" t="s">
        <v>480</v>
      </c>
      <c r="G1677" s="0" t="s">
        <v>37</v>
      </c>
      <c r="H1677" s="0" t="s">
        <v>5696</v>
      </c>
      <c r="J1677" s="0" t="s">
        <v>5696</v>
      </c>
      <c r="M1677" s="0" t="s">
        <v>5697</v>
      </c>
      <c r="O1677" s="0" t="s">
        <v>5698</v>
      </c>
      <c r="P1677" s="0" t="n">
        <v>1954</v>
      </c>
      <c r="Q1677" s="0" t="s">
        <v>39</v>
      </c>
      <c r="R1677" s="0" t="s">
        <v>5699</v>
      </c>
      <c r="S1677" s="0" t="s">
        <v>5700</v>
      </c>
      <c r="T1677" s="0" t="n">
        <v>1970</v>
      </c>
      <c r="V1677" s="0" t="n">
        <v>1</v>
      </c>
      <c r="W1677" s="0" t="n">
        <v>1</v>
      </c>
      <c r="X1677" s="0" t="str">
        <f aca="false">"31811012064401"</f>
        <v>31811012064401</v>
      </c>
      <c r="Y1677" s="0" t="s">
        <v>39</v>
      </c>
      <c r="Z1677" s="0" t="s">
        <v>42</v>
      </c>
      <c r="AA1677" s="0" t="s">
        <v>622</v>
      </c>
      <c r="AE1677" s="1" t="s">
        <v>52</v>
      </c>
    </row>
    <row r="1678" customFormat="false" ht="12.8" hidden="false" customHeight="false" outlineLevel="0" collapsed="false">
      <c r="A1678" s="0" t="n">
        <v>519941</v>
      </c>
      <c r="B1678" s="0" t="n">
        <v>557359</v>
      </c>
      <c r="C1678" s="0" t="n">
        <v>629261</v>
      </c>
      <c r="D1678" s="0" t="s">
        <v>35</v>
      </c>
      <c r="E1678" s="0" t="s">
        <v>35</v>
      </c>
      <c r="F1678" s="0" t="s">
        <v>480</v>
      </c>
      <c r="G1678" s="0" t="s">
        <v>37</v>
      </c>
      <c r="H1678" s="0" t="s">
        <v>5696</v>
      </c>
      <c r="J1678" s="0" t="s">
        <v>5696</v>
      </c>
      <c r="M1678" s="0" t="s">
        <v>5697</v>
      </c>
      <c r="O1678" s="0" t="s">
        <v>5698</v>
      </c>
      <c r="P1678" s="0" t="n">
        <v>1954</v>
      </c>
      <c r="Q1678" s="0" t="s">
        <v>39</v>
      </c>
      <c r="R1678" s="0" t="s">
        <v>5699</v>
      </c>
      <c r="S1678" s="0" t="s">
        <v>5700</v>
      </c>
      <c r="T1678" s="0" t="n">
        <v>1969</v>
      </c>
      <c r="V1678" s="0" t="n">
        <v>1</v>
      </c>
      <c r="W1678" s="0" t="n">
        <v>1</v>
      </c>
      <c r="X1678" s="0" t="str">
        <f aca="false">"31811012081207"</f>
        <v>31811012081207</v>
      </c>
      <c r="Y1678" s="0" t="s">
        <v>39</v>
      </c>
      <c r="Z1678" s="0" t="s">
        <v>42</v>
      </c>
      <c r="AA1678" s="0" t="s">
        <v>622</v>
      </c>
      <c r="AE1678" s="1" t="s">
        <v>52</v>
      </c>
    </row>
    <row r="1679" customFormat="false" ht="12.8" hidden="false" customHeight="false" outlineLevel="0" collapsed="false">
      <c r="A1679" s="0" t="n">
        <v>519941</v>
      </c>
      <c r="B1679" s="0" t="n">
        <v>557359</v>
      </c>
      <c r="C1679" s="0" t="n">
        <v>629262</v>
      </c>
      <c r="D1679" s="0" t="s">
        <v>35</v>
      </c>
      <c r="E1679" s="0" t="s">
        <v>35</v>
      </c>
      <c r="F1679" s="0" t="s">
        <v>480</v>
      </c>
      <c r="G1679" s="0" t="s">
        <v>37</v>
      </c>
      <c r="H1679" s="0" t="s">
        <v>5696</v>
      </c>
      <c r="J1679" s="0" t="s">
        <v>5696</v>
      </c>
      <c r="M1679" s="0" t="s">
        <v>5697</v>
      </c>
      <c r="O1679" s="0" t="s">
        <v>5698</v>
      </c>
      <c r="P1679" s="0" t="n">
        <v>1954</v>
      </c>
      <c r="Q1679" s="0" t="s">
        <v>39</v>
      </c>
      <c r="R1679" s="0" t="s">
        <v>5699</v>
      </c>
      <c r="S1679" s="0" t="s">
        <v>5700</v>
      </c>
      <c r="T1679" s="0" t="n">
        <v>1968</v>
      </c>
      <c r="V1679" s="0" t="n">
        <v>1</v>
      </c>
      <c r="W1679" s="0" t="n">
        <v>1</v>
      </c>
      <c r="X1679" s="0" t="str">
        <f aca="false">"31811012081199"</f>
        <v>31811012081199</v>
      </c>
      <c r="Y1679" s="0" t="s">
        <v>39</v>
      </c>
      <c r="Z1679" s="0" t="s">
        <v>42</v>
      </c>
      <c r="AA1679" s="0" t="s">
        <v>622</v>
      </c>
      <c r="AE1679" s="1" t="s">
        <v>52</v>
      </c>
    </row>
    <row r="1680" customFormat="false" ht="12.8" hidden="false" customHeight="false" outlineLevel="0" collapsed="false">
      <c r="A1680" s="0" t="n">
        <v>519941</v>
      </c>
      <c r="B1680" s="0" t="n">
        <v>557359</v>
      </c>
      <c r="C1680" s="0" t="n">
        <v>629263</v>
      </c>
      <c r="D1680" s="0" t="s">
        <v>35</v>
      </c>
      <c r="E1680" s="0" t="s">
        <v>35</v>
      </c>
      <c r="F1680" s="0" t="s">
        <v>480</v>
      </c>
      <c r="G1680" s="0" t="s">
        <v>37</v>
      </c>
      <c r="H1680" s="0" t="s">
        <v>5696</v>
      </c>
      <c r="J1680" s="0" t="s">
        <v>5696</v>
      </c>
      <c r="M1680" s="0" t="s">
        <v>5697</v>
      </c>
      <c r="O1680" s="0" t="s">
        <v>5698</v>
      </c>
      <c r="P1680" s="0" t="n">
        <v>1954</v>
      </c>
      <c r="Q1680" s="0" t="s">
        <v>39</v>
      </c>
      <c r="R1680" s="0" t="s">
        <v>5699</v>
      </c>
      <c r="S1680" s="0" t="s">
        <v>5700</v>
      </c>
      <c r="T1680" s="0" t="n">
        <v>1967</v>
      </c>
      <c r="V1680" s="0" t="n">
        <v>1</v>
      </c>
      <c r="W1680" s="0" t="n">
        <v>1</v>
      </c>
      <c r="X1680" s="0" t="str">
        <f aca="false">"31811012081181"</f>
        <v>31811012081181</v>
      </c>
      <c r="Y1680" s="0" t="s">
        <v>39</v>
      </c>
      <c r="Z1680" s="0" t="s">
        <v>42</v>
      </c>
      <c r="AA1680" s="0" t="s">
        <v>622</v>
      </c>
      <c r="AE1680" s="1" t="s">
        <v>52</v>
      </c>
    </row>
    <row r="1681" customFormat="false" ht="12.8" hidden="false" customHeight="false" outlineLevel="0" collapsed="false">
      <c r="A1681" s="0" t="n">
        <v>519941</v>
      </c>
      <c r="B1681" s="0" t="n">
        <v>557359</v>
      </c>
      <c r="C1681" s="0" t="n">
        <v>629264</v>
      </c>
      <c r="D1681" s="0" t="s">
        <v>35</v>
      </c>
      <c r="E1681" s="0" t="s">
        <v>35</v>
      </c>
      <c r="F1681" s="0" t="s">
        <v>480</v>
      </c>
      <c r="G1681" s="0" t="s">
        <v>37</v>
      </c>
      <c r="H1681" s="0" t="s">
        <v>5696</v>
      </c>
      <c r="J1681" s="0" t="s">
        <v>5696</v>
      </c>
      <c r="M1681" s="0" t="s">
        <v>5697</v>
      </c>
      <c r="O1681" s="0" t="s">
        <v>5698</v>
      </c>
      <c r="P1681" s="0" t="n">
        <v>1954</v>
      </c>
      <c r="Q1681" s="0" t="s">
        <v>39</v>
      </c>
      <c r="R1681" s="0" t="s">
        <v>5699</v>
      </c>
      <c r="S1681" s="0" t="s">
        <v>5700</v>
      </c>
      <c r="T1681" s="0" t="n">
        <v>1965</v>
      </c>
      <c r="V1681" s="0" t="n">
        <v>1</v>
      </c>
      <c r="W1681" s="0" t="n">
        <v>1</v>
      </c>
      <c r="X1681" s="0" t="str">
        <f aca="false">"31811012081173"</f>
        <v>31811012081173</v>
      </c>
      <c r="Y1681" s="0" t="s">
        <v>39</v>
      </c>
      <c r="Z1681" s="0" t="s">
        <v>42</v>
      </c>
      <c r="AA1681" s="0" t="s">
        <v>622</v>
      </c>
      <c r="AE1681" s="1" t="s">
        <v>52</v>
      </c>
    </row>
    <row r="1682" customFormat="false" ht="12.8" hidden="false" customHeight="false" outlineLevel="0" collapsed="false">
      <c r="A1682" s="0" t="n">
        <v>519941</v>
      </c>
      <c r="B1682" s="0" t="n">
        <v>557359</v>
      </c>
      <c r="C1682" s="0" t="n">
        <v>629265</v>
      </c>
      <c r="D1682" s="0" t="s">
        <v>35</v>
      </c>
      <c r="E1682" s="0" t="s">
        <v>35</v>
      </c>
      <c r="F1682" s="0" t="s">
        <v>480</v>
      </c>
      <c r="G1682" s="0" t="s">
        <v>37</v>
      </c>
      <c r="H1682" s="0" t="s">
        <v>5696</v>
      </c>
      <c r="J1682" s="0" t="s">
        <v>5696</v>
      </c>
      <c r="M1682" s="0" t="s">
        <v>5697</v>
      </c>
      <c r="O1682" s="0" t="s">
        <v>5698</v>
      </c>
      <c r="P1682" s="0" t="n">
        <v>1954</v>
      </c>
      <c r="Q1682" s="0" t="s">
        <v>39</v>
      </c>
      <c r="R1682" s="0" t="s">
        <v>5699</v>
      </c>
      <c r="S1682" s="0" t="s">
        <v>5700</v>
      </c>
      <c r="T1682" s="0" t="n">
        <v>1964</v>
      </c>
      <c r="V1682" s="0" t="n">
        <v>1</v>
      </c>
      <c r="W1682" s="0" t="n">
        <v>1</v>
      </c>
      <c r="X1682" s="0" t="str">
        <f aca="false">"31811012080282"</f>
        <v>31811012080282</v>
      </c>
      <c r="Y1682" s="0" t="s">
        <v>39</v>
      </c>
      <c r="Z1682" s="0" t="s">
        <v>42</v>
      </c>
      <c r="AA1682" s="0" t="s">
        <v>622</v>
      </c>
      <c r="AE1682" s="1" t="s">
        <v>52</v>
      </c>
    </row>
    <row r="1683" customFormat="false" ht="12.8" hidden="false" customHeight="false" outlineLevel="0" collapsed="false">
      <c r="A1683" s="0" t="n">
        <v>519941</v>
      </c>
      <c r="B1683" s="0" t="n">
        <v>557359</v>
      </c>
      <c r="C1683" s="0" t="n">
        <v>629266</v>
      </c>
      <c r="D1683" s="0" t="s">
        <v>35</v>
      </c>
      <c r="E1683" s="0" t="s">
        <v>35</v>
      </c>
      <c r="F1683" s="0" t="s">
        <v>480</v>
      </c>
      <c r="G1683" s="0" t="s">
        <v>37</v>
      </c>
      <c r="H1683" s="0" t="s">
        <v>5696</v>
      </c>
      <c r="J1683" s="0" t="s">
        <v>5696</v>
      </c>
      <c r="M1683" s="0" t="s">
        <v>5697</v>
      </c>
      <c r="O1683" s="0" t="s">
        <v>5698</v>
      </c>
      <c r="P1683" s="0" t="n">
        <v>1954</v>
      </c>
      <c r="Q1683" s="0" t="s">
        <v>39</v>
      </c>
      <c r="R1683" s="0" t="s">
        <v>5699</v>
      </c>
      <c r="S1683" s="0" t="s">
        <v>5700</v>
      </c>
      <c r="T1683" s="0" t="n">
        <v>1963</v>
      </c>
      <c r="V1683" s="0" t="n">
        <v>1</v>
      </c>
      <c r="W1683" s="0" t="n">
        <v>1</v>
      </c>
      <c r="X1683" s="0" t="str">
        <f aca="false">"31811012080274"</f>
        <v>31811012080274</v>
      </c>
      <c r="Y1683" s="0" t="s">
        <v>39</v>
      </c>
      <c r="Z1683" s="0" t="s">
        <v>42</v>
      </c>
      <c r="AA1683" s="0" t="s">
        <v>622</v>
      </c>
      <c r="AE1683" s="1" t="s">
        <v>52</v>
      </c>
    </row>
    <row r="1684" customFormat="false" ht="12.8" hidden="false" customHeight="false" outlineLevel="0" collapsed="false">
      <c r="A1684" s="0" t="n">
        <v>519941</v>
      </c>
      <c r="B1684" s="0" t="n">
        <v>557359</v>
      </c>
      <c r="C1684" s="0" t="n">
        <v>629267</v>
      </c>
      <c r="D1684" s="0" t="s">
        <v>35</v>
      </c>
      <c r="E1684" s="0" t="s">
        <v>35</v>
      </c>
      <c r="F1684" s="0" t="s">
        <v>480</v>
      </c>
      <c r="G1684" s="0" t="s">
        <v>37</v>
      </c>
      <c r="H1684" s="0" t="s">
        <v>5696</v>
      </c>
      <c r="J1684" s="0" t="s">
        <v>5696</v>
      </c>
      <c r="M1684" s="0" t="s">
        <v>5697</v>
      </c>
      <c r="O1684" s="0" t="s">
        <v>5698</v>
      </c>
      <c r="P1684" s="0" t="n">
        <v>1954</v>
      </c>
      <c r="Q1684" s="0" t="s">
        <v>39</v>
      </c>
      <c r="R1684" s="0" t="s">
        <v>5699</v>
      </c>
      <c r="S1684" s="0" t="s">
        <v>5700</v>
      </c>
      <c r="T1684" s="0" t="n">
        <v>1962</v>
      </c>
      <c r="V1684" s="0" t="n">
        <v>1</v>
      </c>
      <c r="W1684" s="0" t="n">
        <v>1</v>
      </c>
      <c r="X1684" s="0" t="str">
        <f aca="false">"31811012080266"</f>
        <v>31811012080266</v>
      </c>
      <c r="Y1684" s="0" t="s">
        <v>39</v>
      </c>
      <c r="Z1684" s="0" t="s">
        <v>42</v>
      </c>
      <c r="AA1684" s="0" t="s">
        <v>622</v>
      </c>
      <c r="AE1684" s="1" t="s">
        <v>52</v>
      </c>
    </row>
    <row r="1685" customFormat="false" ht="12.8" hidden="false" customHeight="false" outlineLevel="0" collapsed="false">
      <c r="A1685" s="0" t="n">
        <v>519941</v>
      </c>
      <c r="B1685" s="0" t="n">
        <v>557359</v>
      </c>
      <c r="C1685" s="0" t="n">
        <v>629268</v>
      </c>
      <c r="D1685" s="0" t="s">
        <v>35</v>
      </c>
      <c r="E1685" s="0" t="s">
        <v>35</v>
      </c>
      <c r="F1685" s="0" t="s">
        <v>480</v>
      </c>
      <c r="G1685" s="0" t="s">
        <v>37</v>
      </c>
      <c r="H1685" s="0" t="s">
        <v>5696</v>
      </c>
      <c r="J1685" s="0" t="s">
        <v>5696</v>
      </c>
      <c r="M1685" s="0" t="s">
        <v>5697</v>
      </c>
      <c r="O1685" s="0" t="s">
        <v>5698</v>
      </c>
      <c r="P1685" s="0" t="n">
        <v>1954</v>
      </c>
      <c r="Q1685" s="0" t="s">
        <v>39</v>
      </c>
      <c r="R1685" s="0" t="s">
        <v>5699</v>
      </c>
      <c r="S1685" s="0" t="s">
        <v>5700</v>
      </c>
      <c r="T1685" s="0" t="n">
        <v>1961</v>
      </c>
      <c r="V1685" s="0" t="n">
        <v>1</v>
      </c>
      <c r="W1685" s="0" t="n">
        <v>1</v>
      </c>
      <c r="X1685" s="0" t="str">
        <f aca="false">"31811012080258"</f>
        <v>31811012080258</v>
      </c>
      <c r="Y1685" s="0" t="s">
        <v>39</v>
      </c>
      <c r="Z1685" s="0" t="s">
        <v>42</v>
      </c>
      <c r="AA1685" s="0" t="s">
        <v>622</v>
      </c>
      <c r="AE1685" s="1" t="s">
        <v>52</v>
      </c>
    </row>
    <row r="1686" customFormat="false" ht="12.8" hidden="false" customHeight="false" outlineLevel="0" collapsed="false">
      <c r="A1686" s="0" t="n">
        <v>519941</v>
      </c>
      <c r="B1686" s="0" t="n">
        <v>557359</v>
      </c>
      <c r="C1686" s="0" t="n">
        <v>629269</v>
      </c>
      <c r="D1686" s="0" t="s">
        <v>35</v>
      </c>
      <c r="E1686" s="0" t="s">
        <v>35</v>
      </c>
      <c r="F1686" s="0" t="s">
        <v>480</v>
      </c>
      <c r="G1686" s="0" t="s">
        <v>37</v>
      </c>
      <c r="H1686" s="0" t="s">
        <v>5696</v>
      </c>
      <c r="J1686" s="0" t="s">
        <v>5696</v>
      </c>
      <c r="M1686" s="0" t="s">
        <v>5697</v>
      </c>
      <c r="O1686" s="0" t="s">
        <v>5698</v>
      </c>
      <c r="P1686" s="0" t="n">
        <v>1954</v>
      </c>
      <c r="Q1686" s="0" t="s">
        <v>39</v>
      </c>
      <c r="R1686" s="0" t="s">
        <v>5699</v>
      </c>
      <c r="S1686" s="0" t="s">
        <v>5700</v>
      </c>
      <c r="T1686" s="0" t="n">
        <v>1960</v>
      </c>
      <c r="V1686" s="0" t="n">
        <v>1</v>
      </c>
      <c r="W1686" s="0" t="n">
        <v>1</v>
      </c>
      <c r="X1686" s="0" t="str">
        <f aca="false">"31811012081249"</f>
        <v>31811012081249</v>
      </c>
      <c r="Y1686" s="0" t="s">
        <v>39</v>
      </c>
      <c r="Z1686" s="0" t="s">
        <v>42</v>
      </c>
      <c r="AA1686" s="0" t="s">
        <v>622</v>
      </c>
      <c r="AE1686" s="1" t="s">
        <v>52</v>
      </c>
    </row>
    <row r="1687" customFormat="false" ht="12.8" hidden="false" customHeight="false" outlineLevel="0" collapsed="false">
      <c r="A1687" s="0" t="n">
        <v>519941</v>
      </c>
      <c r="B1687" s="0" t="n">
        <v>557359</v>
      </c>
      <c r="C1687" s="0" t="n">
        <v>629270</v>
      </c>
      <c r="D1687" s="0" t="s">
        <v>35</v>
      </c>
      <c r="E1687" s="0" t="s">
        <v>35</v>
      </c>
      <c r="F1687" s="0" t="s">
        <v>480</v>
      </c>
      <c r="G1687" s="0" t="s">
        <v>37</v>
      </c>
      <c r="H1687" s="0" t="s">
        <v>5696</v>
      </c>
      <c r="J1687" s="0" t="s">
        <v>5696</v>
      </c>
      <c r="M1687" s="0" t="s">
        <v>5697</v>
      </c>
      <c r="O1687" s="0" t="s">
        <v>5698</v>
      </c>
      <c r="P1687" s="0" t="n">
        <v>1954</v>
      </c>
      <c r="Q1687" s="0" t="s">
        <v>39</v>
      </c>
      <c r="R1687" s="0" t="s">
        <v>5699</v>
      </c>
      <c r="S1687" s="0" t="s">
        <v>5700</v>
      </c>
      <c r="T1687" s="0" t="n">
        <v>1959</v>
      </c>
      <c r="V1687" s="0" t="n">
        <v>1</v>
      </c>
      <c r="W1687" s="0" t="n">
        <v>1</v>
      </c>
      <c r="X1687" s="0" t="str">
        <f aca="false">"31811012081231"</f>
        <v>31811012081231</v>
      </c>
      <c r="Y1687" s="0" t="s">
        <v>39</v>
      </c>
      <c r="Z1687" s="0" t="s">
        <v>42</v>
      </c>
      <c r="AA1687" s="0" t="s">
        <v>622</v>
      </c>
      <c r="AE1687" s="1" t="s">
        <v>52</v>
      </c>
    </row>
    <row r="1688" customFormat="false" ht="12.8" hidden="false" customHeight="false" outlineLevel="0" collapsed="false">
      <c r="A1688" s="0" t="n">
        <v>519941</v>
      </c>
      <c r="B1688" s="0" t="n">
        <v>557359</v>
      </c>
      <c r="C1688" s="0" t="n">
        <v>629271</v>
      </c>
      <c r="D1688" s="0" t="s">
        <v>35</v>
      </c>
      <c r="E1688" s="0" t="s">
        <v>35</v>
      </c>
      <c r="F1688" s="0" t="s">
        <v>480</v>
      </c>
      <c r="G1688" s="0" t="s">
        <v>37</v>
      </c>
      <c r="H1688" s="0" t="s">
        <v>5696</v>
      </c>
      <c r="J1688" s="0" t="s">
        <v>5696</v>
      </c>
      <c r="M1688" s="0" t="s">
        <v>5697</v>
      </c>
      <c r="O1688" s="0" t="s">
        <v>5698</v>
      </c>
      <c r="P1688" s="0" t="n">
        <v>1954</v>
      </c>
      <c r="Q1688" s="0" t="s">
        <v>39</v>
      </c>
      <c r="R1688" s="0" t="s">
        <v>5699</v>
      </c>
      <c r="S1688" s="0" t="s">
        <v>5700</v>
      </c>
      <c r="T1688" s="0" t="n">
        <v>1958</v>
      </c>
      <c r="V1688" s="0" t="n">
        <v>1</v>
      </c>
      <c r="W1688" s="0" t="n">
        <v>1</v>
      </c>
      <c r="X1688" s="0" t="str">
        <f aca="false">"31811012081223"</f>
        <v>31811012081223</v>
      </c>
      <c r="Y1688" s="0" t="s">
        <v>39</v>
      </c>
      <c r="Z1688" s="0" t="s">
        <v>42</v>
      </c>
      <c r="AA1688" s="0" t="s">
        <v>622</v>
      </c>
      <c r="AE1688" s="1" t="s">
        <v>52</v>
      </c>
    </row>
    <row r="1689" customFormat="false" ht="12.8" hidden="false" customHeight="false" outlineLevel="0" collapsed="false">
      <c r="A1689" s="0" t="n">
        <v>519941</v>
      </c>
      <c r="B1689" s="0" t="n">
        <v>557359</v>
      </c>
      <c r="C1689" s="0" t="n">
        <v>629272</v>
      </c>
      <c r="D1689" s="0" t="s">
        <v>35</v>
      </c>
      <c r="E1689" s="0" t="s">
        <v>35</v>
      </c>
      <c r="F1689" s="0" t="s">
        <v>480</v>
      </c>
      <c r="G1689" s="0" t="s">
        <v>37</v>
      </c>
      <c r="H1689" s="0" t="s">
        <v>5696</v>
      </c>
      <c r="J1689" s="0" t="s">
        <v>5696</v>
      </c>
      <c r="M1689" s="0" t="s">
        <v>5697</v>
      </c>
      <c r="O1689" s="0" t="s">
        <v>5698</v>
      </c>
      <c r="P1689" s="0" t="n">
        <v>1954</v>
      </c>
      <c r="Q1689" s="0" t="s">
        <v>39</v>
      </c>
      <c r="R1689" s="0" t="s">
        <v>5699</v>
      </c>
      <c r="S1689" s="0" t="s">
        <v>5700</v>
      </c>
      <c r="T1689" s="0" t="n">
        <v>1957</v>
      </c>
      <c r="V1689" s="0" t="n">
        <v>1</v>
      </c>
      <c r="W1689" s="0" t="n">
        <v>1</v>
      </c>
      <c r="X1689" s="0" t="str">
        <f aca="false">"31811012081215"</f>
        <v>31811012081215</v>
      </c>
      <c r="Y1689" s="0" t="s">
        <v>39</v>
      </c>
      <c r="Z1689" s="0" t="s">
        <v>42</v>
      </c>
      <c r="AA1689" s="0" t="s">
        <v>622</v>
      </c>
      <c r="AE1689" s="1" t="s">
        <v>52</v>
      </c>
    </row>
    <row r="1690" customFormat="false" ht="12.8" hidden="false" customHeight="false" outlineLevel="0" collapsed="false">
      <c r="A1690" s="0" t="n">
        <v>519941</v>
      </c>
      <c r="B1690" s="0" t="n">
        <v>557359</v>
      </c>
      <c r="C1690" s="0" t="n">
        <v>629273</v>
      </c>
      <c r="D1690" s="0" t="s">
        <v>35</v>
      </c>
      <c r="E1690" s="0" t="s">
        <v>35</v>
      </c>
      <c r="F1690" s="0" t="s">
        <v>480</v>
      </c>
      <c r="G1690" s="0" t="s">
        <v>37</v>
      </c>
      <c r="H1690" s="0" t="s">
        <v>5696</v>
      </c>
      <c r="J1690" s="0" t="s">
        <v>5696</v>
      </c>
      <c r="M1690" s="0" t="s">
        <v>5697</v>
      </c>
      <c r="O1690" s="0" t="s">
        <v>5698</v>
      </c>
      <c r="P1690" s="0" t="n">
        <v>1954</v>
      </c>
      <c r="Q1690" s="0" t="s">
        <v>39</v>
      </c>
      <c r="R1690" s="0" t="s">
        <v>5699</v>
      </c>
      <c r="S1690" s="0" t="s">
        <v>5700</v>
      </c>
      <c r="T1690" s="0" t="n">
        <v>1956</v>
      </c>
      <c r="V1690" s="0" t="n">
        <v>1</v>
      </c>
      <c r="W1690" s="0" t="n">
        <v>1</v>
      </c>
      <c r="X1690" s="0" t="str">
        <f aca="false">"31811012080605"</f>
        <v>31811012080605</v>
      </c>
      <c r="Y1690" s="0" t="s">
        <v>39</v>
      </c>
      <c r="Z1690" s="0" t="s">
        <v>42</v>
      </c>
      <c r="AA1690" s="0" t="s">
        <v>622</v>
      </c>
      <c r="AE1690" s="1" t="s">
        <v>52</v>
      </c>
    </row>
    <row r="1691" customFormat="false" ht="12.8" hidden="false" customHeight="false" outlineLevel="0" collapsed="false">
      <c r="A1691" s="0" t="n">
        <v>519941</v>
      </c>
      <c r="B1691" s="0" t="n">
        <v>557359</v>
      </c>
      <c r="C1691" s="0" t="n">
        <v>629274</v>
      </c>
      <c r="D1691" s="0" t="s">
        <v>35</v>
      </c>
      <c r="E1691" s="0" t="s">
        <v>35</v>
      </c>
      <c r="F1691" s="0" t="s">
        <v>480</v>
      </c>
      <c r="G1691" s="0" t="s">
        <v>37</v>
      </c>
      <c r="H1691" s="0" t="s">
        <v>5696</v>
      </c>
      <c r="J1691" s="0" t="s">
        <v>5696</v>
      </c>
      <c r="M1691" s="0" t="s">
        <v>5697</v>
      </c>
      <c r="O1691" s="0" t="s">
        <v>5698</v>
      </c>
      <c r="P1691" s="0" t="n">
        <v>1954</v>
      </c>
      <c r="Q1691" s="0" t="s">
        <v>39</v>
      </c>
      <c r="R1691" s="0" t="s">
        <v>5699</v>
      </c>
      <c r="S1691" s="0" t="s">
        <v>5700</v>
      </c>
      <c r="T1691" s="0" t="n">
        <v>1955</v>
      </c>
      <c r="V1691" s="0" t="n">
        <v>1</v>
      </c>
      <c r="W1691" s="0" t="n">
        <v>1</v>
      </c>
      <c r="X1691" s="0" t="str">
        <f aca="false">"31811012080597"</f>
        <v>31811012080597</v>
      </c>
      <c r="Y1691" s="0" t="s">
        <v>39</v>
      </c>
      <c r="Z1691" s="0" t="s">
        <v>42</v>
      </c>
      <c r="AA1691" s="0" t="s">
        <v>622</v>
      </c>
      <c r="AE1691" s="1" t="s">
        <v>52</v>
      </c>
    </row>
    <row r="1692" customFormat="false" ht="12.8" hidden="false" customHeight="false" outlineLevel="0" collapsed="false">
      <c r="A1692" s="0" t="n">
        <v>519941</v>
      </c>
      <c r="B1692" s="0" t="n">
        <v>557359</v>
      </c>
      <c r="C1692" s="0" t="n">
        <v>629275</v>
      </c>
      <c r="D1692" s="0" t="s">
        <v>35</v>
      </c>
      <c r="E1692" s="0" t="s">
        <v>35</v>
      </c>
      <c r="F1692" s="0" t="s">
        <v>480</v>
      </c>
      <c r="G1692" s="0" t="s">
        <v>37</v>
      </c>
      <c r="H1692" s="0" t="s">
        <v>5696</v>
      </c>
      <c r="J1692" s="0" t="s">
        <v>5696</v>
      </c>
      <c r="M1692" s="0" t="s">
        <v>5697</v>
      </c>
      <c r="O1692" s="0" t="s">
        <v>5698</v>
      </c>
      <c r="P1692" s="0" t="n">
        <v>1954</v>
      </c>
      <c r="Q1692" s="0" t="s">
        <v>39</v>
      </c>
      <c r="R1692" s="0" t="s">
        <v>5699</v>
      </c>
      <c r="S1692" s="0" t="s">
        <v>5700</v>
      </c>
      <c r="T1692" s="0" t="n">
        <v>1954</v>
      </c>
      <c r="V1692" s="0" t="n">
        <v>1</v>
      </c>
      <c r="W1692" s="0" t="n">
        <v>1</v>
      </c>
      <c r="X1692" s="0" t="str">
        <f aca="false">"31811012080589"</f>
        <v>31811012080589</v>
      </c>
      <c r="Y1692" s="0" t="s">
        <v>39</v>
      </c>
      <c r="Z1692" s="0" t="s">
        <v>42</v>
      </c>
      <c r="AA1692" s="0" t="s">
        <v>622</v>
      </c>
      <c r="AE1692" s="1" t="s">
        <v>52</v>
      </c>
    </row>
    <row r="1693" customFormat="false" ht="12.8" hidden="false" customHeight="false" outlineLevel="0" collapsed="false">
      <c r="A1693" s="0" t="n">
        <v>550702</v>
      </c>
      <c r="B1693" s="0" t="n">
        <v>589199</v>
      </c>
      <c r="C1693" s="0" t="n">
        <v>665638</v>
      </c>
      <c r="D1693" s="0" t="s">
        <v>35</v>
      </c>
      <c r="E1693" s="0" t="s">
        <v>35</v>
      </c>
      <c r="F1693" s="0" t="s">
        <v>480</v>
      </c>
      <c r="G1693" s="0" t="s">
        <v>1192</v>
      </c>
      <c r="H1693" s="0" t="s">
        <v>5701</v>
      </c>
      <c r="J1693" s="0" t="s">
        <v>5701</v>
      </c>
      <c r="M1693" s="0" t="s">
        <v>5702</v>
      </c>
      <c r="N1693" s="0" t="s">
        <v>5703</v>
      </c>
      <c r="O1693" s="0" t="s">
        <v>5704</v>
      </c>
      <c r="P1693" s="0" t="n">
        <v>1972</v>
      </c>
      <c r="Q1693" s="0" t="s">
        <v>39</v>
      </c>
      <c r="R1693" s="0" t="s">
        <v>5699</v>
      </c>
      <c r="S1693" s="0" t="s">
        <v>5700</v>
      </c>
      <c r="T1693" s="0" t="n">
        <v>1973</v>
      </c>
      <c r="V1693" s="0" t="n">
        <v>1</v>
      </c>
      <c r="W1693" s="0" t="n">
        <v>1</v>
      </c>
      <c r="X1693" s="0" t="str">
        <f aca="false">"31811012064393"</f>
        <v>31811012064393</v>
      </c>
      <c r="Y1693" s="0" t="s">
        <v>39</v>
      </c>
      <c r="Z1693" s="0" t="s">
        <v>42</v>
      </c>
      <c r="AA1693" s="0" t="s">
        <v>622</v>
      </c>
      <c r="AE1693" s="1" t="s">
        <v>52</v>
      </c>
    </row>
    <row r="1694" customFormat="false" ht="12.8" hidden="false" customHeight="false" outlineLevel="0" collapsed="false">
      <c r="A1694" s="0" t="n">
        <v>192279</v>
      </c>
      <c r="B1694" s="0" t="n">
        <v>210749</v>
      </c>
      <c r="C1694" s="0" t="n">
        <v>236997</v>
      </c>
      <c r="D1694" s="0" t="s">
        <v>35</v>
      </c>
      <c r="E1694" s="0" t="s">
        <v>35</v>
      </c>
      <c r="F1694" s="0" t="s">
        <v>480</v>
      </c>
      <c r="G1694" s="0" t="s">
        <v>3014</v>
      </c>
      <c r="H1694" s="0" t="s">
        <v>5705</v>
      </c>
      <c r="J1694" s="0" t="s">
        <v>5705</v>
      </c>
      <c r="M1694" s="0" t="s">
        <v>5706</v>
      </c>
      <c r="O1694" s="0" t="s">
        <v>5707</v>
      </c>
      <c r="P1694" s="0" t="s">
        <v>1298</v>
      </c>
      <c r="Q1694" s="0" t="s">
        <v>39</v>
      </c>
      <c r="R1694" s="0" t="s">
        <v>5708</v>
      </c>
      <c r="S1694" s="0" t="s">
        <v>5709</v>
      </c>
      <c r="T1694" s="0" t="n">
        <v>1973</v>
      </c>
      <c r="V1694" s="0" t="n">
        <v>1</v>
      </c>
      <c r="W1694" s="0" t="n">
        <v>1</v>
      </c>
      <c r="X1694" s="0" t="str">
        <f aca="false">"31811010754961"</f>
        <v>31811010754961</v>
      </c>
      <c r="Y1694" s="0" t="s">
        <v>39</v>
      </c>
      <c r="Z1694" s="0" t="s">
        <v>42</v>
      </c>
      <c r="AA1694" s="0" t="s">
        <v>43</v>
      </c>
      <c r="AE1694" s="1" t="s">
        <v>52</v>
      </c>
    </row>
    <row r="1695" customFormat="false" ht="12.8" hidden="false" customHeight="false" outlineLevel="0" collapsed="false">
      <c r="A1695" s="0" t="n">
        <v>192279</v>
      </c>
      <c r="B1695" s="0" t="n">
        <v>210749</v>
      </c>
      <c r="C1695" s="0" t="n">
        <v>236998</v>
      </c>
      <c r="D1695" s="0" t="s">
        <v>35</v>
      </c>
      <c r="E1695" s="0" t="s">
        <v>35</v>
      </c>
      <c r="F1695" s="0" t="s">
        <v>480</v>
      </c>
      <c r="G1695" s="0" t="s">
        <v>3014</v>
      </c>
      <c r="H1695" s="0" t="s">
        <v>5705</v>
      </c>
      <c r="J1695" s="0" t="s">
        <v>5705</v>
      </c>
      <c r="M1695" s="0" t="s">
        <v>5706</v>
      </c>
      <c r="O1695" s="0" t="s">
        <v>5707</v>
      </c>
      <c r="P1695" s="0" t="s">
        <v>1298</v>
      </c>
      <c r="Q1695" s="0" t="s">
        <v>39</v>
      </c>
      <c r="R1695" s="0" t="s">
        <v>5708</v>
      </c>
      <c r="S1695" s="0" t="s">
        <v>5709</v>
      </c>
      <c r="T1695" s="0" t="n">
        <v>1972</v>
      </c>
      <c r="V1695" s="0" t="n">
        <v>1</v>
      </c>
      <c r="W1695" s="0" t="n">
        <v>1</v>
      </c>
      <c r="X1695" s="0" t="str">
        <f aca="false">"31811010754912"</f>
        <v>31811010754912</v>
      </c>
      <c r="Y1695" s="0" t="s">
        <v>39</v>
      </c>
      <c r="Z1695" s="0" t="s">
        <v>42</v>
      </c>
      <c r="AA1695" s="0" t="s">
        <v>43</v>
      </c>
      <c r="AE1695" s="1" t="s">
        <v>52</v>
      </c>
    </row>
    <row r="1696" customFormat="false" ht="12.8" hidden="false" customHeight="false" outlineLevel="0" collapsed="false">
      <c r="A1696" s="0" t="n">
        <v>61217</v>
      </c>
      <c r="B1696" s="0" t="n">
        <v>66510</v>
      </c>
      <c r="C1696" s="0" t="n">
        <v>73455</v>
      </c>
      <c r="D1696" s="0" t="s">
        <v>35</v>
      </c>
      <c r="E1696" s="0" t="s">
        <v>35</v>
      </c>
      <c r="F1696" s="0" t="s">
        <v>480</v>
      </c>
      <c r="G1696" s="0" t="s">
        <v>3027</v>
      </c>
      <c r="H1696" s="0" t="s">
        <v>5710</v>
      </c>
      <c r="J1696" s="0" t="s">
        <v>5710</v>
      </c>
      <c r="M1696" s="0" t="s">
        <v>5711</v>
      </c>
      <c r="O1696" s="0" t="s">
        <v>5712</v>
      </c>
      <c r="P1696" s="0" t="n">
        <v>9999</v>
      </c>
      <c r="Q1696" s="0" t="s">
        <v>39</v>
      </c>
      <c r="R1696" s="0" t="s">
        <v>5713</v>
      </c>
      <c r="S1696" s="0" t="s">
        <v>5714</v>
      </c>
      <c r="T1696" s="0" t="n">
        <v>1990</v>
      </c>
      <c r="V1696" s="0" t="n">
        <v>1</v>
      </c>
      <c r="W1696" s="0" t="n">
        <v>1</v>
      </c>
      <c r="X1696" s="0" t="str">
        <f aca="false">"31811010755158"</f>
        <v>31811010755158</v>
      </c>
      <c r="Y1696" s="0" t="s">
        <v>39</v>
      </c>
      <c r="Z1696" s="0" t="s">
        <v>42</v>
      </c>
      <c r="AA1696" s="0" t="s">
        <v>43</v>
      </c>
      <c r="AE1696" s="1" t="s">
        <v>52</v>
      </c>
    </row>
    <row r="1697" customFormat="false" ht="12.8" hidden="false" customHeight="false" outlineLevel="0" collapsed="false">
      <c r="A1697" s="0" t="n">
        <v>61217</v>
      </c>
      <c r="B1697" s="0" t="n">
        <v>66510</v>
      </c>
      <c r="C1697" s="0" t="n">
        <v>73456</v>
      </c>
      <c r="D1697" s="0" t="s">
        <v>35</v>
      </c>
      <c r="E1697" s="0" t="s">
        <v>35</v>
      </c>
      <c r="F1697" s="0" t="s">
        <v>480</v>
      </c>
      <c r="G1697" s="0" t="s">
        <v>3027</v>
      </c>
      <c r="H1697" s="0" t="s">
        <v>5710</v>
      </c>
      <c r="J1697" s="0" t="s">
        <v>5710</v>
      </c>
      <c r="M1697" s="0" t="s">
        <v>5711</v>
      </c>
      <c r="O1697" s="0" t="s">
        <v>5712</v>
      </c>
      <c r="P1697" s="0" t="n">
        <v>9999</v>
      </c>
      <c r="Q1697" s="0" t="s">
        <v>39</v>
      </c>
      <c r="R1697" s="0" t="s">
        <v>5713</v>
      </c>
      <c r="S1697" s="0" t="s">
        <v>5714</v>
      </c>
      <c r="T1697" s="0" t="n">
        <v>1989</v>
      </c>
      <c r="V1697" s="0" t="n">
        <v>1</v>
      </c>
      <c r="W1697" s="0" t="n">
        <v>1</v>
      </c>
      <c r="X1697" s="0" t="str">
        <f aca="false">"31811010755166"</f>
        <v>31811010755166</v>
      </c>
      <c r="Y1697" s="0" t="s">
        <v>39</v>
      </c>
      <c r="Z1697" s="0" t="s">
        <v>42</v>
      </c>
      <c r="AA1697" s="0" t="s">
        <v>43</v>
      </c>
      <c r="AE1697" s="1" t="s">
        <v>52</v>
      </c>
    </row>
    <row r="1698" customFormat="false" ht="12.8" hidden="false" customHeight="false" outlineLevel="0" collapsed="false">
      <c r="A1698" s="0" t="n">
        <v>61217</v>
      </c>
      <c r="B1698" s="0" t="n">
        <v>66510</v>
      </c>
      <c r="C1698" s="0" t="n">
        <v>73457</v>
      </c>
      <c r="D1698" s="0" t="s">
        <v>35</v>
      </c>
      <c r="E1698" s="0" t="s">
        <v>35</v>
      </c>
      <c r="F1698" s="0" t="s">
        <v>480</v>
      </c>
      <c r="G1698" s="0" t="s">
        <v>3027</v>
      </c>
      <c r="H1698" s="0" t="s">
        <v>5710</v>
      </c>
      <c r="J1698" s="0" t="s">
        <v>5710</v>
      </c>
      <c r="M1698" s="0" t="s">
        <v>5711</v>
      </c>
      <c r="O1698" s="0" t="s">
        <v>5712</v>
      </c>
      <c r="P1698" s="0" t="n">
        <v>9999</v>
      </c>
      <c r="Q1698" s="0" t="s">
        <v>39</v>
      </c>
      <c r="R1698" s="0" t="s">
        <v>5713</v>
      </c>
      <c r="S1698" s="0" t="s">
        <v>5714</v>
      </c>
      <c r="T1698" s="0" t="n">
        <v>1988</v>
      </c>
      <c r="V1698" s="0" t="n">
        <v>1</v>
      </c>
      <c r="W1698" s="0" t="n">
        <v>1</v>
      </c>
      <c r="X1698" s="0" t="str">
        <f aca="false">"31811010754938"</f>
        <v>31811010754938</v>
      </c>
      <c r="Y1698" s="0" t="s">
        <v>39</v>
      </c>
      <c r="Z1698" s="0" t="s">
        <v>42</v>
      </c>
      <c r="AA1698" s="0" t="s">
        <v>43</v>
      </c>
      <c r="AE1698" s="1" t="s">
        <v>52</v>
      </c>
    </row>
    <row r="1699" customFormat="false" ht="12.8" hidden="false" customHeight="false" outlineLevel="0" collapsed="false">
      <c r="A1699" s="0" t="n">
        <v>61217</v>
      </c>
      <c r="B1699" s="0" t="n">
        <v>66510</v>
      </c>
      <c r="C1699" s="0" t="n">
        <v>73458</v>
      </c>
      <c r="D1699" s="0" t="s">
        <v>35</v>
      </c>
      <c r="E1699" s="0" t="s">
        <v>35</v>
      </c>
      <c r="F1699" s="0" t="s">
        <v>480</v>
      </c>
      <c r="G1699" s="0" t="s">
        <v>3027</v>
      </c>
      <c r="H1699" s="0" t="s">
        <v>5710</v>
      </c>
      <c r="J1699" s="0" t="s">
        <v>5710</v>
      </c>
      <c r="M1699" s="0" t="s">
        <v>5711</v>
      </c>
      <c r="O1699" s="0" t="s">
        <v>5712</v>
      </c>
      <c r="P1699" s="0" t="n">
        <v>9999</v>
      </c>
      <c r="Q1699" s="0" t="s">
        <v>39</v>
      </c>
      <c r="R1699" s="0" t="s">
        <v>5713</v>
      </c>
      <c r="S1699" s="0" t="s">
        <v>5714</v>
      </c>
      <c r="T1699" s="0" t="n">
        <v>1987</v>
      </c>
      <c r="V1699" s="0" t="n">
        <v>1</v>
      </c>
      <c r="W1699" s="0" t="n">
        <v>1</v>
      </c>
      <c r="X1699" s="0" t="str">
        <f aca="false">"31811010754946"</f>
        <v>31811010754946</v>
      </c>
      <c r="Y1699" s="0" t="s">
        <v>39</v>
      </c>
      <c r="Z1699" s="0" t="s">
        <v>42</v>
      </c>
      <c r="AA1699" s="0" t="s">
        <v>43</v>
      </c>
      <c r="AE1699" s="1" t="s">
        <v>52</v>
      </c>
    </row>
    <row r="1700" customFormat="false" ht="12.8" hidden="false" customHeight="false" outlineLevel="0" collapsed="false">
      <c r="A1700" s="0" t="n">
        <v>61217</v>
      </c>
      <c r="B1700" s="0" t="n">
        <v>66510</v>
      </c>
      <c r="C1700" s="0" t="n">
        <v>73459</v>
      </c>
      <c r="D1700" s="0" t="s">
        <v>35</v>
      </c>
      <c r="E1700" s="0" t="s">
        <v>35</v>
      </c>
      <c r="F1700" s="0" t="s">
        <v>480</v>
      </c>
      <c r="G1700" s="0" t="s">
        <v>3027</v>
      </c>
      <c r="H1700" s="0" t="s">
        <v>5710</v>
      </c>
      <c r="J1700" s="0" t="s">
        <v>5710</v>
      </c>
      <c r="M1700" s="0" t="s">
        <v>5711</v>
      </c>
      <c r="O1700" s="0" t="s">
        <v>5712</v>
      </c>
      <c r="P1700" s="0" t="n">
        <v>9999</v>
      </c>
      <c r="Q1700" s="0" t="s">
        <v>39</v>
      </c>
      <c r="R1700" s="0" t="s">
        <v>5713</v>
      </c>
      <c r="S1700" s="0" t="s">
        <v>5714</v>
      </c>
      <c r="T1700" s="0" t="n">
        <v>1986</v>
      </c>
      <c r="V1700" s="0" t="n">
        <v>1</v>
      </c>
      <c r="W1700" s="0" t="n">
        <v>1</v>
      </c>
      <c r="X1700" s="0" t="str">
        <f aca="false">"31811010754896"</f>
        <v>31811010754896</v>
      </c>
      <c r="Y1700" s="0" t="s">
        <v>39</v>
      </c>
      <c r="Z1700" s="0" t="s">
        <v>42</v>
      </c>
      <c r="AA1700" s="0" t="s">
        <v>43</v>
      </c>
      <c r="AE1700" s="1" t="s">
        <v>52</v>
      </c>
    </row>
    <row r="1701" customFormat="false" ht="12.8" hidden="false" customHeight="false" outlineLevel="0" collapsed="false">
      <c r="A1701" s="0" t="n">
        <v>61217</v>
      </c>
      <c r="B1701" s="0" t="n">
        <v>66510</v>
      </c>
      <c r="C1701" s="0" t="n">
        <v>73460</v>
      </c>
      <c r="D1701" s="0" t="s">
        <v>35</v>
      </c>
      <c r="E1701" s="0" t="s">
        <v>35</v>
      </c>
      <c r="F1701" s="0" t="s">
        <v>480</v>
      </c>
      <c r="G1701" s="0" t="s">
        <v>3027</v>
      </c>
      <c r="H1701" s="0" t="s">
        <v>5710</v>
      </c>
      <c r="J1701" s="0" t="s">
        <v>5710</v>
      </c>
      <c r="M1701" s="0" t="s">
        <v>5711</v>
      </c>
      <c r="O1701" s="0" t="s">
        <v>5712</v>
      </c>
      <c r="P1701" s="0" t="n">
        <v>9999</v>
      </c>
      <c r="Q1701" s="0" t="s">
        <v>39</v>
      </c>
      <c r="R1701" s="0" t="s">
        <v>5713</v>
      </c>
      <c r="S1701" s="0" t="s">
        <v>5714</v>
      </c>
      <c r="T1701" s="0" t="n">
        <v>1985</v>
      </c>
      <c r="V1701" s="0" t="n">
        <v>1</v>
      </c>
      <c r="W1701" s="0" t="n">
        <v>1</v>
      </c>
      <c r="X1701" s="0" t="str">
        <f aca="false">"31811010754904"</f>
        <v>31811010754904</v>
      </c>
      <c r="Y1701" s="0" t="s">
        <v>39</v>
      </c>
      <c r="Z1701" s="0" t="s">
        <v>42</v>
      </c>
      <c r="AA1701" s="0" t="s">
        <v>43</v>
      </c>
      <c r="AE1701" s="1" t="s">
        <v>52</v>
      </c>
    </row>
    <row r="1702" customFormat="false" ht="12.8" hidden="false" customHeight="false" outlineLevel="0" collapsed="false">
      <c r="A1702" s="0" t="n">
        <v>61217</v>
      </c>
      <c r="B1702" s="0" t="n">
        <v>66510</v>
      </c>
      <c r="C1702" s="0" t="n">
        <v>73461</v>
      </c>
      <c r="D1702" s="0" t="s">
        <v>35</v>
      </c>
      <c r="E1702" s="0" t="s">
        <v>35</v>
      </c>
      <c r="F1702" s="0" t="s">
        <v>480</v>
      </c>
      <c r="G1702" s="0" t="s">
        <v>3027</v>
      </c>
      <c r="H1702" s="0" t="s">
        <v>5710</v>
      </c>
      <c r="J1702" s="0" t="s">
        <v>5710</v>
      </c>
      <c r="M1702" s="0" t="s">
        <v>5711</v>
      </c>
      <c r="O1702" s="0" t="s">
        <v>5712</v>
      </c>
      <c r="P1702" s="0" t="n">
        <v>9999</v>
      </c>
      <c r="Q1702" s="0" t="s">
        <v>39</v>
      </c>
      <c r="R1702" s="0" t="s">
        <v>5713</v>
      </c>
      <c r="S1702" s="0" t="s">
        <v>5714</v>
      </c>
      <c r="T1702" s="0" t="n">
        <v>1984</v>
      </c>
      <c r="V1702" s="0" t="n">
        <v>1</v>
      </c>
      <c r="W1702" s="0" t="n">
        <v>1</v>
      </c>
      <c r="X1702" s="0" t="str">
        <f aca="false">"31811010754953"</f>
        <v>31811010754953</v>
      </c>
      <c r="Y1702" s="0" t="s">
        <v>39</v>
      </c>
      <c r="Z1702" s="0" t="s">
        <v>42</v>
      </c>
      <c r="AA1702" s="0" t="s">
        <v>43</v>
      </c>
      <c r="AE1702" s="1" t="s">
        <v>52</v>
      </c>
    </row>
    <row r="1703" customFormat="false" ht="12.8" hidden="false" customHeight="false" outlineLevel="0" collapsed="false">
      <c r="A1703" s="0" t="n">
        <v>194421</v>
      </c>
      <c r="B1703" s="0" t="n">
        <v>187730</v>
      </c>
      <c r="C1703" s="0" t="n">
        <v>210719</v>
      </c>
      <c r="D1703" s="0" t="s">
        <v>35</v>
      </c>
      <c r="E1703" s="0" t="s">
        <v>35</v>
      </c>
      <c r="F1703" s="0" t="s">
        <v>480</v>
      </c>
      <c r="G1703" s="0" t="s">
        <v>3014</v>
      </c>
      <c r="H1703" s="0" t="s">
        <v>5715</v>
      </c>
      <c r="J1703" s="0" t="s">
        <v>5715</v>
      </c>
      <c r="M1703" s="0" t="s">
        <v>5716</v>
      </c>
      <c r="O1703" s="0" t="s">
        <v>5717</v>
      </c>
      <c r="P1703" s="0" t="n">
        <v>1957</v>
      </c>
      <c r="Q1703" s="0" t="s">
        <v>39</v>
      </c>
      <c r="R1703" s="0" t="s">
        <v>5718</v>
      </c>
      <c r="S1703" s="0" t="s">
        <v>5719</v>
      </c>
      <c r="T1703" s="0" t="n">
        <v>1969</v>
      </c>
      <c r="V1703" s="0" t="n">
        <v>1</v>
      </c>
      <c r="W1703" s="0" t="n">
        <v>1</v>
      </c>
      <c r="X1703" s="0" t="str">
        <f aca="false">"31811010755208"</f>
        <v>31811010755208</v>
      </c>
      <c r="Y1703" s="0" t="s">
        <v>39</v>
      </c>
      <c r="Z1703" s="0" t="s">
        <v>42</v>
      </c>
      <c r="AA1703" s="0" t="s">
        <v>43</v>
      </c>
      <c r="AE1703" s="1" t="s">
        <v>52</v>
      </c>
    </row>
    <row r="1704" customFormat="false" ht="12.8" hidden="false" customHeight="false" outlineLevel="0" collapsed="false">
      <c r="A1704" s="0" t="n">
        <v>194421</v>
      </c>
      <c r="B1704" s="0" t="n">
        <v>187730</v>
      </c>
      <c r="C1704" s="0" t="n">
        <v>210720</v>
      </c>
      <c r="D1704" s="0" t="s">
        <v>35</v>
      </c>
      <c r="E1704" s="0" t="s">
        <v>35</v>
      </c>
      <c r="F1704" s="0" t="s">
        <v>480</v>
      </c>
      <c r="G1704" s="0" t="s">
        <v>3014</v>
      </c>
      <c r="H1704" s="0" t="s">
        <v>5715</v>
      </c>
      <c r="J1704" s="0" t="s">
        <v>5715</v>
      </c>
      <c r="M1704" s="0" t="s">
        <v>5716</v>
      </c>
      <c r="O1704" s="0" t="s">
        <v>5717</v>
      </c>
      <c r="P1704" s="0" t="n">
        <v>1957</v>
      </c>
      <c r="Q1704" s="0" t="s">
        <v>39</v>
      </c>
      <c r="R1704" s="0" t="s">
        <v>5718</v>
      </c>
      <c r="S1704" s="0" t="s">
        <v>5719</v>
      </c>
      <c r="T1704" s="0" t="n">
        <v>1968</v>
      </c>
      <c r="V1704" s="0" t="n">
        <v>1</v>
      </c>
      <c r="W1704" s="0" t="n">
        <v>1</v>
      </c>
      <c r="X1704" s="0" t="str">
        <f aca="false">"31811010755133"</f>
        <v>31811010755133</v>
      </c>
      <c r="Y1704" s="0" t="s">
        <v>39</v>
      </c>
      <c r="Z1704" s="0" t="s">
        <v>42</v>
      </c>
      <c r="AA1704" s="0" t="s">
        <v>43</v>
      </c>
      <c r="AE1704" s="1" t="s">
        <v>52</v>
      </c>
    </row>
    <row r="1705" customFormat="false" ht="12.8" hidden="false" customHeight="false" outlineLevel="0" collapsed="false">
      <c r="A1705" s="0" t="n">
        <v>194421</v>
      </c>
      <c r="B1705" s="0" t="n">
        <v>187730</v>
      </c>
      <c r="C1705" s="0" t="n">
        <v>210721</v>
      </c>
      <c r="D1705" s="0" t="s">
        <v>35</v>
      </c>
      <c r="E1705" s="0" t="s">
        <v>35</v>
      </c>
      <c r="F1705" s="0" t="s">
        <v>480</v>
      </c>
      <c r="G1705" s="0" t="s">
        <v>3014</v>
      </c>
      <c r="H1705" s="0" t="s">
        <v>5715</v>
      </c>
      <c r="J1705" s="0" t="s">
        <v>5715</v>
      </c>
      <c r="M1705" s="0" t="s">
        <v>5716</v>
      </c>
      <c r="O1705" s="0" t="s">
        <v>5717</v>
      </c>
      <c r="P1705" s="0" t="n">
        <v>1957</v>
      </c>
      <c r="Q1705" s="0" t="s">
        <v>39</v>
      </c>
      <c r="R1705" s="0" t="s">
        <v>5718</v>
      </c>
      <c r="S1705" s="0" t="s">
        <v>5719</v>
      </c>
      <c r="T1705" s="0" t="n">
        <v>1957</v>
      </c>
      <c r="V1705" s="0" t="n">
        <v>1</v>
      </c>
      <c r="W1705" s="0" t="n">
        <v>1</v>
      </c>
      <c r="X1705" s="0" t="str">
        <f aca="false">"31811010755141"</f>
        <v>31811010755141</v>
      </c>
      <c r="Y1705" s="0" t="s">
        <v>39</v>
      </c>
      <c r="Z1705" s="0" t="s">
        <v>42</v>
      </c>
      <c r="AA1705" s="0" t="s">
        <v>43</v>
      </c>
      <c r="AE1705" s="1" t="s">
        <v>52</v>
      </c>
    </row>
    <row r="1706" customFormat="false" ht="12.8" hidden="false" customHeight="false" outlineLevel="0" collapsed="false">
      <c r="A1706" s="0" t="n">
        <v>171907</v>
      </c>
      <c r="B1706" s="0" t="n">
        <v>187730</v>
      </c>
      <c r="C1706" s="0" t="n">
        <v>210719</v>
      </c>
      <c r="D1706" s="0" t="s">
        <v>35</v>
      </c>
      <c r="E1706" s="0" t="s">
        <v>35</v>
      </c>
      <c r="F1706" s="0" t="s">
        <v>480</v>
      </c>
      <c r="G1706" s="0" t="s">
        <v>3014</v>
      </c>
      <c r="H1706" s="0" t="s">
        <v>5720</v>
      </c>
      <c r="J1706" s="0" t="s">
        <v>5720</v>
      </c>
      <c r="M1706" s="0" t="s">
        <v>5721</v>
      </c>
      <c r="O1706" s="0" t="s">
        <v>5722</v>
      </c>
      <c r="P1706" s="0" t="n">
        <v>1969</v>
      </c>
      <c r="Q1706" s="0" t="s">
        <v>39</v>
      </c>
      <c r="R1706" s="0" t="s">
        <v>5718</v>
      </c>
      <c r="S1706" s="0" t="s">
        <v>5719</v>
      </c>
      <c r="T1706" s="0" t="n">
        <v>1969</v>
      </c>
      <c r="V1706" s="0" t="n">
        <v>1</v>
      </c>
      <c r="W1706" s="0" t="n">
        <v>1</v>
      </c>
      <c r="X1706" s="0" t="str">
        <f aca="false">"31811010755208"</f>
        <v>31811010755208</v>
      </c>
      <c r="Y1706" s="0" t="s">
        <v>39</v>
      </c>
      <c r="Z1706" s="0" t="s">
        <v>42</v>
      </c>
      <c r="AA1706" s="0" t="s">
        <v>43</v>
      </c>
      <c r="AE1706" s="1" t="s">
        <v>52</v>
      </c>
    </row>
    <row r="1707" customFormat="false" ht="12.8" hidden="false" customHeight="false" outlineLevel="0" collapsed="false">
      <c r="A1707" s="0" t="n">
        <v>171907</v>
      </c>
      <c r="B1707" s="0" t="n">
        <v>187730</v>
      </c>
      <c r="C1707" s="0" t="n">
        <v>210720</v>
      </c>
      <c r="D1707" s="0" t="s">
        <v>35</v>
      </c>
      <c r="E1707" s="0" t="s">
        <v>35</v>
      </c>
      <c r="F1707" s="0" t="s">
        <v>480</v>
      </c>
      <c r="G1707" s="0" t="s">
        <v>3014</v>
      </c>
      <c r="H1707" s="0" t="s">
        <v>5720</v>
      </c>
      <c r="J1707" s="0" t="s">
        <v>5720</v>
      </c>
      <c r="M1707" s="0" t="s">
        <v>5721</v>
      </c>
      <c r="O1707" s="0" t="s">
        <v>5722</v>
      </c>
      <c r="P1707" s="0" t="n">
        <v>1969</v>
      </c>
      <c r="Q1707" s="0" t="s">
        <v>39</v>
      </c>
      <c r="R1707" s="0" t="s">
        <v>5718</v>
      </c>
      <c r="S1707" s="0" t="s">
        <v>5719</v>
      </c>
      <c r="T1707" s="0" t="n">
        <v>1968</v>
      </c>
      <c r="V1707" s="0" t="n">
        <v>1</v>
      </c>
      <c r="W1707" s="0" t="n">
        <v>1</v>
      </c>
      <c r="X1707" s="0" t="str">
        <f aca="false">"31811010755133"</f>
        <v>31811010755133</v>
      </c>
      <c r="Y1707" s="0" t="s">
        <v>39</v>
      </c>
      <c r="Z1707" s="0" t="s">
        <v>42</v>
      </c>
      <c r="AA1707" s="0" t="s">
        <v>43</v>
      </c>
      <c r="AE1707" s="1" t="s">
        <v>52</v>
      </c>
    </row>
    <row r="1708" customFormat="false" ht="12.8" hidden="false" customHeight="false" outlineLevel="0" collapsed="false">
      <c r="A1708" s="0" t="n">
        <v>171907</v>
      </c>
      <c r="B1708" s="0" t="n">
        <v>187730</v>
      </c>
      <c r="C1708" s="0" t="n">
        <v>210721</v>
      </c>
      <c r="D1708" s="0" t="s">
        <v>35</v>
      </c>
      <c r="E1708" s="0" t="s">
        <v>35</v>
      </c>
      <c r="F1708" s="0" t="s">
        <v>480</v>
      </c>
      <c r="G1708" s="0" t="s">
        <v>3014</v>
      </c>
      <c r="H1708" s="0" t="s">
        <v>5720</v>
      </c>
      <c r="J1708" s="0" t="s">
        <v>5720</v>
      </c>
      <c r="M1708" s="0" t="s">
        <v>5721</v>
      </c>
      <c r="O1708" s="0" t="s">
        <v>5722</v>
      </c>
      <c r="P1708" s="0" t="n">
        <v>1969</v>
      </c>
      <c r="Q1708" s="0" t="s">
        <v>39</v>
      </c>
      <c r="R1708" s="0" t="s">
        <v>5718</v>
      </c>
      <c r="S1708" s="0" t="s">
        <v>5719</v>
      </c>
      <c r="T1708" s="0" t="n">
        <v>1957</v>
      </c>
      <c r="V1708" s="0" t="n">
        <v>1</v>
      </c>
      <c r="W1708" s="0" t="n">
        <v>1</v>
      </c>
      <c r="X1708" s="0" t="str">
        <f aca="false">"31811010755141"</f>
        <v>31811010755141</v>
      </c>
      <c r="Y1708" s="0" t="s">
        <v>39</v>
      </c>
      <c r="Z1708" s="0" t="s">
        <v>42</v>
      </c>
      <c r="AA1708" s="0" t="s">
        <v>43</v>
      </c>
      <c r="AE1708" s="1" t="s">
        <v>52</v>
      </c>
    </row>
    <row r="1709" customFormat="false" ht="12.8" hidden="false" customHeight="false" outlineLevel="0" collapsed="false">
      <c r="A1709" s="0" t="n">
        <v>470580</v>
      </c>
      <c r="B1709" s="0" t="n">
        <v>502611</v>
      </c>
      <c r="C1709" s="0" t="n">
        <v>564391</v>
      </c>
      <c r="D1709" s="0" t="s">
        <v>35</v>
      </c>
      <c r="E1709" s="0" t="s">
        <v>35</v>
      </c>
      <c r="F1709" s="0" t="s">
        <v>36</v>
      </c>
      <c r="G1709" s="0" t="s">
        <v>37</v>
      </c>
      <c r="H1709" s="0" t="s">
        <v>5723</v>
      </c>
      <c r="I1709" s="0" t="s">
        <v>5724</v>
      </c>
      <c r="J1709" s="0" t="s">
        <v>5725</v>
      </c>
      <c r="M1709" s="0" t="s">
        <v>5726</v>
      </c>
      <c r="N1709" s="0" t="s">
        <v>5727</v>
      </c>
      <c r="O1709" s="0" t="s">
        <v>5728</v>
      </c>
      <c r="P1709" s="0" t="n">
        <v>1850</v>
      </c>
      <c r="Q1709" s="0" t="s">
        <v>39</v>
      </c>
      <c r="R1709" s="0" t="s">
        <v>5729</v>
      </c>
      <c r="S1709" s="0" t="s">
        <v>5730</v>
      </c>
      <c r="V1709" s="0" t="n">
        <v>1</v>
      </c>
      <c r="W1709" s="0" t="n">
        <v>1</v>
      </c>
      <c r="X1709" s="0" t="str">
        <f aca="false">"31811010748716"</f>
        <v>31811010748716</v>
      </c>
      <c r="Y1709" s="0" t="s">
        <v>39</v>
      </c>
      <c r="Z1709" s="0" t="s">
        <v>42</v>
      </c>
      <c r="AA1709" s="0" t="s">
        <v>43</v>
      </c>
      <c r="AE1709" s="1" t="s">
        <v>52</v>
      </c>
      <c r="AH1709" s="1" t="s">
        <v>5695</v>
      </c>
    </row>
    <row r="1710" customFormat="false" ht="12.8" hidden="false" customHeight="false" outlineLevel="0" collapsed="false">
      <c r="A1710" s="0" t="n">
        <v>534808</v>
      </c>
      <c r="B1710" s="0" t="n">
        <v>572954</v>
      </c>
      <c r="C1710" s="0" t="n">
        <v>647642</v>
      </c>
      <c r="D1710" s="0" t="s">
        <v>35</v>
      </c>
      <c r="E1710" s="0" t="s">
        <v>35</v>
      </c>
      <c r="F1710" s="0" t="s">
        <v>480</v>
      </c>
      <c r="G1710" s="0" t="s">
        <v>37</v>
      </c>
      <c r="H1710" s="0" t="s">
        <v>5731</v>
      </c>
      <c r="J1710" s="0" t="s">
        <v>5731</v>
      </c>
      <c r="M1710" s="0" t="s">
        <v>5732</v>
      </c>
      <c r="N1710" s="0" t="s">
        <v>5733</v>
      </c>
      <c r="O1710" s="0" t="s">
        <v>5734</v>
      </c>
      <c r="P1710" s="0" t="n">
        <v>1847</v>
      </c>
      <c r="Q1710" s="0" t="s">
        <v>39</v>
      </c>
      <c r="R1710" s="0" t="s">
        <v>5735</v>
      </c>
      <c r="S1710" s="0" t="s">
        <v>5736</v>
      </c>
      <c r="T1710" s="0" t="n">
        <v>1851</v>
      </c>
      <c r="V1710" s="0" t="n">
        <v>1</v>
      </c>
      <c r="W1710" s="0" t="n">
        <v>1</v>
      </c>
      <c r="X1710" s="0" t="str">
        <f aca="false">"31811012065788"</f>
        <v>31811012065788</v>
      </c>
      <c r="Y1710" s="0" t="s">
        <v>39</v>
      </c>
      <c r="Z1710" s="0" t="s">
        <v>42</v>
      </c>
      <c r="AA1710" s="0" t="s">
        <v>622</v>
      </c>
      <c r="AE1710" s="1" t="s">
        <v>52</v>
      </c>
    </row>
    <row r="1711" customFormat="false" ht="12.8" hidden="false" customHeight="false" outlineLevel="0" collapsed="false">
      <c r="A1711" s="0" t="n">
        <v>176093</v>
      </c>
      <c r="B1711" s="0" t="n">
        <v>192435</v>
      </c>
      <c r="C1711" s="0" t="n">
        <v>216154</v>
      </c>
      <c r="D1711" s="0" t="s">
        <v>35</v>
      </c>
      <c r="E1711" s="0" t="s">
        <v>35</v>
      </c>
      <c r="F1711" s="0" t="s">
        <v>36</v>
      </c>
      <c r="G1711" s="0" t="s">
        <v>37</v>
      </c>
      <c r="H1711" s="0" t="s">
        <v>5737</v>
      </c>
      <c r="I1711" s="0" t="s">
        <v>5738</v>
      </c>
      <c r="J1711" s="0" t="s">
        <v>5739</v>
      </c>
      <c r="M1711" s="0" t="s">
        <v>5740</v>
      </c>
      <c r="N1711" s="0" t="n">
        <v>1836</v>
      </c>
      <c r="O1711" s="0" t="s">
        <v>5741</v>
      </c>
      <c r="P1711" s="0" t="n">
        <v>1836</v>
      </c>
      <c r="Q1711" s="0" t="s">
        <v>39</v>
      </c>
      <c r="R1711" s="0" t="s">
        <v>5742</v>
      </c>
      <c r="S1711" s="0" t="s">
        <v>5743</v>
      </c>
      <c r="V1711" s="0" t="n">
        <v>1</v>
      </c>
      <c r="W1711" s="0" t="n">
        <v>1</v>
      </c>
      <c r="X1711" s="0" t="str">
        <f aca="false">"31811010748724"</f>
        <v>31811010748724</v>
      </c>
      <c r="Y1711" s="0" t="s">
        <v>39</v>
      </c>
      <c r="Z1711" s="0" t="s">
        <v>42</v>
      </c>
      <c r="AA1711" s="0" t="s">
        <v>43</v>
      </c>
      <c r="AE1711" s="1" t="s">
        <v>52</v>
      </c>
    </row>
    <row r="1712" customFormat="false" ht="12.8" hidden="false" customHeight="false" outlineLevel="0" collapsed="false">
      <c r="A1712" s="0" t="n">
        <v>515995</v>
      </c>
      <c r="B1712" s="0" t="n">
        <v>553276</v>
      </c>
      <c r="C1712" s="0" t="n">
        <v>624429</v>
      </c>
      <c r="D1712" s="0" t="s">
        <v>35</v>
      </c>
      <c r="E1712" s="0" t="s">
        <v>35</v>
      </c>
      <c r="F1712" s="0" t="s">
        <v>480</v>
      </c>
      <c r="G1712" s="0" t="s">
        <v>37</v>
      </c>
      <c r="H1712" s="0" t="s">
        <v>5744</v>
      </c>
      <c r="J1712" s="0" t="s">
        <v>5744</v>
      </c>
      <c r="M1712" s="0" t="s">
        <v>5745</v>
      </c>
      <c r="N1712" s="0" t="s">
        <v>5746</v>
      </c>
      <c r="O1712" s="0" t="s">
        <v>5747</v>
      </c>
      <c r="P1712" s="0" t="n">
        <v>1832</v>
      </c>
      <c r="Q1712" s="0" t="s">
        <v>39</v>
      </c>
      <c r="R1712" s="0" t="s">
        <v>5748</v>
      </c>
      <c r="S1712" s="0" t="s">
        <v>5749</v>
      </c>
      <c r="T1712" s="0" t="n">
        <v>1840</v>
      </c>
      <c r="V1712" s="0" t="n">
        <v>1</v>
      </c>
      <c r="W1712" s="0" t="n">
        <v>1</v>
      </c>
      <c r="X1712" s="0" t="str">
        <f aca="false">"31811012065796"</f>
        <v>31811012065796</v>
      </c>
      <c r="Y1712" s="0" t="s">
        <v>39</v>
      </c>
      <c r="Z1712" s="0" t="s">
        <v>42</v>
      </c>
      <c r="AA1712" s="0" t="s">
        <v>622</v>
      </c>
      <c r="AE1712" s="1" t="s">
        <v>52</v>
      </c>
      <c r="AH1712" s="1" t="s">
        <v>5750</v>
      </c>
    </row>
    <row r="1713" customFormat="false" ht="12.8" hidden="false" customHeight="false" outlineLevel="0" collapsed="false">
      <c r="A1713" s="0" t="n">
        <v>515996</v>
      </c>
      <c r="B1713" s="0" t="n">
        <v>553277</v>
      </c>
      <c r="C1713" s="0" t="n">
        <v>624430</v>
      </c>
      <c r="D1713" s="0" t="s">
        <v>35</v>
      </c>
      <c r="E1713" s="0" t="s">
        <v>35</v>
      </c>
      <c r="F1713" s="0" t="s">
        <v>480</v>
      </c>
      <c r="G1713" s="0" t="s">
        <v>37</v>
      </c>
      <c r="H1713" s="0" t="s">
        <v>5751</v>
      </c>
      <c r="J1713" s="0" t="s">
        <v>5751</v>
      </c>
      <c r="M1713" s="0" t="s">
        <v>5752</v>
      </c>
      <c r="O1713" s="0" t="s">
        <v>5753</v>
      </c>
      <c r="P1713" s="0" t="n">
        <v>1850</v>
      </c>
      <c r="Q1713" s="0" t="s">
        <v>39</v>
      </c>
      <c r="R1713" s="0" t="s">
        <v>5754</v>
      </c>
      <c r="S1713" s="0" t="s">
        <v>5755</v>
      </c>
      <c r="T1713" s="0" t="n">
        <v>1854</v>
      </c>
      <c r="V1713" s="0" t="n">
        <v>1</v>
      </c>
      <c r="W1713" s="0" t="n">
        <v>1</v>
      </c>
      <c r="X1713" s="0" t="str">
        <f aca="false">"31811012065804"</f>
        <v>31811012065804</v>
      </c>
      <c r="Y1713" s="0" t="s">
        <v>39</v>
      </c>
      <c r="Z1713" s="0" t="s">
        <v>42</v>
      </c>
      <c r="AA1713" s="0" t="s">
        <v>622</v>
      </c>
      <c r="AE1713" s="1" t="s">
        <v>52</v>
      </c>
    </row>
    <row r="1714" customFormat="false" ht="12.8" hidden="false" customHeight="false" outlineLevel="0" collapsed="false">
      <c r="A1714" s="0" t="n">
        <v>344852</v>
      </c>
      <c r="B1714" s="0" t="n">
        <v>373867</v>
      </c>
      <c r="C1714" s="0" t="n">
        <v>416179</v>
      </c>
      <c r="D1714" s="0" t="s">
        <v>35</v>
      </c>
      <c r="E1714" s="0" t="s">
        <v>35</v>
      </c>
      <c r="F1714" s="0" t="s">
        <v>36</v>
      </c>
      <c r="G1714" s="0" t="s">
        <v>37</v>
      </c>
      <c r="H1714" s="0" t="s">
        <v>5756</v>
      </c>
      <c r="J1714" s="0" t="s">
        <v>5756</v>
      </c>
      <c r="M1714" s="0" t="s">
        <v>5757</v>
      </c>
      <c r="N1714" s="0" t="s">
        <v>5758</v>
      </c>
      <c r="O1714" s="0" t="s">
        <v>5759</v>
      </c>
      <c r="P1714" s="0" t="n">
        <v>1850</v>
      </c>
      <c r="Q1714" s="0" t="s">
        <v>39</v>
      </c>
      <c r="R1714" s="0" t="s">
        <v>5760</v>
      </c>
      <c r="S1714" s="0" t="s">
        <v>5761</v>
      </c>
      <c r="V1714" s="0" t="n">
        <v>1</v>
      </c>
      <c r="W1714" s="0" t="n">
        <v>1</v>
      </c>
      <c r="X1714" s="0" t="str">
        <f aca="false">"31811010748419"</f>
        <v>31811010748419</v>
      </c>
      <c r="Y1714" s="0" t="s">
        <v>39</v>
      </c>
      <c r="Z1714" s="0" t="s">
        <v>42</v>
      </c>
      <c r="AA1714" s="0" t="s">
        <v>43</v>
      </c>
      <c r="AE1714" s="1" t="s">
        <v>52</v>
      </c>
    </row>
    <row r="1715" customFormat="false" ht="12.8" hidden="false" customHeight="false" outlineLevel="0" collapsed="false">
      <c r="A1715" s="0" t="n">
        <v>470355</v>
      </c>
      <c r="B1715" s="0" t="n">
        <v>502384</v>
      </c>
      <c r="C1715" s="0" t="n">
        <v>564108</v>
      </c>
      <c r="D1715" s="0" t="s">
        <v>35</v>
      </c>
      <c r="E1715" s="0" t="s">
        <v>35</v>
      </c>
      <c r="F1715" s="0" t="s">
        <v>36</v>
      </c>
      <c r="G1715" s="0" t="s">
        <v>37</v>
      </c>
      <c r="H1715" s="0" t="s">
        <v>5762</v>
      </c>
      <c r="J1715" s="0" t="s">
        <v>5762</v>
      </c>
      <c r="M1715" s="0" t="s">
        <v>5763</v>
      </c>
      <c r="P1715" s="0" t="s">
        <v>2835</v>
      </c>
      <c r="Q1715" s="0" t="s">
        <v>39</v>
      </c>
      <c r="R1715" s="0" t="s">
        <v>5764</v>
      </c>
      <c r="S1715" s="0" t="s">
        <v>5765</v>
      </c>
      <c r="V1715" s="0" t="n">
        <v>1</v>
      </c>
      <c r="W1715" s="0" t="n">
        <v>1</v>
      </c>
      <c r="X1715" s="0" t="str">
        <f aca="false">"31811010748427"</f>
        <v>31811010748427</v>
      </c>
      <c r="Y1715" s="0" t="s">
        <v>39</v>
      </c>
      <c r="Z1715" s="0" t="s">
        <v>42</v>
      </c>
      <c r="AA1715" s="0" t="s">
        <v>43</v>
      </c>
      <c r="AE1715" s="1" t="s">
        <v>52</v>
      </c>
      <c r="AH1715" s="1" t="s">
        <v>5766</v>
      </c>
    </row>
    <row r="1716" customFormat="false" ht="12.8" hidden="false" customHeight="false" outlineLevel="0" collapsed="false">
      <c r="A1716" s="0" t="n">
        <v>534835</v>
      </c>
      <c r="B1716" s="0" t="n">
        <v>572981</v>
      </c>
      <c r="C1716" s="0" t="n">
        <v>647673</v>
      </c>
      <c r="D1716" s="0" t="s">
        <v>35</v>
      </c>
      <c r="E1716" s="0" t="s">
        <v>35</v>
      </c>
      <c r="F1716" s="0" t="s">
        <v>36</v>
      </c>
      <c r="G1716" s="0" t="s">
        <v>37</v>
      </c>
      <c r="H1716" s="0" t="s">
        <v>5767</v>
      </c>
      <c r="J1716" s="0" t="s">
        <v>5768</v>
      </c>
      <c r="M1716" s="0" t="s">
        <v>5769</v>
      </c>
      <c r="N1716" s="0" t="n">
        <v>1832</v>
      </c>
      <c r="O1716" s="0" t="s">
        <v>5770</v>
      </c>
      <c r="P1716" s="0" t="n">
        <v>1832</v>
      </c>
      <c r="Q1716" s="0" t="s">
        <v>39</v>
      </c>
      <c r="R1716" s="0" t="s">
        <v>5771</v>
      </c>
      <c r="S1716" s="0" t="s">
        <v>5772</v>
      </c>
      <c r="V1716" s="0" t="n">
        <v>1</v>
      </c>
      <c r="W1716" s="0" t="n">
        <v>1</v>
      </c>
      <c r="X1716" s="0" t="str">
        <f aca="false">"31811010748435"</f>
        <v>31811010748435</v>
      </c>
      <c r="Y1716" s="0" t="s">
        <v>39</v>
      </c>
      <c r="Z1716" s="0" t="s">
        <v>42</v>
      </c>
      <c r="AA1716" s="0" t="s">
        <v>43</v>
      </c>
      <c r="AE1716" s="1" t="s">
        <v>52</v>
      </c>
      <c r="AH1716" s="1" t="s">
        <v>5766</v>
      </c>
    </row>
    <row r="1717" customFormat="false" ht="12.8" hidden="false" customHeight="false" outlineLevel="0" collapsed="false">
      <c r="A1717" s="0" t="n">
        <v>495025</v>
      </c>
      <c r="B1717" s="0" t="n">
        <v>476131</v>
      </c>
      <c r="C1717" s="0" t="n">
        <v>533579</v>
      </c>
      <c r="D1717" s="0" t="s">
        <v>35</v>
      </c>
      <c r="E1717" s="0" t="s">
        <v>35</v>
      </c>
      <c r="F1717" s="0" t="s">
        <v>36</v>
      </c>
      <c r="G1717" s="0" t="s">
        <v>37</v>
      </c>
      <c r="H1717" s="0" t="s">
        <v>5773</v>
      </c>
      <c r="J1717" s="0" t="s">
        <v>5774</v>
      </c>
      <c r="M1717" s="0" t="s">
        <v>5775</v>
      </c>
      <c r="N1717" s="0" t="s">
        <v>5776</v>
      </c>
      <c r="O1717" s="0" t="s">
        <v>5777</v>
      </c>
      <c r="P1717" s="0" t="n">
        <v>1850</v>
      </c>
      <c r="Q1717" s="0" t="s">
        <v>39</v>
      </c>
      <c r="R1717" s="0" t="s">
        <v>5778</v>
      </c>
      <c r="S1717" s="0" t="s">
        <v>5779</v>
      </c>
      <c r="V1717" s="0" t="n">
        <v>1</v>
      </c>
      <c r="W1717" s="0" t="n">
        <v>1</v>
      </c>
      <c r="X1717" s="0" t="str">
        <f aca="false">"31811010748443"</f>
        <v>31811010748443</v>
      </c>
      <c r="Y1717" s="0" t="s">
        <v>39</v>
      </c>
      <c r="Z1717" s="0" t="s">
        <v>42</v>
      </c>
      <c r="AA1717" s="0" t="s">
        <v>43</v>
      </c>
      <c r="AE1717" s="1" t="s">
        <v>52</v>
      </c>
      <c r="AH1717" s="1" t="s">
        <v>5766</v>
      </c>
    </row>
    <row r="1718" customFormat="false" ht="12.8" hidden="false" customHeight="false" outlineLevel="0" collapsed="false">
      <c r="A1718" s="0" t="n">
        <v>534813</v>
      </c>
      <c r="B1718" s="0" t="n">
        <v>572959</v>
      </c>
      <c r="C1718" s="0" t="n">
        <v>647647</v>
      </c>
      <c r="D1718" s="0" t="s">
        <v>35</v>
      </c>
      <c r="E1718" s="0" t="s">
        <v>35</v>
      </c>
      <c r="F1718" s="0" t="s">
        <v>36</v>
      </c>
      <c r="G1718" s="0" t="s">
        <v>37</v>
      </c>
      <c r="H1718" s="0" t="s">
        <v>5780</v>
      </c>
      <c r="J1718" s="0" t="s">
        <v>5780</v>
      </c>
      <c r="M1718" s="0" t="s">
        <v>5781</v>
      </c>
      <c r="N1718" s="0" t="s">
        <v>5776</v>
      </c>
      <c r="O1718" s="0" t="s">
        <v>5782</v>
      </c>
      <c r="P1718" s="0" t="n">
        <v>1850</v>
      </c>
      <c r="Q1718" s="0" t="s">
        <v>39</v>
      </c>
      <c r="R1718" s="0" t="s">
        <v>5783</v>
      </c>
      <c r="S1718" s="0" t="s">
        <v>5784</v>
      </c>
      <c r="V1718" s="0" t="n">
        <v>1</v>
      </c>
      <c r="W1718" s="0" t="n">
        <v>1</v>
      </c>
      <c r="X1718" s="0" t="str">
        <f aca="false">"31811010748450"</f>
        <v>31811010748450</v>
      </c>
      <c r="Y1718" s="0" t="s">
        <v>39</v>
      </c>
      <c r="Z1718" s="0" t="s">
        <v>42</v>
      </c>
      <c r="AA1718" s="0" t="s">
        <v>43</v>
      </c>
      <c r="AE1718" s="1" t="s">
        <v>52</v>
      </c>
      <c r="AH1718" s="1" t="s">
        <v>5695</v>
      </c>
    </row>
    <row r="1719" customFormat="false" ht="12.8" hidden="false" customHeight="false" outlineLevel="0" collapsed="false">
      <c r="A1719" s="0" t="n">
        <v>534886</v>
      </c>
      <c r="B1719" s="0" t="n">
        <v>573032</v>
      </c>
      <c r="C1719" s="0" t="n">
        <v>647731</v>
      </c>
      <c r="D1719" s="0" t="s">
        <v>35</v>
      </c>
      <c r="E1719" s="0" t="s">
        <v>35</v>
      </c>
      <c r="F1719" s="0" t="s">
        <v>480</v>
      </c>
      <c r="G1719" s="0" t="s">
        <v>37</v>
      </c>
      <c r="H1719" s="0" t="s">
        <v>5785</v>
      </c>
      <c r="J1719" s="0" t="s">
        <v>5785</v>
      </c>
      <c r="M1719" s="0" t="s">
        <v>5786</v>
      </c>
      <c r="N1719" s="0" t="s">
        <v>5787</v>
      </c>
      <c r="O1719" s="0" t="s">
        <v>5788</v>
      </c>
      <c r="P1719" s="0" t="n">
        <v>1833</v>
      </c>
      <c r="Q1719" s="0" t="s">
        <v>39</v>
      </c>
      <c r="R1719" s="0" t="s">
        <v>5789</v>
      </c>
      <c r="S1719" s="0" t="s">
        <v>5790</v>
      </c>
      <c r="T1719" s="0" t="n">
        <v>1836</v>
      </c>
      <c r="V1719" s="0" t="n">
        <v>1</v>
      </c>
      <c r="W1719" s="0" t="n">
        <v>1</v>
      </c>
      <c r="X1719" s="0" t="str">
        <f aca="false">"31811012065770"</f>
        <v>31811012065770</v>
      </c>
      <c r="Y1719" s="0" t="s">
        <v>39</v>
      </c>
      <c r="Z1719" s="0" t="s">
        <v>42</v>
      </c>
      <c r="AA1719" s="0" t="s">
        <v>622</v>
      </c>
      <c r="AE1719" s="1" t="s">
        <v>52</v>
      </c>
      <c r="AH1719" s="1" t="s">
        <v>5695</v>
      </c>
    </row>
    <row r="1720" customFormat="false" ht="12.8" hidden="false" customHeight="false" outlineLevel="0" collapsed="false">
      <c r="A1720" s="0" t="n">
        <v>496084</v>
      </c>
      <c r="B1720" s="0" t="n">
        <v>477206</v>
      </c>
      <c r="C1720" s="0" t="n">
        <v>534869</v>
      </c>
      <c r="D1720" s="0" t="s">
        <v>35</v>
      </c>
      <c r="E1720" s="0" t="s">
        <v>35</v>
      </c>
      <c r="F1720" s="0" t="s">
        <v>36</v>
      </c>
      <c r="G1720" s="0" t="s">
        <v>5791</v>
      </c>
      <c r="H1720" s="0" t="s">
        <v>5792</v>
      </c>
      <c r="J1720" s="0" t="s">
        <v>5793</v>
      </c>
      <c r="M1720" s="0" t="s">
        <v>5794</v>
      </c>
      <c r="N1720" s="0" t="n">
        <v>1900</v>
      </c>
      <c r="O1720" s="0" t="s">
        <v>5795</v>
      </c>
      <c r="P1720" s="0" t="n">
        <v>1900</v>
      </c>
      <c r="Q1720" s="0" t="s">
        <v>39</v>
      </c>
      <c r="R1720" s="0" t="s">
        <v>5796</v>
      </c>
      <c r="S1720" s="0" t="s">
        <v>5797</v>
      </c>
      <c r="T1720" s="0" t="n">
        <v>1904</v>
      </c>
      <c r="V1720" s="0" t="n">
        <v>1</v>
      </c>
      <c r="W1720" s="0" t="n">
        <v>1</v>
      </c>
      <c r="X1720" s="0" t="str">
        <f aca="false">"31811011630350"</f>
        <v>31811011630350</v>
      </c>
      <c r="Y1720" s="0" t="s">
        <v>39</v>
      </c>
      <c r="Z1720" s="0" t="s">
        <v>42</v>
      </c>
      <c r="AA1720" s="0" t="s">
        <v>43</v>
      </c>
      <c r="AE1720" s="1" t="s">
        <v>52</v>
      </c>
    </row>
    <row r="1721" customFormat="false" ht="12.8" hidden="false" customHeight="false" outlineLevel="0" collapsed="false">
      <c r="A1721" s="0" t="n">
        <v>388964</v>
      </c>
      <c r="B1721" s="0" t="n">
        <v>420587</v>
      </c>
      <c r="C1721" s="0" t="n">
        <v>469323</v>
      </c>
      <c r="D1721" s="0" t="s">
        <v>35</v>
      </c>
      <c r="E1721" s="0" t="s">
        <v>35</v>
      </c>
      <c r="F1721" s="0" t="s">
        <v>36</v>
      </c>
      <c r="G1721" s="0" t="s">
        <v>412</v>
      </c>
      <c r="H1721" s="0" t="s">
        <v>5798</v>
      </c>
      <c r="J1721" s="0" t="s">
        <v>5799</v>
      </c>
      <c r="M1721" s="0" t="s">
        <v>5800</v>
      </c>
      <c r="Q1721" s="0" t="s">
        <v>39</v>
      </c>
      <c r="R1721" s="0" t="s">
        <v>5801</v>
      </c>
      <c r="S1721" s="0" t="s">
        <v>5802</v>
      </c>
      <c r="V1721" s="0" t="n">
        <v>1</v>
      </c>
      <c r="W1721" s="0" t="n">
        <v>1</v>
      </c>
      <c r="X1721" s="0" t="str">
        <f aca="false">"31811010748468"</f>
        <v>31811010748468</v>
      </c>
      <c r="Y1721" s="0" t="s">
        <v>39</v>
      </c>
      <c r="Z1721" s="0" t="s">
        <v>42</v>
      </c>
      <c r="AA1721" s="0" t="s">
        <v>43</v>
      </c>
      <c r="AE1721" s="1" t="s">
        <v>52</v>
      </c>
    </row>
    <row r="1722" customFormat="false" ht="12.8" hidden="false" customHeight="false" outlineLevel="0" collapsed="false">
      <c r="A1722" s="0" t="n">
        <v>170374</v>
      </c>
      <c r="B1722" s="0" t="n">
        <v>185997</v>
      </c>
      <c r="C1722" s="0" t="n">
        <v>208902</v>
      </c>
      <c r="D1722" s="0" t="s">
        <v>35</v>
      </c>
      <c r="E1722" s="0" t="s">
        <v>35</v>
      </c>
      <c r="F1722" s="0" t="s">
        <v>36</v>
      </c>
      <c r="G1722" s="0" t="s">
        <v>37</v>
      </c>
      <c r="H1722" s="0" t="s">
        <v>5803</v>
      </c>
      <c r="I1722" s="0" t="s">
        <v>5804</v>
      </c>
      <c r="J1722" s="0" t="s">
        <v>5805</v>
      </c>
      <c r="M1722" s="0" t="s">
        <v>5806</v>
      </c>
      <c r="N1722" s="0" t="s">
        <v>4936</v>
      </c>
      <c r="O1722" s="0" t="s">
        <v>5807</v>
      </c>
      <c r="P1722" s="0" t="n">
        <v>1970</v>
      </c>
      <c r="Q1722" s="0" t="s">
        <v>39</v>
      </c>
      <c r="R1722" s="0" t="s">
        <v>5808</v>
      </c>
      <c r="S1722" s="0" t="s">
        <v>5809</v>
      </c>
      <c r="V1722" s="0" t="n">
        <v>1</v>
      </c>
      <c r="W1722" s="0" t="n">
        <v>1</v>
      </c>
      <c r="X1722" s="0" t="str">
        <f aca="false">"31811010748476"</f>
        <v>31811010748476</v>
      </c>
      <c r="Y1722" s="0" t="s">
        <v>39</v>
      </c>
      <c r="Z1722" s="0" t="s">
        <v>42</v>
      </c>
      <c r="AA1722" s="0" t="s">
        <v>43</v>
      </c>
      <c r="AE1722" s="1" t="s">
        <v>52</v>
      </c>
    </row>
    <row r="1723" customFormat="false" ht="12.8" hidden="false" customHeight="false" outlineLevel="0" collapsed="false">
      <c r="A1723" s="0" t="n">
        <v>48241</v>
      </c>
      <c r="B1723" s="0" t="n">
        <v>52349</v>
      </c>
      <c r="C1723" s="0" t="n">
        <v>57864</v>
      </c>
      <c r="D1723" s="0" t="s">
        <v>35</v>
      </c>
      <c r="E1723" s="0" t="s">
        <v>35</v>
      </c>
      <c r="F1723" s="0" t="s">
        <v>36</v>
      </c>
      <c r="G1723" s="0" t="s">
        <v>37</v>
      </c>
      <c r="H1723" s="0" t="s">
        <v>5810</v>
      </c>
      <c r="I1723" s="0" t="s">
        <v>5811</v>
      </c>
      <c r="J1723" s="0" t="s">
        <v>5812</v>
      </c>
      <c r="L1723" s="0" t="n">
        <v>891020632</v>
      </c>
      <c r="M1723" s="0" t="s">
        <v>5813</v>
      </c>
      <c r="N1723" s="0" t="s">
        <v>156</v>
      </c>
      <c r="O1723" s="0" t="s">
        <v>5814</v>
      </c>
      <c r="P1723" s="0" t="n">
        <v>1977</v>
      </c>
      <c r="Q1723" s="0" t="s">
        <v>39</v>
      </c>
      <c r="R1723" s="0" t="s">
        <v>5815</v>
      </c>
      <c r="S1723" s="0" t="s">
        <v>5816</v>
      </c>
      <c r="V1723" s="0" t="n">
        <v>1</v>
      </c>
      <c r="W1723" s="0" t="n">
        <v>1</v>
      </c>
      <c r="X1723" s="0" t="str">
        <f aca="false">"31811010748484"</f>
        <v>31811010748484</v>
      </c>
      <c r="Y1723" s="0" t="s">
        <v>39</v>
      </c>
      <c r="Z1723" s="0" t="s">
        <v>42</v>
      </c>
      <c r="AA1723" s="0" t="s">
        <v>43</v>
      </c>
      <c r="AE1723" s="1" t="s">
        <v>52</v>
      </c>
    </row>
    <row r="1724" customFormat="false" ht="12.8" hidden="false" customHeight="false" outlineLevel="0" collapsed="false">
      <c r="A1724" s="0" t="n">
        <v>52089</v>
      </c>
      <c r="B1724" s="0" t="n">
        <v>56404</v>
      </c>
      <c r="C1724" s="0" t="n">
        <v>62150</v>
      </c>
      <c r="D1724" s="0" t="s">
        <v>35</v>
      </c>
      <c r="E1724" s="0" t="s">
        <v>35</v>
      </c>
      <c r="F1724" s="0" t="s">
        <v>36</v>
      </c>
      <c r="G1724" s="0" t="s">
        <v>37</v>
      </c>
      <c r="H1724" s="0" t="s">
        <v>5817</v>
      </c>
      <c r="I1724" s="0" t="s">
        <v>5818</v>
      </c>
      <c r="J1724" s="0" t="s">
        <v>5819</v>
      </c>
      <c r="L1724" s="0" t="n">
        <v>801412293</v>
      </c>
      <c r="M1724" s="0" t="s">
        <v>5820</v>
      </c>
      <c r="N1724" s="0" t="n">
        <v>1979</v>
      </c>
      <c r="O1724" s="0" t="s">
        <v>5821</v>
      </c>
      <c r="P1724" s="0" t="n">
        <v>1979</v>
      </c>
      <c r="Q1724" s="0" t="s">
        <v>39</v>
      </c>
      <c r="R1724" s="0" t="s">
        <v>5822</v>
      </c>
      <c r="S1724" s="0" t="s">
        <v>5823</v>
      </c>
      <c r="V1724" s="0" t="n">
        <v>1</v>
      </c>
      <c r="W1724" s="0" t="n">
        <v>1</v>
      </c>
      <c r="X1724" s="0" t="str">
        <f aca="false">"31811010748526"</f>
        <v>31811010748526</v>
      </c>
      <c r="Y1724" s="0" t="s">
        <v>39</v>
      </c>
      <c r="Z1724" s="0" t="s">
        <v>42</v>
      </c>
      <c r="AA1724" s="0" t="s">
        <v>43</v>
      </c>
      <c r="AE1724" s="1" t="s">
        <v>52</v>
      </c>
    </row>
    <row r="1725" customFormat="false" ht="12.8" hidden="false" customHeight="false" outlineLevel="0" collapsed="false">
      <c r="A1725" s="0" t="n">
        <v>371083</v>
      </c>
      <c r="B1725" s="0" t="n">
        <v>401248</v>
      </c>
      <c r="C1725" s="0" t="n">
        <v>446602</v>
      </c>
      <c r="D1725" s="0" t="s">
        <v>35</v>
      </c>
      <c r="E1725" s="0" t="s">
        <v>35</v>
      </c>
      <c r="F1725" s="0" t="s">
        <v>480</v>
      </c>
      <c r="G1725" s="0" t="s">
        <v>37</v>
      </c>
      <c r="H1725" s="0" t="s">
        <v>5824</v>
      </c>
      <c r="J1725" s="0" t="s">
        <v>5824</v>
      </c>
      <c r="M1725" s="0" t="s">
        <v>5825</v>
      </c>
      <c r="N1725" s="0" t="s">
        <v>5826</v>
      </c>
      <c r="O1725" s="0" t="s">
        <v>5827</v>
      </c>
      <c r="P1725" s="0" t="n">
        <v>1961</v>
      </c>
      <c r="Q1725" s="0" t="s">
        <v>39</v>
      </c>
      <c r="R1725" s="0" t="s">
        <v>5828</v>
      </c>
      <c r="S1725" s="0" t="s">
        <v>5829</v>
      </c>
      <c r="T1725" s="0" t="n">
        <v>1978</v>
      </c>
      <c r="V1725" s="0" t="n">
        <v>1</v>
      </c>
      <c r="W1725" s="0" t="n">
        <v>1</v>
      </c>
      <c r="X1725" s="0" t="str">
        <f aca="false">"31811012066091"</f>
        <v>31811012066091</v>
      </c>
      <c r="Y1725" s="0" t="s">
        <v>39</v>
      </c>
      <c r="Z1725" s="0" t="s">
        <v>42</v>
      </c>
      <c r="AA1725" s="0" t="s">
        <v>622</v>
      </c>
      <c r="AE1725" s="1" t="s">
        <v>52</v>
      </c>
    </row>
    <row r="1726" customFormat="false" ht="12.8" hidden="false" customHeight="false" outlineLevel="0" collapsed="false">
      <c r="A1726" s="0" t="n">
        <v>371083</v>
      </c>
      <c r="B1726" s="0" t="n">
        <v>401248</v>
      </c>
      <c r="C1726" s="0" t="n">
        <v>446603</v>
      </c>
      <c r="D1726" s="0" t="s">
        <v>35</v>
      </c>
      <c r="E1726" s="0" t="s">
        <v>35</v>
      </c>
      <c r="F1726" s="0" t="s">
        <v>480</v>
      </c>
      <c r="G1726" s="0" t="s">
        <v>37</v>
      </c>
      <c r="H1726" s="0" t="s">
        <v>5824</v>
      </c>
      <c r="J1726" s="0" t="s">
        <v>5824</v>
      </c>
      <c r="M1726" s="0" t="s">
        <v>5825</v>
      </c>
      <c r="N1726" s="0" t="s">
        <v>5826</v>
      </c>
      <c r="O1726" s="0" t="s">
        <v>5827</v>
      </c>
      <c r="P1726" s="0" t="n">
        <v>1961</v>
      </c>
      <c r="Q1726" s="0" t="s">
        <v>39</v>
      </c>
      <c r="R1726" s="0" t="s">
        <v>5828</v>
      </c>
      <c r="S1726" s="0" t="s">
        <v>5829</v>
      </c>
      <c r="T1726" s="0" t="n">
        <v>1976</v>
      </c>
      <c r="V1726" s="0" t="n">
        <v>1</v>
      </c>
      <c r="W1726" s="0" t="n">
        <v>1</v>
      </c>
      <c r="X1726" s="0" t="str">
        <f aca="false">"31811012066109"</f>
        <v>31811012066109</v>
      </c>
      <c r="Y1726" s="0" t="s">
        <v>39</v>
      </c>
      <c r="Z1726" s="0" t="s">
        <v>42</v>
      </c>
      <c r="AA1726" s="0" t="s">
        <v>622</v>
      </c>
      <c r="AE1726" s="1" t="s">
        <v>52</v>
      </c>
    </row>
    <row r="1727" customFormat="false" ht="12.8" hidden="false" customHeight="false" outlineLevel="0" collapsed="false">
      <c r="A1727" s="0" t="n">
        <v>371083</v>
      </c>
      <c r="B1727" s="0" t="n">
        <v>401248</v>
      </c>
      <c r="C1727" s="0" t="n">
        <v>446604</v>
      </c>
      <c r="D1727" s="0" t="s">
        <v>35</v>
      </c>
      <c r="E1727" s="0" t="s">
        <v>35</v>
      </c>
      <c r="F1727" s="0" t="s">
        <v>480</v>
      </c>
      <c r="G1727" s="0" t="s">
        <v>37</v>
      </c>
      <c r="H1727" s="0" t="s">
        <v>5824</v>
      </c>
      <c r="J1727" s="0" t="s">
        <v>5824</v>
      </c>
      <c r="M1727" s="0" t="s">
        <v>5825</v>
      </c>
      <c r="N1727" s="0" t="s">
        <v>5826</v>
      </c>
      <c r="O1727" s="0" t="s">
        <v>5827</v>
      </c>
      <c r="P1727" s="0" t="n">
        <v>1961</v>
      </c>
      <c r="Q1727" s="0" t="s">
        <v>39</v>
      </c>
      <c r="R1727" s="0" t="s">
        <v>5828</v>
      </c>
      <c r="S1727" s="0" t="s">
        <v>5829</v>
      </c>
      <c r="T1727" s="0" t="n">
        <v>1973</v>
      </c>
      <c r="V1727" s="0" t="n">
        <v>1</v>
      </c>
      <c r="W1727" s="0" t="n">
        <v>1</v>
      </c>
      <c r="X1727" s="0" t="str">
        <f aca="false">"31811012066117"</f>
        <v>31811012066117</v>
      </c>
      <c r="Y1727" s="0" t="s">
        <v>39</v>
      </c>
      <c r="Z1727" s="0" t="s">
        <v>42</v>
      </c>
      <c r="AA1727" s="0" t="s">
        <v>622</v>
      </c>
      <c r="AE1727" s="1" t="s">
        <v>52</v>
      </c>
    </row>
    <row r="1728" customFormat="false" ht="12.8" hidden="false" customHeight="false" outlineLevel="0" collapsed="false">
      <c r="A1728" s="0" t="n">
        <v>371083</v>
      </c>
      <c r="B1728" s="0" t="n">
        <v>401248</v>
      </c>
      <c r="C1728" s="0" t="n">
        <v>446605</v>
      </c>
      <c r="D1728" s="0" t="s">
        <v>35</v>
      </c>
      <c r="E1728" s="0" t="s">
        <v>35</v>
      </c>
      <c r="F1728" s="0" t="s">
        <v>480</v>
      </c>
      <c r="G1728" s="0" t="s">
        <v>37</v>
      </c>
      <c r="H1728" s="0" t="s">
        <v>5824</v>
      </c>
      <c r="J1728" s="0" t="s">
        <v>5824</v>
      </c>
      <c r="M1728" s="0" t="s">
        <v>5825</v>
      </c>
      <c r="N1728" s="0" t="s">
        <v>5826</v>
      </c>
      <c r="O1728" s="0" t="s">
        <v>5827</v>
      </c>
      <c r="P1728" s="0" t="n">
        <v>1961</v>
      </c>
      <c r="Q1728" s="0" t="s">
        <v>39</v>
      </c>
      <c r="R1728" s="0" t="s">
        <v>5828</v>
      </c>
      <c r="S1728" s="0" t="s">
        <v>5829</v>
      </c>
      <c r="T1728" s="0" t="n">
        <v>1969</v>
      </c>
      <c r="V1728" s="0" t="n">
        <v>1</v>
      </c>
      <c r="W1728" s="0" t="n">
        <v>1</v>
      </c>
      <c r="X1728" s="0" t="str">
        <f aca="false">"31811012066125"</f>
        <v>31811012066125</v>
      </c>
      <c r="Y1728" s="0" t="s">
        <v>39</v>
      </c>
      <c r="Z1728" s="0" t="s">
        <v>42</v>
      </c>
      <c r="AA1728" s="0" t="s">
        <v>622</v>
      </c>
      <c r="AE1728" s="1" t="s">
        <v>52</v>
      </c>
    </row>
    <row r="1729" customFormat="false" ht="12.8" hidden="false" customHeight="false" outlineLevel="0" collapsed="false">
      <c r="A1729" s="0" t="n">
        <v>371083</v>
      </c>
      <c r="B1729" s="0" t="n">
        <v>401248</v>
      </c>
      <c r="C1729" s="0" t="n">
        <v>446606</v>
      </c>
      <c r="D1729" s="0" t="s">
        <v>35</v>
      </c>
      <c r="E1729" s="0" t="s">
        <v>35</v>
      </c>
      <c r="F1729" s="0" t="s">
        <v>480</v>
      </c>
      <c r="G1729" s="0" t="s">
        <v>37</v>
      </c>
      <c r="H1729" s="0" t="s">
        <v>5824</v>
      </c>
      <c r="J1729" s="0" t="s">
        <v>5824</v>
      </c>
      <c r="M1729" s="0" t="s">
        <v>5825</v>
      </c>
      <c r="N1729" s="0" t="s">
        <v>5826</v>
      </c>
      <c r="O1729" s="0" t="s">
        <v>5827</v>
      </c>
      <c r="P1729" s="0" t="n">
        <v>1961</v>
      </c>
      <c r="Q1729" s="0" t="s">
        <v>39</v>
      </c>
      <c r="R1729" s="0" t="s">
        <v>5828</v>
      </c>
      <c r="S1729" s="0" t="s">
        <v>5829</v>
      </c>
      <c r="T1729" s="0" t="n">
        <v>1964</v>
      </c>
      <c r="V1729" s="0" t="n">
        <v>1</v>
      </c>
      <c r="W1729" s="0" t="n">
        <v>1</v>
      </c>
      <c r="X1729" s="0" t="str">
        <f aca="false">"31811012065325"</f>
        <v>31811012065325</v>
      </c>
      <c r="Y1729" s="0" t="s">
        <v>39</v>
      </c>
      <c r="Z1729" s="0" t="s">
        <v>42</v>
      </c>
      <c r="AA1729" s="0" t="s">
        <v>622</v>
      </c>
      <c r="AE1729" s="1" t="s">
        <v>52</v>
      </c>
    </row>
    <row r="1730" customFormat="false" ht="12.8" hidden="false" customHeight="false" outlineLevel="0" collapsed="false">
      <c r="A1730" s="0" t="n">
        <v>371083</v>
      </c>
      <c r="B1730" s="0" t="n">
        <v>401248</v>
      </c>
      <c r="C1730" s="0" t="n">
        <v>446607</v>
      </c>
      <c r="D1730" s="0" t="s">
        <v>35</v>
      </c>
      <c r="E1730" s="0" t="s">
        <v>35</v>
      </c>
      <c r="F1730" s="0" t="s">
        <v>480</v>
      </c>
      <c r="G1730" s="0" t="s">
        <v>37</v>
      </c>
      <c r="H1730" s="0" t="s">
        <v>5824</v>
      </c>
      <c r="J1730" s="0" t="s">
        <v>5824</v>
      </c>
      <c r="M1730" s="0" t="s">
        <v>5825</v>
      </c>
      <c r="N1730" s="0" t="s">
        <v>5826</v>
      </c>
      <c r="O1730" s="0" t="s">
        <v>5827</v>
      </c>
      <c r="P1730" s="0" t="n">
        <v>1961</v>
      </c>
      <c r="Q1730" s="0" t="s">
        <v>39</v>
      </c>
      <c r="R1730" s="0" t="s">
        <v>5828</v>
      </c>
      <c r="S1730" s="0" t="s">
        <v>5829</v>
      </c>
      <c r="T1730" s="0" t="n">
        <v>1961</v>
      </c>
      <c r="V1730" s="0" t="n">
        <v>1</v>
      </c>
      <c r="W1730" s="0" t="n">
        <v>1</v>
      </c>
      <c r="X1730" s="0" t="str">
        <f aca="false">"31811012065317"</f>
        <v>31811012065317</v>
      </c>
      <c r="Y1730" s="0" t="s">
        <v>39</v>
      </c>
      <c r="Z1730" s="0" t="s">
        <v>42</v>
      </c>
      <c r="AA1730" s="0" t="s">
        <v>622</v>
      </c>
      <c r="AE1730" s="1" t="s">
        <v>52</v>
      </c>
    </row>
    <row r="1731" customFormat="false" ht="12.8" hidden="false" customHeight="false" outlineLevel="0" collapsed="false">
      <c r="A1731" s="0" t="n">
        <v>388968</v>
      </c>
      <c r="B1731" s="0" t="n">
        <v>420591</v>
      </c>
      <c r="C1731" s="0" t="n">
        <v>469330</v>
      </c>
      <c r="D1731" s="0" t="s">
        <v>35</v>
      </c>
      <c r="E1731" s="0" t="s">
        <v>35</v>
      </c>
      <c r="F1731" s="0" t="s">
        <v>36</v>
      </c>
      <c r="G1731" s="0" t="s">
        <v>412</v>
      </c>
      <c r="H1731" s="0" t="s">
        <v>5830</v>
      </c>
      <c r="J1731" s="0" t="s">
        <v>5830</v>
      </c>
      <c r="M1731" s="0" t="s">
        <v>5831</v>
      </c>
      <c r="N1731" s="0" t="n">
        <v>1954</v>
      </c>
      <c r="P1731" s="0" t="n">
        <v>1954</v>
      </c>
      <c r="Q1731" s="0" t="s">
        <v>39</v>
      </c>
      <c r="R1731" s="0" t="s">
        <v>5832</v>
      </c>
      <c r="S1731" s="0" t="s">
        <v>5833</v>
      </c>
      <c r="V1731" s="0" t="n">
        <v>1</v>
      </c>
      <c r="W1731" s="0" t="n">
        <v>1</v>
      </c>
      <c r="X1731" s="0" t="str">
        <f aca="false">"31811010754334"</f>
        <v>31811010754334</v>
      </c>
      <c r="Y1731" s="0" t="s">
        <v>39</v>
      </c>
      <c r="Z1731" s="0" t="s">
        <v>42</v>
      </c>
      <c r="AA1731" s="0" t="s">
        <v>43</v>
      </c>
      <c r="AE1731" s="1" t="s">
        <v>52</v>
      </c>
    </row>
    <row r="1732" customFormat="false" ht="12.8" hidden="false" customHeight="false" outlineLevel="0" collapsed="false">
      <c r="A1732" s="0" t="n">
        <v>203861</v>
      </c>
      <c r="B1732" s="0" t="n">
        <v>223641</v>
      </c>
      <c r="C1732" s="0" t="n">
        <v>251680</v>
      </c>
      <c r="D1732" s="0" t="s">
        <v>35</v>
      </c>
      <c r="E1732" s="0" t="s">
        <v>35</v>
      </c>
      <c r="F1732" s="0" t="s">
        <v>480</v>
      </c>
      <c r="G1732" s="0" t="s">
        <v>37</v>
      </c>
      <c r="H1732" s="0" t="s">
        <v>5834</v>
      </c>
      <c r="J1732" s="0" t="s">
        <v>5835</v>
      </c>
      <c r="M1732" s="0" t="s">
        <v>5836</v>
      </c>
      <c r="N1732" s="0" t="s">
        <v>5837</v>
      </c>
      <c r="O1732" s="0" t="s">
        <v>5838</v>
      </c>
      <c r="P1732" s="0" t="n">
        <v>1830</v>
      </c>
      <c r="Q1732" s="0" t="s">
        <v>39</v>
      </c>
      <c r="R1732" s="0" t="s">
        <v>5839</v>
      </c>
      <c r="S1732" s="0" t="s">
        <v>5840</v>
      </c>
      <c r="T1732" s="0" t="s">
        <v>5841</v>
      </c>
      <c r="V1732" s="0" t="n">
        <v>1</v>
      </c>
      <c r="W1732" s="0" t="n">
        <v>1</v>
      </c>
      <c r="X1732" s="0" t="str">
        <f aca="false">"31811010748948"</f>
        <v>31811010748948</v>
      </c>
      <c r="Y1732" s="0" t="s">
        <v>39</v>
      </c>
      <c r="Z1732" s="0" t="s">
        <v>42</v>
      </c>
      <c r="AA1732" s="0" t="s">
        <v>43</v>
      </c>
      <c r="AE1732" s="1" t="s">
        <v>52</v>
      </c>
    </row>
    <row r="1733" customFormat="false" ht="12.8" hidden="false" customHeight="false" outlineLevel="0" collapsed="false">
      <c r="A1733" s="0" t="n">
        <v>203861</v>
      </c>
      <c r="B1733" s="0" t="n">
        <v>223641</v>
      </c>
      <c r="C1733" s="0" t="n">
        <v>251681</v>
      </c>
      <c r="D1733" s="0" t="s">
        <v>35</v>
      </c>
      <c r="E1733" s="0" t="s">
        <v>35</v>
      </c>
      <c r="F1733" s="0" t="s">
        <v>480</v>
      </c>
      <c r="G1733" s="0" t="s">
        <v>37</v>
      </c>
      <c r="H1733" s="0" t="s">
        <v>5834</v>
      </c>
      <c r="J1733" s="0" t="s">
        <v>5835</v>
      </c>
      <c r="M1733" s="0" t="s">
        <v>5836</v>
      </c>
      <c r="N1733" s="0" t="s">
        <v>5837</v>
      </c>
      <c r="O1733" s="0" t="s">
        <v>5838</v>
      </c>
      <c r="P1733" s="0" t="n">
        <v>1830</v>
      </c>
      <c r="Q1733" s="0" t="s">
        <v>39</v>
      </c>
      <c r="R1733" s="0" t="s">
        <v>5839</v>
      </c>
      <c r="S1733" s="0" t="s">
        <v>5840</v>
      </c>
      <c r="T1733" s="0" t="s">
        <v>5842</v>
      </c>
      <c r="V1733" s="0" t="n">
        <v>1</v>
      </c>
      <c r="W1733" s="0" t="n">
        <v>1</v>
      </c>
      <c r="X1733" s="0" t="str">
        <f aca="false">"31811010748930"</f>
        <v>31811010748930</v>
      </c>
      <c r="Y1733" s="0" t="s">
        <v>39</v>
      </c>
      <c r="Z1733" s="0" t="s">
        <v>42</v>
      </c>
      <c r="AA1733" s="0" t="s">
        <v>43</v>
      </c>
      <c r="AE1733" s="1" t="s">
        <v>52</v>
      </c>
    </row>
    <row r="1734" customFormat="false" ht="12.8" hidden="false" customHeight="false" outlineLevel="0" collapsed="false">
      <c r="A1734" s="0" t="n">
        <v>203861</v>
      </c>
      <c r="B1734" s="0" t="n">
        <v>223641</v>
      </c>
      <c r="C1734" s="0" t="n">
        <v>251682</v>
      </c>
      <c r="D1734" s="0" t="s">
        <v>35</v>
      </c>
      <c r="E1734" s="0" t="s">
        <v>35</v>
      </c>
      <c r="F1734" s="0" t="s">
        <v>480</v>
      </c>
      <c r="G1734" s="0" t="s">
        <v>37</v>
      </c>
      <c r="H1734" s="0" t="s">
        <v>5834</v>
      </c>
      <c r="J1734" s="0" t="s">
        <v>5835</v>
      </c>
      <c r="M1734" s="0" t="s">
        <v>5836</v>
      </c>
      <c r="N1734" s="0" t="s">
        <v>5837</v>
      </c>
      <c r="O1734" s="0" t="s">
        <v>5838</v>
      </c>
      <c r="P1734" s="0" t="n">
        <v>1830</v>
      </c>
      <c r="Q1734" s="0" t="s">
        <v>39</v>
      </c>
      <c r="R1734" s="0" t="s">
        <v>5839</v>
      </c>
      <c r="S1734" s="0" t="s">
        <v>5840</v>
      </c>
      <c r="T1734" s="0" t="s">
        <v>5843</v>
      </c>
      <c r="V1734" s="0" t="n">
        <v>1</v>
      </c>
      <c r="W1734" s="0" t="n">
        <v>1</v>
      </c>
      <c r="X1734" s="0" t="str">
        <f aca="false">"31811010748898"</f>
        <v>31811010748898</v>
      </c>
      <c r="Y1734" s="0" t="s">
        <v>39</v>
      </c>
      <c r="Z1734" s="0" t="s">
        <v>42</v>
      </c>
      <c r="AA1734" s="0" t="s">
        <v>43</v>
      </c>
      <c r="AE1734" s="1" t="s">
        <v>52</v>
      </c>
    </row>
    <row r="1735" customFormat="false" ht="12.8" hidden="false" customHeight="false" outlineLevel="0" collapsed="false">
      <c r="A1735" s="0" t="n">
        <v>203861</v>
      </c>
      <c r="B1735" s="0" t="n">
        <v>223641</v>
      </c>
      <c r="C1735" s="0" t="n">
        <v>251683</v>
      </c>
      <c r="D1735" s="0" t="s">
        <v>35</v>
      </c>
      <c r="E1735" s="0" t="s">
        <v>35</v>
      </c>
      <c r="F1735" s="0" t="s">
        <v>480</v>
      </c>
      <c r="G1735" s="0" t="s">
        <v>37</v>
      </c>
      <c r="H1735" s="0" t="s">
        <v>5834</v>
      </c>
      <c r="J1735" s="0" t="s">
        <v>5835</v>
      </c>
      <c r="M1735" s="0" t="s">
        <v>5836</v>
      </c>
      <c r="N1735" s="0" t="s">
        <v>5837</v>
      </c>
      <c r="O1735" s="0" t="s">
        <v>5838</v>
      </c>
      <c r="P1735" s="0" t="n">
        <v>1830</v>
      </c>
      <c r="Q1735" s="0" t="s">
        <v>39</v>
      </c>
      <c r="R1735" s="0" t="s">
        <v>5839</v>
      </c>
      <c r="S1735" s="0" t="s">
        <v>5840</v>
      </c>
      <c r="T1735" s="0" t="s">
        <v>5844</v>
      </c>
      <c r="V1735" s="0" t="n">
        <v>1</v>
      </c>
      <c r="W1735" s="0" t="n">
        <v>1</v>
      </c>
      <c r="X1735" s="0" t="str">
        <f aca="false">"31811010748906"</f>
        <v>31811010748906</v>
      </c>
      <c r="Y1735" s="0" t="s">
        <v>39</v>
      </c>
      <c r="Z1735" s="0" t="s">
        <v>42</v>
      </c>
      <c r="AA1735" s="0" t="s">
        <v>43</v>
      </c>
      <c r="AE1735" s="1" t="s">
        <v>52</v>
      </c>
    </row>
    <row r="1736" customFormat="false" ht="12.8" hidden="false" customHeight="false" outlineLevel="0" collapsed="false">
      <c r="A1736" s="0" t="n">
        <v>203861</v>
      </c>
      <c r="B1736" s="0" t="n">
        <v>223641</v>
      </c>
      <c r="C1736" s="0" t="n">
        <v>251684</v>
      </c>
      <c r="D1736" s="0" t="s">
        <v>35</v>
      </c>
      <c r="E1736" s="0" t="s">
        <v>35</v>
      </c>
      <c r="F1736" s="0" t="s">
        <v>480</v>
      </c>
      <c r="G1736" s="0" t="s">
        <v>37</v>
      </c>
      <c r="H1736" s="0" t="s">
        <v>5834</v>
      </c>
      <c r="J1736" s="0" t="s">
        <v>5835</v>
      </c>
      <c r="M1736" s="0" t="s">
        <v>5836</v>
      </c>
      <c r="N1736" s="0" t="s">
        <v>5837</v>
      </c>
      <c r="O1736" s="0" t="s">
        <v>5838</v>
      </c>
      <c r="P1736" s="0" t="n">
        <v>1830</v>
      </c>
      <c r="Q1736" s="0" t="s">
        <v>39</v>
      </c>
      <c r="R1736" s="0" t="s">
        <v>5839</v>
      </c>
      <c r="S1736" s="0" t="s">
        <v>5840</v>
      </c>
      <c r="T1736" s="0" t="s">
        <v>5845</v>
      </c>
      <c r="V1736" s="0" t="n">
        <v>1</v>
      </c>
      <c r="W1736" s="0" t="n">
        <v>1</v>
      </c>
      <c r="X1736" s="0" t="str">
        <f aca="false">"31811010748914"</f>
        <v>31811010748914</v>
      </c>
      <c r="Y1736" s="0" t="s">
        <v>39</v>
      </c>
      <c r="Z1736" s="0" t="s">
        <v>42</v>
      </c>
      <c r="AA1736" s="0" t="s">
        <v>43</v>
      </c>
      <c r="AE1736" s="1" t="s">
        <v>52</v>
      </c>
    </row>
    <row r="1737" customFormat="false" ht="12.8" hidden="false" customHeight="false" outlineLevel="0" collapsed="false">
      <c r="A1737" s="0" t="n">
        <v>203861</v>
      </c>
      <c r="B1737" s="0" t="n">
        <v>223641</v>
      </c>
      <c r="C1737" s="0" t="n">
        <v>251685</v>
      </c>
      <c r="D1737" s="0" t="s">
        <v>35</v>
      </c>
      <c r="E1737" s="0" t="s">
        <v>35</v>
      </c>
      <c r="F1737" s="0" t="s">
        <v>480</v>
      </c>
      <c r="G1737" s="0" t="s">
        <v>37</v>
      </c>
      <c r="H1737" s="0" t="s">
        <v>5834</v>
      </c>
      <c r="J1737" s="0" t="s">
        <v>5835</v>
      </c>
      <c r="M1737" s="0" t="s">
        <v>5836</v>
      </c>
      <c r="N1737" s="0" t="s">
        <v>5837</v>
      </c>
      <c r="O1737" s="0" t="s">
        <v>5838</v>
      </c>
      <c r="P1737" s="0" t="n">
        <v>1830</v>
      </c>
      <c r="Q1737" s="0" t="s">
        <v>39</v>
      </c>
      <c r="R1737" s="0" t="s">
        <v>5839</v>
      </c>
      <c r="S1737" s="0" t="s">
        <v>5840</v>
      </c>
      <c r="T1737" s="0" t="s">
        <v>5846</v>
      </c>
      <c r="V1737" s="0" t="n">
        <v>1</v>
      </c>
      <c r="W1737" s="0" t="n">
        <v>1</v>
      </c>
      <c r="X1737" s="0" t="str">
        <f aca="false">"31811010748922"</f>
        <v>31811010748922</v>
      </c>
      <c r="Y1737" s="0" t="s">
        <v>39</v>
      </c>
      <c r="Z1737" s="0" t="s">
        <v>42</v>
      </c>
      <c r="AA1737" s="0" t="s">
        <v>43</v>
      </c>
      <c r="AE1737" s="1" t="s">
        <v>52</v>
      </c>
      <c r="AH1737" s="1" t="s">
        <v>5847</v>
      </c>
    </row>
    <row r="1738" customFormat="false" ht="12.8" hidden="false" customHeight="false" outlineLevel="0" collapsed="false">
      <c r="A1738" s="0" t="n">
        <v>203861</v>
      </c>
      <c r="B1738" s="0" t="n">
        <v>223641</v>
      </c>
      <c r="C1738" s="0" t="n">
        <v>251686</v>
      </c>
      <c r="D1738" s="0" t="s">
        <v>35</v>
      </c>
      <c r="E1738" s="0" t="s">
        <v>35</v>
      </c>
      <c r="F1738" s="0" t="s">
        <v>480</v>
      </c>
      <c r="G1738" s="0" t="s">
        <v>37</v>
      </c>
      <c r="H1738" s="0" t="s">
        <v>5834</v>
      </c>
      <c r="J1738" s="0" t="s">
        <v>5835</v>
      </c>
      <c r="M1738" s="0" t="s">
        <v>5836</v>
      </c>
      <c r="N1738" s="0" t="s">
        <v>5837</v>
      </c>
      <c r="O1738" s="0" t="s">
        <v>5838</v>
      </c>
      <c r="P1738" s="0" t="n">
        <v>1830</v>
      </c>
      <c r="Q1738" s="0" t="s">
        <v>39</v>
      </c>
      <c r="R1738" s="0" t="s">
        <v>5839</v>
      </c>
      <c r="S1738" s="0" t="s">
        <v>5840</v>
      </c>
      <c r="T1738" s="0" t="s">
        <v>5848</v>
      </c>
      <c r="V1738" s="0" t="n">
        <v>1</v>
      </c>
      <c r="W1738" s="0" t="n">
        <v>1</v>
      </c>
      <c r="X1738" s="0" t="str">
        <f aca="false">"31811010748534"</f>
        <v>31811010748534</v>
      </c>
      <c r="Y1738" s="0" t="s">
        <v>39</v>
      </c>
      <c r="Z1738" s="0" t="s">
        <v>42</v>
      </c>
      <c r="AA1738" s="0" t="s">
        <v>43</v>
      </c>
      <c r="AE1738" s="1" t="s">
        <v>52</v>
      </c>
    </row>
    <row r="1739" customFormat="false" ht="12.8" hidden="false" customHeight="false" outlineLevel="0" collapsed="false">
      <c r="A1739" s="0" t="n">
        <v>203861</v>
      </c>
      <c r="B1739" s="0" t="n">
        <v>223641</v>
      </c>
      <c r="C1739" s="0" t="n">
        <v>251687</v>
      </c>
      <c r="D1739" s="0" t="s">
        <v>35</v>
      </c>
      <c r="E1739" s="0" t="s">
        <v>35</v>
      </c>
      <c r="F1739" s="0" t="s">
        <v>480</v>
      </c>
      <c r="G1739" s="0" t="s">
        <v>37</v>
      </c>
      <c r="H1739" s="0" t="s">
        <v>5834</v>
      </c>
      <c r="J1739" s="0" t="s">
        <v>5835</v>
      </c>
      <c r="M1739" s="0" t="s">
        <v>5836</v>
      </c>
      <c r="N1739" s="0" t="s">
        <v>5837</v>
      </c>
      <c r="O1739" s="0" t="s">
        <v>5838</v>
      </c>
      <c r="P1739" s="0" t="n">
        <v>1830</v>
      </c>
      <c r="Q1739" s="0" t="s">
        <v>39</v>
      </c>
      <c r="R1739" s="0" t="s">
        <v>5839</v>
      </c>
      <c r="S1739" s="0" t="s">
        <v>5840</v>
      </c>
      <c r="T1739" s="0" t="s">
        <v>5849</v>
      </c>
      <c r="V1739" s="0" t="n">
        <v>1</v>
      </c>
      <c r="W1739" s="0" t="n">
        <v>1</v>
      </c>
      <c r="X1739" s="0" t="str">
        <f aca="false">"31811010748542"</f>
        <v>31811010748542</v>
      </c>
      <c r="Y1739" s="0" t="s">
        <v>39</v>
      </c>
      <c r="Z1739" s="0" t="s">
        <v>42</v>
      </c>
      <c r="AA1739" s="0" t="s">
        <v>43</v>
      </c>
      <c r="AE1739" s="1" t="s">
        <v>52</v>
      </c>
    </row>
    <row r="1740" customFormat="false" ht="12.8" hidden="false" customHeight="false" outlineLevel="0" collapsed="false">
      <c r="A1740" s="0" t="n">
        <v>203861</v>
      </c>
      <c r="B1740" s="0" t="n">
        <v>223641</v>
      </c>
      <c r="C1740" s="0" t="n">
        <v>251688</v>
      </c>
      <c r="D1740" s="0" t="s">
        <v>35</v>
      </c>
      <c r="E1740" s="0" t="s">
        <v>35</v>
      </c>
      <c r="F1740" s="0" t="s">
        <v>480</v>
      </c>
      <c r="G1740" s="0" t="s">
        <v>37</v>
      </c>
      <c r="H1740" s="0" t="s">
        <v>5834</v>
      </c>
      <c r="J1740" s="0" t="s">
        <v>5835</v>
      </c>
      <c r="M1740" s="0" t="s">
        <v>5836</v>
      </c>
      <c r="N1740" s="0" t="s">
        <v>5837</v>
      </c>
      <c r="O1740" s="0" t="s">
        <v>5838</v>
      </c>
      <c r="P1740" s="0" t="n">
        <v>1830</v>
      </c>
      <c r="Q1740" s="0" t="s">
        <v>39</v>
      </c>
      <c r="R1740" s="0" t="s">
        <v>5839</v>
      </c>
      <c r="S1740" s="0" t="s">
        <v>5840</v>
      </c>
      <c r="T1740" s="0" t="s">
        <v>5850</v>
      </c>
      <c r="V1740" s="0" t="n">
        <v>1</v>
      </c>
      <c r="W1740" s="0" t="n">
        <v>1</v>
      </c>
      <c r="X1740" s="0" t="str">
        <f aca="false">"31811010748559"</f>
        <v>31811010748559</v>
      </c>
      <c r="Y1740" s="0" t="s">
        <v>39</v>
      </c>
      <c r="Z1740" s="0" t="s">
        <v>42</v>
      </c>
      <c r="AA1740" s="0" t="s">
        <v>43</v>
      </c>
      <c r="AE1740" s="1" t="s">
        <v>52</v>
      </c>
    </row>
    <row r="1741" customFormat="false" ht="12.8" hidden="false" customHeight="false" outlineLevel="0" collapsed="false">
      <c r="A1741" s="0" t="n">
        <v>203861</v>
      </c>
      <c r="B1741" s="0" t="n">
        <v>223641</v>
      </c>
      <c r="C1741" s="0" t="n">
        <v>251689</v>
      </c>
      <c r="D1741" s="0" t="s">
        <v>35</v>
      </c>
      <c r="E1741" s="0" t="s">
        <v>35</v>
      </c>
      <c r="F1741" s="0" t="s">
        <v>480</v>
      </c>
      <c r="G1741" s="0" t="s">
        <v>37</v>
      </c>
      <c r="H1741" s="0" t="s">
        <v>5834</v>
      </c>
      <c r="J1741" s="0" t="s">
        <v>5835</v>
      </c>
      <c r="M1741" s="0" t="s">
        <v>5836</v>
      </c>
      <c r="N1741" s="0" t="s">
        <v>5837</v>
      </c>
      <c r="O1741" s="0" t="s">
        <v>5838</v>
      </c>
      <c r="P1741" s="0" t="n">
        <v>1830</v>
      </c>
      <c r="Q1741" s="0" t="s">
        <v>39</v>
      </c>
      <c r="R1741" s="0" t="s">
        <v>5839</v>
      </c>
      <c r="S1741" s="0" t="s">
        <v>5840</v>
      </c>
      <c r="T1741" s="0" t="s">
        <v>5851</v>
      </c>
      <c r="V1741" s="0" t="n">
        <v>1</v>
      </c>
      <c r="W1741" s="0" t="n">
        <v>1</v>
      </c>
      <c r="X1741" s="0" t="str">
        <f aca="false">"31811010748567"</f>
        <v>31811010748567</v>
      </c>
      <c r="Y1741" s="0" t="s">
        <v>39</v>
      </c>
      <c r="Z1741" s="0" t="s">
        <v>42</v>
      </c>
      <c r="AA1741" s="0" t="s">
        <v>43</v>
      </c>
      <c r="AE1741" s="1" t="s">
        <v>52</v>
      </c>
    </row>
    <row r="1742" customFormat="false" ht="12.8" hidden="false" customHeight="false" outlineLevel="0" collapsed="false">
      <c r="A1742" s="0" t="n">
        <v>203861</v>
      </c>
      <c r="B1742" s="0" t="n">
        <v>223641</v>
      </c>
      <c r="C1742" s="0" t="n">
        <v>251690</v>
      </c>
      <c r="D1742" s="0" t="s">
        <v>35</v>
      </c>
      <c r="E1742" s="0" t="s">
        <v>35</v>
      </c>
      <c r="F1742" s="0" t="s">
        <v>480</v>
      </c>
      <c r="G1742" s="0" t="s">
        <v>37</v>
      </c>
      <c r="H1742" s="0" t="s">
        <v>5834</v>
      </c>
      <c r="J1742" s="0" t="s">
        <v>5835</v>
      </c>
      <c r="M1742" s="0" t="s">
        <v>5836</v>
      </c>
      <c r="N1742" s="0" t="s">
        <v>5837</v>
      </c>
      <c r="O1742" s="0" t="s">
        <v>5838</v>
      </c>
      <c r="P1742" s="0" t="n">
        <v>1830</v>
      </c>
      <c r="Q1742" s="0" t="s">
        <v>39</v>
      </c>
      <c r="R1742" s="0" t="s">
        <v>5839</v>
      </c>
      <c r="S1742" s="0" t="s">
        <v>5840</v>
      </c>
      <c r="T1742" s="0" t="s">
        <v>5852</v>
      </c>
      <c r="V1742" s="0" t="n">
        <v>1</v>
      </c>
      <c r="W1742" s="0" t="n">
        <v>1</v>
      </c>
      <c r="X1742" s="0" t="str">
        <f aca="false">"31811010748518"</f>
        <v>31811010748518</v>
      </c>
      <c r="Y1742" s="0" t="s">
        <v>39</v>
      </c>
      <c r="Z1742" s="0" t="s">
        <v>42</v>
      </c>
      <c r="AA1742" s="0" t="s">
        <v>43</v>
      </c>
      <c r="AE1742" s="1" t="s">
        <v>52</v>
      </c>
      <c r="AH1742" s="1" t="s">
        <v>5847</v>
      </c>
    </row>
    <row r="1743" customFormat="false" ht="12.8" hidden="false" customHeight="false" outlineLevel="0" collapsed="false">
      <c r="A1743" s="0" t="n">
        <v>203861</v>
      </c>
      <c r="B1743" s="0" t="n">
        <v>223641</v>
      </c>
      <c r="C1743" s="0" t="n">
        <v>251691</v>
      </c>
      <c r="D1743" s="0" t="s">
        <v>35</v>
      </c>
      <c r="E1743" s="0" t="s">
        <v>35</v>
      </c>
      <c r="F1743" s="0" t="s">
        <v>480</v>
      </c>
      <c r="G1743" s="0" t="s">
        <v>37</v>
      </c>
      <c r="H1743" s="0" t="s">
        <v>5834</v>
      </c>
      <c r="J1743" s="0" t="s">
        <v>5835</v>
      </c>
      <c r="M1743" s="0" t="s">
        <v>5836</v>
      </c>
      <c r="N1743" s="0" t="s">
        <v>5837</v>
      </c>
      <c r="O1743" s="0" t="s">
        <v>5838</v>
      </c>
      <c r="P1743" s="0" t="n">
        <v>1830</v>
      </c>
      <c r="Q1743" s="0" t="s">
        <v>39</v>
      </c>
      <c r="R1743" s="0" t="s">
        <v>5839</v>
      </c>
      <c r="S1743" s="0" t="s">
        <v>5840</v>
      </c>
      <c r="T1743" s="0" t="s">
        <v>5853</v>
      </c>
      <c r="V1743" s="0" t="n">
        <v>1</v>
      </c>
      <c r="W1743" s="0" t="n">
        <v>1</v>
      </c>
      <c r="X1743" s="0" t="str">
        <f aca="false">"31811010748500"</f>
        <v>31811010748500</v>
      </c>
      <c r="Y1743" s="0" t="s">
        <v>39</v>
      </c>
      <c r="Z1743" s="0" t="s">
        <v>42</v>
      </c>
      <c r="AA1743" s="0" t="s">
        <v>43</v>
      </c>
      <c r="AE1743" s="1" t="s">
        <v>52</v>
      </c>
    </row>
    <row r="1744" customFormat="false" ht="12.8" hidden="false" customHeight="false" outlineLevel="0" collapsed="false">
      <c r="A1744" s="0" t="n">
        <v>203861</v>
      </c>
      <c r="B1744" s="0" t="n">
        <v>223641</v>
      </c>
      <c r="C1744" s="0" t="n">
        <v>251692</v>
      </c>
      <c r="D1744" s="0" t="s">
        <v>35</v>
      </c>
      <c r="E1744" s="0" t="s">
        <v>35</v>
      </c>
      <c r="F1744" s="0" t="s">
        <v>480</v>
      </c>
      <c r="G1744" s="0" t="s">
        <v>37</v>
      </c>
      <c r="H1744" s="0" t="s">
        <v>5834</v>
      </c>
      <c r="J1744" s="0" t="s">
        <v>5835</v>
      </c>
      <c r="M1744" s="0" t="s">
        <v>5836</v>
      </c>
      <c r="N1744" s="0" t="s">
        <v>5837</v>
      </c>
      <c r="O1744" s="0" t="s">
        <v>5838</v>
      </c>
      <c r="P1744" s="0" t="n">
        <v>1830</v>
      </c>
      <c r="Q1744" s="0" t="s">
        <v>39</v>
      </c>
      <c r="R1744" s="0" t="s">
        <v>5839</v>
      </c>
      <c r="S1744" s="0" t="s">
        <v>5840</v>
      </c>
      <c r="T1744" s="0" t="s">
        <v>5854</v>
      </c>
      <c r="V1744" s="0" t="n">
        <v>1</v>
      </c>
      <c r="W1744" s="0" t="n">
        <v>1</v>
      </c>
      <c r="X1744" s="0" t="str">
        <f aca="false">"31811010748492"</f>
        <v>31811010748492</v>
      </c>
      <c r="Y1744" s="0" t="s">
        <v>39</v>
      </c>
      <c r="Z1744" s="0" t="s">
        <v>42</v>
      </c>
      <c r="AA1744" s="0" t="s">
        <v>43</v>
      </c>
      <c r="AE1744" s="1" t="s">
        <v>52</v>
      </c>
    </row>
    <row r="1745" customFormat="false" ht="12.8" hidden="false" customHeight="false" outlineLevel="0" collapsed="false">
      <c r="A1745" s="0" t="n">
        <v>216439</v>
      </c>
      <c r="B1745" s="0" t="n">
        <v>237430</v>
      </c>
      <c r="C1745" s="0" t="n">
        <v>267529</v>
      </c>
      <c r="D1745" s="0" t="s">
        <v>35</v>
      </c>
      <c r="E1745" s="0" t="s">
        <v>35</v>
      </c>
      <c r="F1745" s="0" t="s">
        <v>480</v>
      </c>
      <c r="G1745" s="0" t="s">
        <v>37</v>
      </c>
      <c r="H1745" s="0" t="s">
        <v>5855</v>
      </c>
      <c r="J1745" s="0" t="s">
        <v>5855</v>
      </c>
      <c r="M1745" s="0" t="s">
        <v>5856</v>
      </c>
      <c r="N1745" s="0" t="s">
        <v>5857</v>
      </c>
      <c r="O1745" s="0" t="s">
        <v>5858</v>
      </c>
      <c r="P1745" s="0" t="n">
        <v>1947</v>
      </c>
      <c r="Q1745" s="0" t="s">
        <v>39</v>
      </c>
      <c r="R1745" s="0" t="s">
        <v>5859</v>
      </c>
      <c r="S1745" s="0" t="s">
        <v>5860</v>
      </c>
      <c r="T1745" s="0" t="n">
        <v>1960</v>
      </c>
      <c r="V1745" s="0" t="n">
        <v>1</v>
      </c>
      <c r="W1745" s="0" t="n">
        <v>1</v>
      </c>
      <c r="X1745" s="0" t="str">
        <f aca="false">"31811010748971"</f>
        <v>31811010748971</v>
      </c>
      <c r="Y1745" s="0" t="s">
        <v>39</v>
      </c>
      <c r="Z1745" s="0" t="s">
        <v>42</v>
      </c>
      <c r="AA1745" s="0" t="s">
        <v>622</v>
      </c>
      <c r="AE1745" s="1" t="s">
        <v>52</v>
      </c>
    </row>
    <row r="1746" customFormat="false" ht="12.8" hidden="false" customHeight="false" outlineLevel="0" collapsed="false">
      <c r="A1746" s="0" t="n">
        <v>216439</v>
      </c>
      <c r="B1746" s="0" t="n">
        <v>237430</v>
      </c>
      <c r="C1746" s="0" t="n">
        <v>267530</v>
      </c>
      <c r="D1746" s="0" t="s">
        <v>35</v>
      </c>
      <c r="E1746" s="0" t="s">
        <v>35</v>
      </c>
      <c r="F1746" s="0" t="s">
        <v>480</v>
      </c>
      <c r="G1746" s="0" t="s">
        <v>37</v>
      </c>
      <c r="H1746" s="0" t="s">
        <v>5855</v>
      </c>
      <c r="J1746" s="0" t="s">
        <v>5855</v>
      </c>
      <c r="M1746" s="0" t="s">
        <v>5856</v>
      </c>
      <c r="N1746" s="0" t="s">
        <v>5857</v>
      </c>
      <c r="O1746" s="0" t="s">
        <v>5858</v>
      </c>
      <c r="P1746" s="0" t="n">
        <v>1947</v>
      </c>
      <c r="Q1746" s="0" t="s">
        <v>39</v>
      </c>
      <c r="R1746" s="0" t="s">
        <v>5859</v>
      </c>
      <c r="S1746" s="0" t="s">
        <v>5860</v>
      </c>
      <c r="T1746" s="0" t="n">
        <v>1959</v>
      </c>
      <c r="V1746" s="0" t="n">
        <v>1</v>
      </c>
      <c r="W1746" s="0" t="n">
        <v>1</v>
      </c>
      <c r="X1746" s="0" t="str">
        <f aca="false">"31811010748989"</f>
        <v>31811010748989</v>
      </c>
      <c r="Y1746" s="0" t="s">
        <v>39</v>
      </c>
      <c r="Z1746" s="0" t="s">
        <v>42</v>
      </c>
      <c r="AA1746" s="0" t="s">
        <v>622</v>
      </c>
      <c r="AE1746" s="1" t="s">
        <v>52</v>
      </c>
    </row>
    <row r="1747" customFormat="false" ht="12.8" hidden="false" customHeight="false" outlineLevel="0" collapsed="false">
      <c r="A1747" s="0" t="n">
        <v>216439</v>
      </c>
      <c r="B1747" s="0" t="n">
        <v>237430</v>
      </c>
      <c r="C1747" s="0" t="n">
        <v>267531</v>
      </c>
      <c r="D1747" s="0" t="s">
        <v>35</v>
      </c>
      <c r="E1747" s="0" t="s">
        <v>35</v>
      </c>
      <c r="F1747" s="0" t="s">
        <v>480</v>
      </c>
      <c r="G1747" s="0" t="s">
        <v>37</v>
      </c>
      <c r="H1747" s="0" t="s">
        <v>5855</v>
      </c>
      <c r="J1747" s="0" t="s">
        <v>5855</v>
      </c>
      <c r="M1747" s="0" t="s">
        <v>5856</v>
      </c>
      <c r="N1747" s="0" t="s">
        <v>5857</v>
      </c>
      <c r="O1747" s="0" t="s">
        <v>5858</v>
      </c>
      <c r="P1747" s="0" t="n">
        <v>1947</v>
      </c>
      <c r="Q1747" s="0" t="s">
        <v>39</v>
      </c>
      <c r="R1747" s="0" t="s">
        <v>5859</v>
      </c>
      <c r="S1747" s="0" t="s">
        <v>5860</v>
      </c>
      <c r="T1747" s="0" t="n">
        <v>1955</v>
      </c>
      <c r="V1747" s="0" t="n">
        <v>1</v>
      </c>
      <c r="W1747" s="0" t="n">
        <v>1</v>
      </c>
      <c r="X1747" s="0" t="str">
        <f aca="false">"31811010748997"</f>
        <v>31811010748997</v>
      </c>
      <c r="Y1747" s="0" t="s">
        <v>39</v>
      </c>
      <c r="Z1747" s="0" t="s">
        <v>42</v>
      </c>
      <c r="AA1747" s="0" t="s">
        <v>622</v>
      </c>
      <c r="AE1747" s="1" t="s">
        <v>52</v>
      </c>
    </row>
    <row r="1748" customFormat="false" ht="12.8" hidden="false" customHeight="false" outlineLevel="0" collapsed="false">
      <c r="A1748" s="0" t="n">
        <v>216439</v>
      </c>
      <c r="B1748" s="0" t="n">
        <v>237430</v>
      </c>
      <c r="C1748" s="0" t="n">
        <v>267532</v>
      </c>
      <c r="D1748" s="0" t="s">
        <v>35</v>
      </c>
      <c r="E1748" s="0" t="s">
        <v>35</v>
      </c>
      <c r="F1748" s="0" t="s">
        <v>480</v>
      </c>
      <c r="G1748" s="0" t="s">
        <v>37</v>
      </c>
      <c r="H1748" s="0" t="s">
        <v>5855</v>
      </c>
      <c r="J1748" s="0" t="s">
        <v>5855</v>
      </c>
      <c r="M1748" s="0" t="s">
        <v>5856</v>
      </c>
      <c r="N1748" s="0" t="s">
        <v>5857</v>
      </c>
      <c r="O1748" s="0" t="s">
        <v>5858</v>
      </c>
      <c r="P1748" s="0" t="n">
        <v>1947</v>
      </c>
      <c r="Q1748" s="0" t="s">
        <v>39</v>
      </c>
      <c r="R1748" s="0" t="s">
        <v>5859</v>
      </c>
      <c r="S1748" s="0" t="s">
        <v>5860</v>
      </c>
      <c r="T1748" s="0" t="n">
        <v>1954</v>
      </c>
      <c r="V1748" s="0" t="n">
        <v>1</v>
      </c>
      <c r="W1748" s="0" t="n">
        <v>1</v>
      </c>
      <c r="X1748" s="0" t="str">
        <f aca="false">"31811010749003"</f>
        <v>31811010749003</v>
      </c>
      <c r="Y1748" s="0" t="s">
        <v>39</v>
      </c>
      <c r="Z1748" s="0" t="s">
        <v>42</v>
      </c>
      <c r="AA1748" s="0" t="s">
        <v>622</v>
      </c>
      <c r="AE1748" s="1" t="s">
        <v>52</v>
      </c>
    </row>
    <row r="1749" customFormat="false" ht="12.8" hidden="false" customHeight="false" outlineLevel="0" collapsed="false">
      <c r="A1749" s="0" t="n">
        <v>216439</v>
      </c>
      <c r="B1749" s="0" t="n">
        <v>237430</v>
      </c>
      <c r="C1749" s="0" t="n">
        <v>267533</v>
      </c>
      <c r="D1749" s="0" t="s">
        <v>35</v>
      </c>
      <c r="E1749" s="0" t="s">
        <v>35</v>
      </c>
      <c r="F1749" s="0" t="s">
        <v>480</v>
      </c>
      <c r="G1749" s="0" t="s">
        <v>37</v>
      </c>
      <c r="H1749" s="0" t="s">
        <v>5855</v>
      </c>
      <c r="J1749" s="0" t="s">
        <v>5855</v>
      </c>
      <c r="M1749" s="0" t="s">
        <v>5856</v>
      </c>
      <c r="N1749" s="0" t="s">
        <v>5857</v>
      </c>
      <c r="O1749" s="0" t="s">
        <v>5858</v>
      </c>
      <c r="P1749" s="0" t="n">
        <v>1947</v>
      </c>
      <c r="Q1749" s="0" t="s">
        <v>39</v>
      </c>
      <c r="R1749" s="0" t="s">
        <v>5859</v>
      </c>
      <c r="S1749" s="0" t="s">
        <v>5860</v>
      </c>
      <c r="T1749" s="0" t="n">
        <v>1948</v>
      </c>
      <c r="V1749" s="0" t="n">
        <v>1</v>
      </c>
      <c r="W1749" s="0" t="n">
        <v>1</v>
      </c>
      <c r="X1749" s="0" t="str">
        <f aca="false">"31811010748963"</f>
        <v>31811010748963</v>
      </c>
      <c r="Y1749" s="0" t="s">
        <v>39</v>
      </c>
      <c r="Z1749" s="0" t="s">
        <v>42</v>
      </c>
      <c r="AA1749" s="0" t="s">
        <v>622</v>
      </c>
      <c r="AE1749" s="1" t="s">
        <v>52</v>
      </c>
    </row>
    <row r="1750" customFormat="false" ht="12.8" hidden="false" customHeight="false" outlineLevel="0" collapsed="false">
      <c r="A1750" s="0" t="n">
        <v>216439</v>
      </c>
      <c r="B1750" s="0" t="n">
        <v>237430</v>
      </c>
      <c r="C1750" s="0" t="n">
        <v>267534</v>
      </c>
      <c r="D1750" s="0" t="s">
        <v>35</v>
      </c>
      <c r="E1750" s="0" t="s">
        <v>35</v>
      </c>
      <c r="F1750" s="0" t="s">
        <v>480</v>
      </c>
      <c r="G1750" s="0" t="s">
        <v>37</v>
      </c>
      <c r="H1750" s="0" t="s">
        <v>5855</v>
      </c>
      <c r="J1750" s="0" t="s">
        <v>5855</v>
      </c>
      <c r="M1750" s="0" t="s">
        <v>5856</v>
      </c>
      <c r="N1750" s="0" t="s">
        <v>5857</v>
      </c>
      <c r="O1750" s="0" t="s">
        <v>5858</v>
      </c>
      <c r="P1750" s="0" t="n">
        <v>1947</v>
      </c>
      <c r="Q1750" s="0" t="s">
        <v>39</v>
      </c>
      <c r="R1750" s="0" t="s">
        <v>5859</v>
      </c>
      <c r="S1750" s="0" t="s">
        <v>5860</v>
      </c>
      <c r="T1750" s="0" t="n">
        <v>1947</v>
      </c>
      <c r="V1750" s="0" t="n">
        <v>1</v>
      </c>
      <c r="W1750" s="0" t="n">
        <v>1</v>
      </c>
      <c r="X1750" s="0" t="str">
        <f aca="false">"31811010748955"</f>
        <v>31811010748955</v>
      </c>
      <c r="Y1750" s="0" t="s">
        <v>39</v>
      </c>
      <c r="Z1750" s="0" t="s">
        <v>42</v>
      </c>
      <c r="AA1750" s="0" t="s">
        <v>622</v>
      </c>
      <c r="AE1750" s="1" t="s">
        <v>52</v>
      </c>
    </row>
    <row r="1751" customFormat="false" ht="12.8" hidden="false" customHeight="false" outlineLevel="0" collapsed="false">
      <c r="A1751" s="0" t="n">
        <v>519723</v>
      </c>
      <c r="B1751" s="0" t="n">
        <v>557133</v>
      </c>
      <c r="C1751" s="0" t="n">
        <v>629032</v>
      </c>
      <c r="D1751" s="0" t="s">
        <v>35</v>
      </c>
      <c r="E1751" s="0" t="s">
        <v>35</v>
      </c>
      <c r="F1751" s="0" t="s">
        <v>480</v>
      </c>
      <c r="G1751" s="0" t="s">
        <v>37</v>
      </c>
      <c r="H1751" s="0" t="s">
        <v>5855</v>
      </c>
      <c r="J1751" s="0" t="s">
        <v>5855</v>
      </c>
      <c r="M1751" s="0" t="s">
        <v>5861</v>
      </c>
      <c r="N1751" s="0" t="s">
        <v>3365</v>
      </c>
      <c r="O1751" s="0" t="s">
        <v>5862</v>
      </c>
      <c r="P1751" s="0" t="n">
        <v>1998</v>
      </c>
      <c r="Q1751" s="0" t="s">
        <v>39</v>
      </c>
      <c r="R1751" s="0" t="s">
        <v>5863</v>
      </c>
      <c r="S1751" s="0" t="s">
        <v>5864</v>
      </c>
      <c r="T1751" s="0" t="n">
        <v>1998</v>
      </c>
      <c r="V1751" s="0" t="n">
        <v>1</v>
      </c>
      <c r="W1751" s="0" t="n">
        <v>1</v>
      </c>
      <c r="X1751" s="0" t="str">
        <f aca="false">"31811011279380"</f>
        <v>31811011279380</v>
      </c>
      <c r="Y1751" s="0" t="s">
        <v>39</v>
      </c>
      <c r="Z1751" s="0" t="s">
        <v>42</v>
      </c>
      <c r="AA1751" s="0" t="s">
        <v>622</v>
      </c>
      <c r="AE1751" s="1" t="s">
        <v>52</v>
      </c>
    </row>
    <row r="1752" customFormat="false" ht="12.8" hidden="false" customHeight="false" outlineLevel="0" collapsed="false">
      <c r="A1752" s="0" t="n">
        <v>531848</v>
      </c>
      <c r="B1752" s="0" t="n">
        <v>569819</v>
      </c>
      <c r="C1752" s="0" t="n">
        <v>644114</v>
      </c>
      <c r="D1752" s="0" t="s">
        <v>35</v>
      </c>
      <c r="E1752" s="0" t="s">
        <v>35</v>
      </c>
      <c r="F1752" s="0" t="s">
        <v>480</v>
      </c>
      <c r="G1752" s="0" t="s">
        <v>37</v>
      </c>
      <c r="H1752" s="0" t="s">
        <v>5865</v>
      </c>
      <c r="J1752" s="0" t="s">
        <v>5865</v>
      </c>
      <c r="M1752" s="0" t="s">
        <v>5866</v>
      </c>
      <c r="O1752" s="0" t="s">
        <v>5867</v>
      </c>
      <c r="P1752" s="0" t="n">
        <v>1998</v>
      </c>
      <c r="Q1752" s="0" t="s">
        <v>39</v>
      </c>
      <c r="R1752" s="0" t="s">
        <v>5868</v>
      </c>
      <c r="S1752" s="0" t="s">
        <v>5869</v>
      </c>
      <c r="T1752" s="0" t="n">
        <v>2000</v>
      </c>
      <c r="V1752" s="0" t="n">
        <v>1</v>
      </c>
      <c r="W1752" s="0" t="n">
        <v>1</v>
      </c>
      <c r="X1752" s="0" t="str">
        <f aca="false">"31811011829408"</f>
        <v>31811011829408</v>
      </c>
      <c r="Y1752" s="0" t="s">
        <v>39</v>
      </c>
      <c r="Z1752" s="0" t="s">
        <v>42</v>
      </c>
      <c r="AA1752" s="0" t="s">
        <v>622</v>
      </c>
      <c r="AE1752" s="1" t="s">
        <v>52</v>
      </c>
      <c r="AF1752" s="1" t="s">
        <v>5870</v>
      </c>
      <c r="AG1752" s="0" t="n">
        <v>4095</v>
      </c>
    </row>
    <row r="1753" customFormat="false" ht="12.8" hidden="false" customHeight="false" outlineLevel="0" collapsed="false">
      <c r="A1753" s="0" t="n">
        <v>531848</v>
      </c>
      <c r="B1753" s="0" t="n">
        <v>569819</v>
      </c>
      <c r="C1753" s="0" t="n">
        <v>644115</v>
      </c>
      <c r="D1753" s="0" t="s">
        <v>35</v>
      </c>
      <c r="E1753" s="0" t="s">
        <v>35</v>
      </c>
      <c r="F1753" s="0" t="s">
        <v>480</v>
      </c>
      <c r="G1753" s="0" t="s">
        <v>37</v>
      </c>
      <c r="H1753" s="0" t="s">
        <v>5865</v>
      </c>
      <c r="J1753" s="0" t="s">
        <v>5865</v>
      </c>
      <c r="M1753" s="0" t="s">
        <v>5866</v>
      </c>
      <c r="O1753" s="0" t="s">
        <v>5867</v>
      </c>
      <c r="P1753" s="0" t="n">
        <v>1998</v>
      </c>
      <c r="Q1753" s="0" t="s">
        <v>39</v>
      </c>
      <c r="R1753" s="0" t="s">
        <v>5868</v>
      </c>
      <c r="S1753" s="0" t="s">
        <v>5869</v>
      </c>
      <c r="T1753" s="0" t="n">
        <v>1999</v>
      </c>
      <c r="V1753" s="0" t="n">
        <v>1</v>
      </c>
      <c r="W1753" s="0" t="n">
        <v>1</v>
      </c>
      <c r="X1753" s="0" t="str">
        <f aca="false">"31811011413658"</f>
        <v>31811011413658</v>
      </c>
      <c r="Y1753" s="0" t="s">
        <v>39</v>
      </c>
      <c r="Z1753" s="0" t="s">
        <v>42</v>
      </c>
      <c r="AA1753" s="0" t="s">
        <v>622</v>
      </c>
      <c r="AE1753" s="1" t="s">
        <v>52</v>
      </c>
      <c r="AF1753" s="1" t="s">
        <v>5870</v>
      </c>
      <c r="AG1753" s="0" t="n">
        <v>4095</v>
      </c>
    </row>
    <row r="1754" customFormat="false" ht="12.8" hidden="false" customHeight="false" outlineLevel="0" collapsed="false">
      <c r="A1754" s="0" t="n">
        <v>531848</v>
      </c>
      <c r="B1754" s="0" t="n">
        <v>569819</v>
      </c>
      <c r="C1754" s="0" t="n">
        <v>644116</v>
      </c>
      <c r="D1754" s="0" t="s">
        <v>35</v>
      </c>
      <c r="E1754" s="0" t="s">
        <v>35</v>
      </c>
      <c r="F1754" s="0" t="s">
        <v>480</v>
      </c>
      <c r="G1754" s="0" t="s">
        <v>37</v>
      </c>
      <c r="H1754" s="0" t="s">
        <v>5865</v>
      </c>
      <c r="J1754" s="0" t="s">
        <v>5865</v>
      </c>
      <c r="M1754" s="0" t="s">
        <v>5866</v>
      </c>
      <c r="O1754" s="0" t="s">
        <v>5867</v>
      </c>
      <c r="P1754" s="0" t="n">
        <v>1998</v>
      </c>
      <c r="Q1754" s="0" t="s">
        <v>39</v>
      </c>
      <c r="R1754" s="0" t="s">
        <v>5868</v>
      </c>
      <c r="S1754" s="0" t="s">
        <v>5869</v>
      </c>
      <c r="T1754" s="0" t="n">
        <v>2003</v>
      </c>
      <c r="V1754" s="0" t="n">
        <v>1</v>
      </c>
      <c r="W1754" s="0" t="n">
        <v>1</v>
      </c>
      <c r="X1754" s="0" t="str">
        <f aca="false">"31811012752229"</f>
        <v>31811012752229</v>
      </c>
      <c r="Y1754" s="0" t="s">
        <v>39</v>
      </c>
      <c r="Z1754" s="0" t="s">
        <v>42</v>
      </c>
      <c r="AA1754" s="0" t="s">
        <v>622</v>
      </c>
      <c r="AE1754" s="1" t="s">
        <v>52</v>
      </c>
      <c r="AF1754" s="1" t="s">
        <v>5870</v>
      </c>
      <c r="AG1754" s="0" t="n">
        <v>4095</v>
      </c>
    </row>
    <row r="1755" customFormat="false" ht="12.8" hidden="false" customHeight="false" outlineLevel="0" collapsed="false">
      <c r="A1755" s="0" t="n">
        <v>531848</v>
      </c>
      <c r="B1755" s="0" t="n">
        <v>569819</v>
      </c>
      <c r="C1755" s="0" t="n">
        <v>687128</v>
      </c>
      <c r="D1755" s="0" t="s">
        <v>35</v>
      </c>
      <c r="E1755" s="0" t="s">
        <v>35</v>
      </c>
      <c r="F1755" s="0" t="s">
        <v>480</v>
      </c>
      <c r="G1755" s="0" t="s">
        <v>37</v>
      </c>
      <c r="H1755" s="0" t="s">
        <v>5865</v>
      </c>
      <c r="J1755" s="0" t="s">
        <v>5865</v>
      </c>
      <c r="M1755" s="0" t="s">
        <v>5866</v>
      </c>
      <c r="O1755" s="0" t="s">
        <v>5867</v>
      </c>
      <c r="P1755" s="0" t="n">
        <v>1998</v>
      </c>
      <c r="Q1755" s="0" t="s">
        <v>39</v>
      </c>
      <c r="R1755" s="0" t="s">
        <v>5868</v>
      </c>
      <c r="S1755" s="0" t="s">
        <v>5869</v>
      </c>
      <c r="T1755" s="0" t="n">
        <v>2001</v>
      </c>
      <c r="V1755" s="0" t="n">
        <v>1</v>
      </c>
      <c r="W1755" s="0" t="n">
        <v>1</v>
      </c>
      <c r="X1755" s="0" t="str">
        <f aca="false">"31811012081793"</f>
        <v>31811012081793</v>
      </c>
      <c r="Y1755" s="0" t="s">
        <v>39</v>
      </c>
      <c r="Z1755" s="0" t="s">
        <v>42</v>
      </c>
      <c r="AA1755" s="0" t="s">
        <v>622</v>
      </c>
      <c r="AE1755" s="1" t="s">
        <v>52</v>
      </c>
      <c r="AF1755" s="1" t="s">
        <v>5870</v>
      </c>
      <c r="AG1755" s="0" t="n">
        <v>4095</v>
      </c>
    </row>
    <row r="1756" customFormat="false" ht="12.8" hidden="false" customHeight="false" outlineLevel="0" collapsed="false">
      <c r="A1756" s="0" t="n">
        <v>531848</v>
      </c>
      <c r="B1756" s="0" t="n">
        <v>569819</v>
      </c>
      <c r="C1756" s="0" t="n">
        <v>703172</v>
      </c>
      <c r="D1756" s="0" t="s">
        <v>35</v>
      </c>
      <c r="E1756" s="0" t="s">
        <v>35</v>
      </c>
      <c r="F1756" s="0" t="s">
        <v>480</v>
      </c>
      <c r="G1756" s="0" t="s">
        <v>37</v>
      </c>
      <c r="H1756" s="0" t="s">
        <v>5865</v>
      </c>
      <c r="J1756" s="0" t="s">
        <v>5865</v>
      </c>
      <c r="M1756" s="0" t="s">
        <v>5866</v>
      </c>
      <c r="O1756" s="0" t="s">
        <v>5867</v>
      </c>
      <c r="P1756" s="0" t="n">
        <v>1998</v>
      </c>
      <c r="Q1756" s="0" t="s">
        <v>39</v>
      </c>
      <c r="R1756" s="0" t="s">
        <v>5868</v>
      </c>
      <c r="S1756" s="0" t="s">
        <v>5869</v>
      </c>
      <c r="T1756" s="0" t="n">
        <v>2004</v>
      </c>
      <c r="V1756" s="0" t="n">
        <v>1</v>
      </c>
      <c r="W1756" s="0" t="n">
        <v>1</v>
      </c>
      <c r="X1756" s="0" t="str">
        <f aca="false">"31811012842673"</f>
        <v>31811012842673</v>
      </c>
      <c r="Y1756" s="0" t="s">
        <v>39</v>
      </c>
      <c r="Z1756" s="0" t="s">
        <v>42</v>
      </c>
      <c r="AA1756" s="0" t="s">
        <v>622</v>
      </c>
      <c r="AE1756" s="1" t="s">
        <v>52</v>
      </c>
      <c r="AF1756" s="1" t="s">
        <v>5870</v>
      </c>
      <c r="AG1756" s="0" t="n">
        <v>4095</v>
      </c>
    </row>
    <row r="1757" customFormat="false" ht="12.8" hidden="false" customHeight="false" outlineLevel="0" collapsed="false">
      <c r="A1757" s="0" t="n">
        <v>531848</v>
      </c>
      <c r="B1757" s="0" t="n">
        <v>569819</v>
      </c>
      <c r="C1757" s="0" t="n">
        <v>724738</v>
      </c>
      <c r="D1757" s="0" t="s">
        <v>35</v>
      </c>
      <c r="E1757" s="0" t="s">
        <v>35</v>
      </c>
      <c r="F1757" s="0" t="s">
        <v>480</v>
      </c>
      <c r="G1757" s="0" t="s">
        <v>37</v>
      </c>
      <c r="H1757" s="0" t="s">
        <v>5865</v>
      </c>
      <c r="J1757" s="0" t="s">
        <v>5865</v>
      </c>
      <c r="M1757" s="0" t="s">
        <v>5866</v>
      </c>
      <c r="O1757" s="0" t="s">
        <v>5867</v>
      </c>
      <c r="P1757" s="0" t="n">
        <v>1998</v>
      </c>
      <c r="Q1757" s="0" t="s">
        <v>39</v>
      </c>
      <c r="R1757" s="0" t="s">
        <v>5868</v>
      </c>
      <c r="S1757" s="0" t="s">
        <v>5869</v>
      </c>
      <c r="T1757" s="0" t="n">
        <v>2005</v>
      </c>
      <c r="V1757" s="0" t="n">
        <v>1</v>
      </c>
      <c r="W1757" s="0" t="n">
        <v>1</v>
      </c>
      <c r="X1757" s="0" t="str">
        <f aca="false">"31811012992635"</f>
        <v>31811012992635</v>
      </c>
      <c r="Y1757" s="0" t="s">
        <v>39</v>
      </c>
      <c r="Z1757" s="0" t="s">
        <v>42</v>
      </c>
      <c r="AA1757" s="0" t="s">
        <v>622</v>
      </c>
      <c r="AE1757" s="1" t="s">
        <v>52</v>
      </c>
      <c r="AF1757" s="1" t="s">
        <v>5870</v>
      </c>
      <c r="AG1757" s="0" t="n">
        <v>4095</v>
      </c>
    </row>
    <row r="1758" customFormat="false" ht="12.8" hidden="false" customHeight="false" outlineLevel="0" collapsed="false">
      <c r="A1758" s="0" t="n">
        <v>531848</v>
      </c>
      <c r="B1758" s="0" t="n">
        <v>569819</v>
      </c>
      <c r="C1758" s="0" t="n">
        <v>737594</v>
      </c>
      <c r="D1758" s="0" t="s">
        <v>35</v>
      </c>
      <c r="E1758" s="0" t="s">
        <v>35</v>
      </c>
      <c r="F1758" s="0" t="s">
        <v>480</v>
      </c>
      <c r="G1758" s="0" t="s">
        <v>37</v>
      </c>
      <c r="H1758" s="0" t="s">
        <v>5865</v>
      </c>
      <c r="J1758" s="0" t="s">
        <v>5865</v>
      </c>
      <c r="M1758" s="0" t="s">
        <v>5866</v>
      </c>
      <c r="O1758" s="0" t="s">
        <v>5867</v>
      </c>
      <c r="P1758" s="0" t="n">
        <v>1998</v>
      </c>
      <c r="Q1758" s="0" t="s">
        <v>39</v>
      </c>
      <c r="R1758" s="0" t="s">
        <v>5868</v>
      </c>
      <c r="S1758" s="0" t="s">
        <v>5869</v>
      </c>
      <c r="T1758" s="0" t="n">
        <v>2006</v>
      </c>
      <c r="V1758" s="0" t="n">
        <v>1</v>
      </c>
      <c r="W1758" s="0" t="n">
        <v>1</v>
      </c>
      <c r="X1758" s="0" t="str">
        <f aca="false">"31811012593490"</f>
        <v>31811012593490</v>
      </c>
      <c r="Y1758" s="0" t="s">
        <v>39</v>
      </c>
      <c r="Z1758" s="0" t="s">
        <v>42</v>
      </c>
      <c r="AA1758" s="0" t="s">
        <v>622</v>
      </c>
      <c r="AE1758" s="1" t="s">
        <v>52</v>
      </c>
      <c r="AF1758" s="1" t="s">
        <v>5870</v>
      </c>
      <c r="AG1758" s="0" t="n">
        <v>4095</v>
      </c>
    </row>
    <row r="1759" customFormat="false" ht="12.8" hidden="false" customHeight="false" outlineLevel="0" collapsed="false">
      <c r="A1759" s="0" t="n">
        <v>531848</v>
      </c>
      <c r="B1759" s="0" t="n">
        <v>569819</v>
      </c>
      <c r="C1759" s="0" t="n">
        <v>754965</v>
      </c>
      <c r="D1759" s="0" t="s">
        <v>35</v>
      </c>
      <c r="E1759" s="0" t="s">
        <v>35</v>
      </c>
      <c r="F1759" s="0" t="s">
        <v>480</v>
      </c>
      <c r="G1759" s="0" t="s">
        <v>37</v>
      </c>
      <c r="H1759" s="0" t="s">
        <v>5865</v>
      </c>
      <c r="J1759" s="0" t="s">
        <v>5865</v>
      </c>
      <c r="M1759" s="0" t="s">
        <v>5866</v>
      </c>
      <c r="O1759" s="0" t="s">
        <v>5867</v>
      </c>
      <c r="P1759" s="0" t="n">
        <v>1998</v>
      </c>
      <c r="Q1759" s="0" t="s">
        <v>39</v>
      </c>
      <c r="R1759" s="0" t="s">
        <v>5868</v>
      </c>
      <c r="S1759" s="0" t="s">
        <v>5869</v>
      </c>
      <c r="T1759" s="0" t="n">
        <v>2007</v>
      </c>
      <c r="V1759" s="0" t="n">
        <v>1</v>
      </c>
      <c r="W1759" s="0" t="n">
        <v>1</v>
      </c>
      <c r="X1759" s="0" t="str">
        <f aca="false">"31811012709153"</f>
        <v>31811012709153</v>
      </c>
      <c r="Y1759" s="0" t="s">
        <v>39</v>
      </c>
      <c r="Z1759" s="0" t="s">
        <v>42</v>
      </c>
      <c r="AA1759" s="0" t="s">
        <v>622</v>
      </c>
      <c r="AE1759" s="1" t="s">
        <v>52</v>
      </c>
      <c r="AF1759" s="1" t="s">
        <v>5870</v>
      </c>
      <c r="AG1759" s="0" t="n">
        <v>4095</v>
      </c>
    </row>
    <row r="1760" customFormat="false" ht="12.8" hidden="false" customHeight="false" outlineLevel="0" collapsed="false">
      <c r="A1760" s="0" t="n">
        <v>531848</v>
      </c>
      <c r="B1760" s="0" t="n">
        <v>569819</v>
      </c>
      <c r="C1760" s="0" t="n">
        <v>766670</v>
      </c>
      <c r="D1760" s="0" t="s">
        <v>35</v>
      </c>
      <c r="E1760" s="0" t="s">
        <v>35</v>
      </c>
      <c r="F1760" s="0" t="s">
        <v>480</v>
      </c>
      <c r="G1760" s="0" t="s">
        <v>37</v>
      </c>
      <c r="H1760" s="0" t="s">
        <v>5865</v>
      </c>
      <c r="J1760" s="0" t="s">
        <v>5865</v>
      </c>
      <c r="M1760" s="0" t="s">
        <v>5866</v>
      </c>
      <c r="O1760" s="0" t="s">
        <v>5867</v>
      </c>
      <c r="P1760" s="0" t="n">
        <v>1998</v>
      </c>
      <c r="Q1760" s="0" t="s">
        <v>39</v>
      </c>
      <c r="R1760" s="0" t="s">
        <v>5868</v>
      </c>
      <c r="S1760" s="0" t="s">
        <v>5869</v>
      </c>
      <c r="T1760" s="0" t="n">
        <v>2008</v>
      </c>
      <c r="V1760" s="0" t="n">
        <v>1</v>
      </c>
      <c r="W1760" s="0" t="n">
        <v>1</v>
      </c>
      <c r="X1760" s="0" t="str">
        <f aca="false">"31811012341692"</f>
        <v>31811012341692</v>
      </c>
      <c r="Y1760" s="0" t="s">
        <v>39</v>
      </c>
      <c r="Z1760" s="0" t="s">
        <v>42</v>
      </c>
      <c r="AA1760" s="0" t="s">
        <v>622</v>
      </c>
      <c r="AE1760" s="1" t="s">
        <v>52</v>
      </c>
      <c r="AF1760" s="1" t="s">
        <v>5870</v>
      </c>
      <c r="AG1760" s="0" t="n">
        <v>4095</v>
      </c>
    </row>
    <row r="1761" customFormat="false" ht="12.8" hidden="false" customHeight="false" outlineLevel="0" collapsed="false">
      <c r="A1761" s="0" t="n">
        <v>531848</v>
      </c>
      <c r="B1761" s="0" t="n">
        <v>569819</v>
      </c>
      <c r="C1761" s="0" t="n">
        <v>780715</v>
      </c>
      <c r="D1761" s="0" t="s">
        <v>35</v>
      </c>
      <c r="E1761" s="0" t="s">
        <v>35</v>
      </c>
      <c r="F1761" s="0" t="s">
        <v>480</v>
      </c>
      <c r="G1761" s="0" t="s">
        <v>37</v>
      </c>
      <c r="H1761" s="0" t="s">
        <v>5865</v>
      </c>
      <c r="J1761" s="0" t="s">
        <v>5865</v>
      </c>
      <c r="M1761" s="0" t="s">
        <v>5866</v>
      </c>
      <c r="O1761" s="0" t="s">
        <v>5867</v>
      </c>
      <c r="P1761" s="0" t="n">
        <v>1998</v>
      </c>
      <c r="Q1761" s="0" t="s">
        <v>39</v>
      </c>
      <c r="R1761" s="0" t="s">
        <v>5868</v>
      </c>
      <c r="S1761" s="0" t="s">
        <v>5869</v>
      </c>
      <c r="T1761" s="0" t="n">
        <v>2009</v>
      </c>
      <c r="V1761" s="0" t="n">
        <v>1</v>
      </c>
      <c r="W1761" s="0" t="n">
        <v>1</v>
      </c>
      <c r="X1761" s="0" t="str">
        <f aca="false">"31811013227221"</f>
        <v>31811013227221</v>
      </c>
      <c r="Y1761" s="0" t="s">
        <v>39</v>
      </c>
      <c r="Z1761" s="0" t="s">
        <v>42</v>
      </c>
      <c r="AA1761" s="0" t="s">
        <v>622</v>
      </c>
      <c r="AE1761" s="1" t="s">
        <v>52</v>
      </c>
      <c r="AF1761" s="1" t="s">
        <v>5870</v>
      </c>
      <c r="AG1761" s="0" t="n">
        <v>4095</v>
      </c>
    </row>
    <row r="1762" customFormat="false" ht="12.8" hidden="false" customHeight="false" outlineLevel="0" collapsed="false">
      <c r="A1762" s="0" t="n">
        <v>266467</v>
      </c>
      <c r="B1762" s="0" t="n">
        <v>291771</v>
      </c>
      <c r="C1762" s="0" t="n">
        <v>327551</v>
      </c>
      <c r="D1762" s="0" t="s">
        <v>35</v>
      </c>
      <c r="E1762" s="0" t="s">
        <v>35</v>
      </c>
      <c r="F1762" s="0" t="s">
        <v>36</v>
      </c>
      <c r="G1762" s="0" t="s">
        <v>37</v>
      </c>
      <c r="H1762" s="0" t="s">
        <v>5871</v>
      </c>
      <c r="I1762" s="0" t="s">
        <v>5872</v>
      </c>
      <c r="J1762" s="0" t="s">
        <v>5873</v>
      </c>
      <c r="M1762" s="0" t="s">
        <v>5874</v>
      </c>
      <c r="N1762" s="0" t="n">
        <v>1935</v>
      </c>
      <c r="O1762" s="0" t="s">
        <v>5875</v>
      </c>
      <c r="P1762" s="0" t="n">
        <v>1935</v>
      </c>
      <c r="Q1762" s="0" t="s">
        <v>39</v>
      </c>
      <c r="R1762" s="0" t="s">
        <v>5876</v>
      </c>
      <c r="S1762" s="0" t="s">
        <v>5877</v>
      </c>
      <c r="V1762" s="0" t="n">
        <v>2</v>
      </c>
      <c r="W1762" s="0" t="n">
        <v>1</v>
      </c>
      <c r="X1762" s="0" t="str">
        <f aca="false">"31811013424497"</f>
        <v>31811013424497</v>
      </c>
      <c r="Y1762" s="0" t="s">
        <v>39</v>
      </c>
      <c r="Z1762" s="0" t="s">
        <v>42</v>
      </c>
      <c r="AA1762" s="0" t="s">
        <v>43</v>
      </c>
      <c r="AE1762" s="1" t="s">
        <v>52</v>
      </c>
    </row>
    <row r="1763" customFormat="false" ht="12.8" hidden="false" customHeight="false" outlineLevel="0" collapsed="false">
      <c r="A1763" s="0" t="n">
        <v>64734</v>
      </c>
      <c r="B1763" s="0" t="n">
        <v>70275</v>
      </c>
      <c r="C1763" s="0" t="n">
        <v>77554</v>
      </c>
      <c r="D1763" s="0" t="s">
        <v>35</v>
      </c>
      <c r="E1763" s="0" t="s">
        <v>35</v>
      </c>
      <c r="F1763" s="0" t="s">
        <v>36</v>
      </c>
      <c r="G1763" s="0" t="s">
        <v>37</v>
      </c>
      <c r="H1763" s="0" t="s">
        <v>5878</v>
      </c>
      <c r="I1763" s="0" t="s">
        <v>5879</v>
      </c>
      <c r="J1763" s="0" t="s">
        <v>5880</v>
      </c>
      <c r="L1763" s="0" t="n">
        <v>820304492</v>
      </c>
      <c r="M1763" s="0" t="s">
        <v>5881</v>
      </c>
      <c r="N1763" s="0" t="s">
        <v>5882</v>
      </c>
      <c r="O1763" s="0" t="s">
        <v>5883</v>
      </c>
      <c r="P1763" s="0" t="n">
        <v>1980</v>
      </c>
      <c r="Q1763" s="0" t="s">
        <v>39</v>
      </c>
      <c r="R1763" s="0" t="s">
        <v>5884</v>
      </c>
      <c r="S1763" s="0" t="s">
        <v>5885</v>
      </c>
      <c r="V1763" s="0" t="n">
        <v>1</v>
      </c>
      <c r="W1763" s="0" t="n">
        <v>1</v>
      </c>
      <c r="X1763" s="0" t="str">
        <f aca="false">"38888071021178"</f>
        <v>38888071021178</v>
      </c>
      <c r="Y1763" s="0" t="s">
        <v>39</v>
      </c>
      <c r="Z1763" s="0" t="s">
        <v>42</v>
      </c>
      <c r="AA1763" s="0" t="s">
        <v>43</v>
      </c>
      <c r="AE1763" s="1" t="s">
        <v>52</v>
      </c>
    </row>
    <row r="1764" customFormat="false" ht="12.8" hidden="false" customHeight="false" outlineLevel="0" collapsed="false">
      <c r="A1764" s="0" t="n">
        <v>332198</v>
      </c>
      <c r="B1764" s="0" t="n">
        <v>360797</v>
      </c>
      <c r="C1764" s="0" t="n">
        <v>402207</v>
      </c>
      <c r="D1764" s="0" t="s">
        <v>35</v>
      </c>
      <c r="E1764" s="0" t="s">
        <v>35</v>
      </c>
      <c r="F1764" s="0" t="s">
        <v>36</v>
      </c>
      <c r="G1764" s="0" t="s">
        <v>37</v>
      </c>
      <c r="H1764" s="0" t="s">
        <v>5886</v>
      </c>
      <c r="I1764" s="0" t="s">
        <v>5887</v>
      </c>
      <c r="J1764" s="0" t="s">
        <v>5888</v>
      </c>
      <c r="M1764" s="0" t="s">
        <v>5889</v>
      </c>
      <c r="N1764" s="0" t="n">
        <v>1832</v>
      </c>
      <c r="O1764" s="0" t="s">
        <v>5890</v>
      </c>
      <c r="P1764" s="0" t="n">
        <v>1832</v>
      </c>
      <c r="Q1764" s="0" t="s">
        <v>39</v>
      </c>
      <c r="R1764" s="0" t="s">
        <v>5891</v>
      </c>
      <c r="S1764" s="0" t="s">
        <v>5892</v>
      </c>
      <c r="V1764" s="0" t="n">
        <v>1</v>
      </c>
      <c r="W1764" s="0" t="n">
        <v>1</v>
      </c>
      <c r="X1764" s="0" t="str">
        <f aca="false">"31811010754797"</f>
        <v>31811010754797</v>
      </c>
      <c r="Y1764" s="0" t="s">
        <v>39</v>
      </c>
      <c r="Z1764" s="0" t="s">
        <v>42</v>
      </c>
      <c r="AA1764" s="0" t="s">
        <v>43</v>
      </c>
      <c r="AE1764" s="1" t="s">
        <v>52</v>
      </c>
    </row>
    <row r="1765" customFormat="false" ht="12.8" hidden="false" customHeight="false" outlineLevel="0" collapsed="false">
      <c r="A1765" s="0" t="n">
        <v>527220</v>
      </c>
      <c r="B1765" s="0" t="n">
        <v>564847</v>
      </c>
      <c r="C1765" s="0" t="n">
        <v>638550</v>
      </c>
      <c r="D1765" s="0" t="s">
        <v>35</v>
      </c>
      <c r="E1765" s="0" t="s">
        <v>35</v>
      </c>
      <c r="F1765" s="0" t="s">
        <v>36</v>
      </c>
      <c r="G1765" s="0" t="s">
        <v>37</v>
      </c>
      <c r="H1765" s="0" t="s">
        <v>5893</v>
      </c>
      <c r="I1765" s="0" t="s">
        <v>5894</v>
      </c>
      <c r="J1765" s="0" t="s">
        <v>5895</v>
      </c>
      <c r="L1765" s="0" t="n">
        <v>370001710</v>
      </c>
      <c r="M1765" s="0" t="s">
        <v>5896</v>
      </c>
      <c r="N1765" s="0" t="n">
        <v>1969</v>
      </c>
      <c r="O1765" s="0" t="s">
        <v>5897</v>
      </c>
      <c r="P1765" s="0" t="n">
        <v>1969</v>
      </c>
      <c r="Q1765" s="0" t="s">
        <v>39</v>
      </c>
      <c r="R1765" s="0" t="s">
        <v>5898</v>
      </c>
      <c r="S1765" s="0" t="s">
        <v>5899</v>
      </c>
      <c r="V1765" s="0" t="n">
        <v>1</v>
      </c>
      <c r="W1765" s="0" t="n">
        <v>1</v>
      </c>
      <c r="X1765" s="0" t="str">
        <f aca="false">"31811010754789"</f>
        <v>31811010754789</v>
      </c>
      <c r="Y1765" s="0" t="s">
        <v>39</v>
      </c>
      <c r="Z1765" s="0" t="s">
        <v>42</v>
      </c>
      <c r="AA1765" s="0" t="s">
        <v>43</v>
      </c>
      <c r="AE1765" s="1" t="s">
        <v>52</v>
      </c>
    </row>
    <row r="1766" customFormat="false" ht="12.8" hidden="false" customHeight="false" outlineLevel="0" collapsed="false">
      <c r="A1766" s="0" t="n">
        <v>449352</v>
      </c>
      <c r="B1766" s="0" t="n">
        <v>535308</v>
      </c>
      <c r="C1766" s="0" t="n">
        <v>601919</v>
      </c>
      <c r="D1766" s="0" t="s">
        <v>35</v>
      </c>
      <c r="E1766" s="0" t="s">
        <v>35</v>
      </c>
      <c r="F1766" s="0" t="s">
        <v>480</v>
      </c>
      <c r="G1766" s="0" t="s">
        <v>37</v>
      </c>
      <c r="H1766" s="0" t="s">
        <v>5900</v>
      </c>
      <c r="J1766" s="0" t="s">
        <v>5901</v>
      </c>
      <c r="M1766" s="0" t="s">
        <v>5902</v>
      </c>
      <c r="N1766" s="0" t="s">
        <v>5903</v>
      </c>
      <c r="O1766" s="0" t="s">
        <v>5904</v>
      </c>
      <c r="P1766" s="0" t="n">
        <v>1869</v>
      </c>
      <c r="Q1766" s="0" t="s">
        <v>39</v>
      </c>
      <c r="R1766" s="0" t="s">
        <v>5905</v>
      </c>
      <c r="S1766" s="0" t="s">
        <v>5906</v>
      </c>
      <c r="T1766" s="0" t="n">
        <v>1992</v>
      </c>
      <c r="V1766" s="0" t="n">
        <v>1</v>
      </c>
      <c r="W1766" s="0" t="n">
        <v>1</v>
      </c>
      <c r="X1766" s="0" t="str">
        <f aca="false">"31811010754888"</f>
        <v>31811010754888</v>
      </c>
      <c r="Y1766" s="0" t="s">
        <v>39</v>
      </c>
      <c r="Z1766" s="0" t="s">
        <v>42</v>
      </c>
      <c r="AA1766" s="0" t="s">
        <v>43</v>
      </c>
      <c r="AE1766" s="1" t="s">
        <v>52</v>
      </c>
      <c r="AF1766" s="1" t="s">
        <v>623</v>
      </c>
    </row>
    <row r="1767" customFormat="false" ht="12.8" hidden="false" customHeight="false" outlineLevel="0" collapsed="false">
      <c r="A1767" s="0" t="n">
        <v>449352</v>
      </c>
      <c r="B1767" s="0" t="n">
        <v>535308</v>
      </c>
      <c r="C1767" s="0" t="n">
        <v>601920</v>
      </c>
      <c r="D1767" s="0" t="s">
        <v>35</v>
      </c>
      <c r="E1767" s="0" t="s">
        <v>35</v>
      </c>
      <c r="F1767" s="0" t="s">
        <v>480</v>
      </c>
      <c r="G1767" s="0" t="s">
        <v>37</v>
      </c>
      <c r="H1767" s="0" t="s">
        <v>5900</v>
      </c>
      <c r="J1767" s="0" t="s">
        <v>5901</v>
      </c>
      <c r="M1767" s="0" t="s">
        <v>5902</v>
      </c>
      <c r="N1767" s="0" t="s">
        <v>5903</v>
      </c>
      <c r="O1767" s="0" t="s">
        <v>5904</v>
      </c>
      <c r="P1767" s="0" t="n">
        <v>1869</v>
      </c>
      <c r="Q1767" s="0" t="s">
        <v>39</v>
      </c>
      <c r="R1767" s="0" t="s">
        <v>5905</v>
      </c>
      <c r="S1767" s="0" t="s">
        <v>5906</v>
      </c>
      <c r="T1767" s="0" t="n">
        <v>1991</v>
      </c>
      <c r="V1767" s="0" t="n">
        <v>1</v>
      </c>
      <c r="W1767" s="0" t="n">
        <v>1</v>
      </c>
      <c r="X1767" s="0" t="str">
        <f aca="false">"31811010754813"</f>
        <v>31811010754813</v>
      </c>
      <c r="Y1767" s="0" t="s">
        <v>39</v>
      </c>
      <c r="Z1767" s="0" t="s">
        <v>42</v>
      </c>
      <c r="AA1767" s="0" t="s">
        <v>43</v>
      </c>
      <c r="AE1767" s="1" t="s">
        <v>52</v>
      </c>
      <c r="AF1767" s="1" t="s">
        <v>623</v>
      </c>
    </row>
    <row r="1768" customFormat="false" ht="12.8" hidden="false" customHeight="false" outlineLevel="0" collapsed="false">
      <c r="A1768" s="0" t="n">
        <v>449352</v>
      </c>
      <c r="B1768" s="0" t="n">
        <v>535308</v>
      </c>
      <c r="C1768" s="0" t="n">
        <v>601921</v>
      </c>
      <c r="D1768" s="0" t="s">
        <v>35</v>
      </c>
      <c r="E1768" s="0" t="s">
        <v>35</v>
      </c>
      <c r="F1768" s="0" t="s">
        <v>480</v>
      </c>
      <c r="G1768" s="0" t="s">
        <v>37</v>
      </c>
      <c r="H1768" s="0" t="s">
        <v>5900</v>
      </c>
      <c r="J1768" s="0" t="s">
        <v>5901</v>
      </c>
      <c r="M1768" s="0" t="s">
        <v>5902</v>
      </c>
      <c r="N1768" s="0" t="s">
        <v>5903</v>
      </c>
      <c r="O1768" s="0" t="s">
        <v>5904</v>
      </c>
      <c r="P1768" s="0" t="n">
        <v>1869</v>
      </c>
      <c r="Q1768" s="0" t="s">
        <v>39</v>
      </c>
      <c r="R1768" s="0" t="s">
        <v>5905</v>
      </c>
      <c r="S1768" s="0" t="s">
        <v>5906</v>
      </c>
      <c r="T1768" s="0" t="n">
        <v>1990</v>
      </c>
      <c r="V1768" s="0" t="n">
        <v>1</v>
      </c>
      <c r="W1768" s="0" t="n">
        <v>1</v>
      </c>
      <c r="X1768" s="0" t="str">
        <f aca="false">"31811010093626"</f>
        <v>31811010093626</v>
      </c>
      <c r="Y1768" s="0" t="s">
        <v>39</v>
      </c>
      <c r="Z1768" s="0" t="s">
        <v>42</v>
      </c>
      <c r="AA1768" s="0" t="s">
        <v>43</v>
      </c>
      <c r="AE1768" s="1" t="s">
        <v>52</v>
      </c>
      <c r="AF1768" s="1" t="s">
        <v>623</v>
      </c>
    </row>
    <row r="1769" customFormat="false" ht="12.8" hidden="false" customHeight="false" outlineLevel="0" collapsed="false">
      <c r="A1769" s="0" t="n">
        <v>449352</v>
      </c>
      <c r="B1769" s="0" t="n">
        <v>535308</v>
      </c>
      <c r="C1769" s="0" t="n">
        <v>601922</v>
      </c>
      <c r="D1769" s="0" t="s">
        <v>35</v>
      </c>
      <c r="E1769" s="0" t="s">
        <v>35</v>
      </c>
      <c r="F1769" s="0" t="s">
        <v>480</v>
      </c>
      <c r="G1769" s="0" t="s">
        <v>37</v>
      </c>
      <c r="H1769" s="0" t="s">
        <v>5900</v>
      </c>
      <c r="J1769" s="0" t="s">
        <v>5901</v>
      </c>
      <c r="M1769" s="0" t="s">
        <v>5902</v>
      </c>
      <c r="N1769" s="0" t="s">
        <v>5903</v>
      </c>
      <c r="O1769" s="0" t="s">
        <v>5904</v>
      </c>
      <c r="P1769" s="0" t="n">
        <v>1869</v>
      </c>
      <c r="Q1769" s="0" t="s">
        <v>39</v>
      </c>
      <c r="R1769" s="0" t="s">
        <v>5905</v>
      </c>
      <c r="S1769" s="0" t="s">
        <v>5906</v>
      </c>
      <c r="T1769" s="0" t="n">
        <v>1989</v>
      </c>
      <c r="V1769" s="0" t="n">
        <v>1</v>
      </c>
      <c r="W1769" s="0" t="n">
        <v>1</v>
      </c>
      <c r="X1769" s="0" t="str">
        <f aca="false">"31811010754821"</f>
        <v>31811010754821</v>
      </c>
      <c r="Y1769" s="0" t="s">
        <v>39</v>
      </c>
      <c r="Z1769" s="0" t="s">
        <v>42</v>
      </c>
      <c r="AA1769" s="0" t="s">
        <v>43</v>
      </c>
      <c r="AE1769" s="1" t="s">
        <v>52</v>
      </c>
      <c r="AF1769" s="1" t="s">
        <v>623</v>
      </c>
    </row>
    <row r="1770" customFormat="false" ht="12.8" hidden="false" customHeight="false" outlineLevel="0" collapsed="false">
      <c r="A1770" s="0" t="n">
        <v>449352</v>
      </c>
      <c r="B1770" s="0" t="n">
        <v>535308</v>
      </c>
      <c r="C1770" s="0" t="n">
        <v>601923</v>
      </c>
      <c r="D1770" s="0" t="s">
        <v>35</v>
      </c>
      <c r="E1770" s="0" t="s">
        <v>35</v>
      </c>
      <c r="F1770" s="0" t="s">
        <v>480</v>
      </c>
      <c r="G1770" s="0" t="s">
        <v>37</v>
      </c>
      <c r="H1770" s="0" t="s">
        <v>5900</v>
      </c>
      <c r="J1770" s="0" t="s">
        <v>5901</v>
      </c>
      <c r="M1770" s="0" t="s">
        <v>5902</v>
      </c>
      <c r="N1770" s="0" t="s">
        <v>5903</v>
      </c>
      <c r="O1770" s="0" t="s">
        <v>5904</v>
      </c>
      <c r="P1770" s="0" t="n">
        <v>1869</v>
      </c>
      <c r="Q1770" s="0" t="s">
        <v>39</v>
      </c>
      <c r="R1770" s="0" t="s">
        <v>5905</v>
      </c>
      <c r="S1770" s="0" t="s">
        <v>5906</v>
      </c>
      <c r="T1770" s="0" t="n">
        <v>1988</v>
      </c>
      <c r="V1770" s="0" t="n">
        <v>1</v>
      </c>
      <c r="W1770" s="0" t="n">
        <v>1</v>
      </c>
      <c r="X1770" s="0" t="str">
        <f aca="false">"31811010754839"</f>
        <v>31811010754839</v>
      </c>
      <c r="Y1770" s="0" t="s">
        <v>39</v>
      </c>
      <c r="Z1770" s="0" t="s">
        <v>42</v>
      </c>
      <c r="AA1770" s="0" t="s">
        <v>43</v>
      </c>
      <c r="AE1770" s="1" t="s">
        <v>52</v>
      </c>
      <c r="AF1770" s="1" t="s">
        <v>623</v>
      </c>
    </row>
    <row r="1771" customFormat="false" ht="12.8" hidden="false" customHeight="false" outlineLevel="0" collapsed="false">
      <c r="A1771" s="0" t="n">
        <v>449352</v>
      </c>
      <c r="B1771" s="0" t="n">
        <v>535308</v>
      </c>
      <c r="C1771" s="0" t="n">
        <v>601924</v>
      </c>
      <c r="D1771" s="0" t="s">
        <v>35</v>
      </c>
      <c r="E1771" s="0" t="s">
        <v>35</v>
      </c>
      <c r="F1771" s="0" t="s">
        <v>480</v>
      </c>
      <c r="G1771" s="0" t="s">
        <v>37</v>
      </c>
      <c r="H1771" s="0" t="s">
        <v>5900</v>
      </c>
      <c r="J1771" s="0" t="s">
        <v>5901</v>
      </c>
      <c r="M1771" s="0" t="s">
        <v>5902</v>
      </c>
      <c r="N1771" s="0" t="s">
        <v>5903</v>
      </c>
      <c r="O1771" s="0" t="s">
        <v>5904</v>
      </c>
      <c r="P1771" s="0" t="n">
        <v>1869</v>
      </c>
      <c r="Q1771" s="0" t="s">
        <v>39</v>
      </c>
      <c r="R1771" s="0" t="s">
        <v>5905</v>
      </c>
      <c r="S1771" s="0" t="s">
        <v>5906</v>
      </c>
      <c r="T1771" s="0" t="n">
        <v>1987</v>
      </c>
      <c r="V1771" s="0" t="n">
        <v>1</v>
      </c>
      <c r="W1771" s="0" t="n">
        <v>1</v>
      </c>
      <c r="X1771" s="0" t="str">
        <f aca="false">"31811010754847"</f>
        <v>31811010754847</v>
      </c>
      <c r="Y1771" s="0" t="s">
        <v>39</v>
      </c>
      <c r="Z1771" s="0" t="s">
        <v>42</v>
      </c>
      <c r="AA1771" s="0" t="s">
        <v>43</v>
      </c>
      <c r="AE1771" s="1" t="s">
        <v>52</v>
      </c>
      <c r="AF1771" s="1" t="s">
        <v>623</v>
      </c>
    </row>
    <row r="1772" customFormat="false" ht="12.8" hidden="false" customHeight="false" outlineLevel="0" collapsed="false">
      <c r="A1772" s="0" t="n">
        <v>449352</v>
      </c>
      <c r="B1772" s="0" t="n">
        <v>535308</v>
      </c>
      <c r="C1772" s="0" t="n">
        <v>601925</v>
      </c>
      <c r="D1772" s="0" t="s">
        <v>35</v>
      </c>
      <c r="E1772" s="0" t="s">
        <v>35</v>
      </c>
      <c r="F1772" s="0" t="s">
        <v>480</v>
      </c>
      <c r="G1772" s="0" t="s">
        <v>37</v>
      </c>
      <c r="H1772" s="0" t="s">
        <v>5900</v>
      </c>
      <c r="J1772" s="0" t="s">
        <v>5901</v>
      </c>
      <c r="M1772" s="0" t="s">
        <v>5902</v>
      </c>
      <c r="N1772" s="0" t="s">
        <v>5903</v>
      </c>
      <c r="O1772" s="0" t="s">
        <v>5904</v>
      </c>
      <c r="P1772" s="0" t="n">
        <v>1869</v>
      </c>
      <c r="Q1772" s="0" t="s">
        <v>39</v>
      </c>
      <c r="R1772" s="0" t="s">
        <v>5905</v>
      </c>
      <c r="S1772" s="0" t="s">
        <v>5906</v>
      </c>
      <c r="T1772" s="0" t="n">
        <v>1986</v>
      </c>
      <c r="V1772" s="0" t="n">
        <v>1</v>
      </c>
      <c r="W1772" s="0" t="n">
        <v>1</v>
      </c>
      <c r="X1772" s="0" t="str">
        <f aca="false">"31811010754656"</f>
        <v>31811010754656</v>
      </c>
      <c r="Y1772" s="0" t="s">
        <v>39</v>
      </c>
      <c r="Z1772" s="0" t="s">
        <v>42</v>
      </c>
      <c r="AA1772" s="0" t="s">
        <v>43</v>
      </c>
      <c r="AE1772" s="1" t="s">
        <v>52</v>
      </c>
      <c r="AF1772" s="1" t="s">
        <v>623</v>
      </c>
    </row>
    <row r="1773" customFormat="false" ht="12.8" hidden="false" customHeight="false" outlineLevel="0" collapsed="false">
      <c r="A1773" s="0" t="n">
        <v>449352</v>
      </c>
      <c r="B1773" s="0" t="n">
        <v>535308</v>
      </c>
      <c r="C1773" s="0" t="n">
        <v>601926</v>
      </c>
      <c r="D1773" s="0" t="s">
        <v>35</v>
      </c>
      <c r="E1773" s="0" t="s">
        <v>35</v>
      </c>
      <c r="F1773" s="0" t="s">
        <v>480</v>
      </c>
      <c r="G1773" s="0" t="s">
        <v>37</v>
      </c>
      <c r="H1773" s="0" t="s">
        <v>5900</v>
      </c>
      <c r="J1773" s="0" t="s">
        <v>5901</v>
      </c>
      <c r="M1773" s="0" t="s">
        <v>5902</v>
      </c>
      <c r="N1773" s="0" t="s">
        <v>5903</v>
      </c>
      <c r="O1773" s="0" t="s">
        <v>5904</v>
      </c>
      <c r="P1773" s="0" t="n">
        <v>1869</v>
      </c>
      <c r="Q1773" s="0" t="s">
        <v>39</v>
      </c>
      <c r="R1773" s="0" t="s">
        <v>5905</v>
      </c>
      <c r="S1773" s="0" t="s">
        <v>5906</v>
      </c>
      <c r="T1773" s="0" t="n">
        <v>1985</v>
      </c>
      <c r="V1773" s="0" t="n">
        <v>1</v>
      </c>
      <c r="W1773" s="0" t="n">
        <v>1</v>
      </c>
      <c r="X1773" s="0" t="str">
        <f aca="false">"31811010754664"</f>
        <v>31811010754664</v>
      </c>
      <c r="Y1773" s="0" t="s">
        <v>39</v>
      </c>
      <c r="Z1773" s="0" t="s">
        <v>42</v>
      </c>
      <c r="AA1773" s="0" t="s">
        <v>43</v>
      </c>
      <c r="AE1773" s="1" t="s">
        <v>52</v>
      </c>
      <c r="AF1773" s="1" t="s">
        <v>623</v>
      </c>
    </row>
    <row r="1774" customFormat="false" ht="12.8" hidden="false" customHeight="false" outlineLevel="0" collapsed="false">
      <c r="A1774" s="0" t="n">
        <v>449352</v>
      </c>
      <c r="B1774" s="0" t="n">
        <v>535308</v>
      </c>
      <c r="C1774" s="0" t="n">
        <v>601927</v>
      </c>
      <c r="D1774" s="0" t="s">
        <v>35</v>
      </c>
      <c r="E1774" s="0" t="s">
        <v>35</v>
      </c>
      <c r="F1774" s="0" t="s">
        <v>480</v>
      </c>
      <c r="G1774" s="0" t="s">
        <v>37</v>
      </c>
      <c r="H1774" s="0" t="s">
        <v>5900</v>
      </c>
      <c r="J1774" s="0" t="s">
        <v>5901</v>
      </c>
      <c r="M1774" s="0" t="s">
        <v>5902</v>
      </c>
      <c r="N1774" s="0" t="s">
        <v>5903</v>
      </c>
      <c r="O1774" s="0" t="s">
        <v>5904</v>
      </c>
      <c r="P1774" s="0" t="n">
        <v>1869</v>
      </c>
      <c r="Q1774" s="0" t="s">
        <v>39</v>
      </c>
      <c r="R1774" s="0" t="s">
        <v>5905</v>
      </c>
      <c r="S1774" s="0" t="s">
        <v>5906</v>
      </c>
      <c r="T1774" s="0" t="n">
        <v>1984</v>
      </c>
      <c r="V1774" s="0" t="n">
        <v>1</v>
      </c>
      <c r="W1774" s="0" t="n">
        <v>1</v>
      </c>
      <c r="X1774" s="0" t="str">
        <f aca="false">"31811010754672"</f>
        <v>31811010754672</v>
      </c>
      <c r="Y1774" s="0" t="s">
        <v>39</v>
      </c>
      <c r="Z1774" s="0" t="s">
        <v>42</v>
      </c>
      <c r="AA1774" s="0" t="s">
        <v>43</v>
      </c>
      <c r="AE1774" s="1" t="s">
        <v>52</v>
      </c>
      <c r="AF1774" s="1" t="s">
        <v>623</v>
      </c>
    </row>
    <row r="1775" customFormat="false" ht="12.8" hidden="false" customHeight="false" outlineLevel="0" collapsed="false">
      <c r="A1775" s="0" t="n">
        <v>449352</v>
      </c>
      <c r="B1775" s="0" t="n">
        <v>535308</v>
      </c>
      <c r="C1775" s="0" t="n">
        <v>601928</v>
      </c>
      <c r="D1775" s="0" t="s">
        <v>35</v>
      </c>
      <c r="E1775" s="0" t="s">
        <v>35</v>
      </c>
      <c r="F1775" s="0" t="s">
        <v>480</v>
      </c>
      <c r="G1775" s="0" t="s">
        <v>37</v>
      </c>
      <c r="H1775" s="0" t="s">
        <v>5900</v>
      </c>
      <c r="J1775" s="0" t="s">
        <v>5901</v>
      </c>
      <c r="M1775" s="0" t="s">
        <v>5902</v>
      </c>
      <c r="N1775" s="0" t="s">
        <v>5903</v>
      </c>
      <c r="O1775" s="0" t="s">
        <v>5904</v>
      </c>
      <c r="P1775" s="0" t="n">
        <v>1869</v>
      </c>
      <c r="Q1775" s="0" t="s">
        <v>39</v>
      </c>
      <c r="R1775" s="0" t="s">
        <v>5905</v>
      </c>
      <c r="S1775" s="0" t="s">
        <v>5906</v>
      </c>
      <c r="T1775" s="0" t="n">
        <v>1983</v>
      </c>
      <c r="V1775" s="0" t="n">
        <v>1</v>
      </c>
      <c r="W1775" s="0" t="n">
        <v>1</v>
      </c>
      <c r="X1775" s="0" t="str">
        <f aca="false">"31811010754680"</f>
        <v>31811010754680</v>
      </c>
      <c r="Y1775" s="0" t="s">
        <v>39</v>
      </c>
      <c r="Z1775" s="0" t="s">
        <v>42</v>
      </c>
      <c r="AA1775" s="0" t="s">
        <v>43</v>
      </c>
      <c r="AE1775" s="1" t="s">
        <v>52</v>
      </c>
      <c r="AF1775" s="1" t="s">
        <v>623</v>
      </c>
    </row>
    <row r="1776" customFormat="false" ht="12.8" hidden="false" customHeight="false" outlineLevel="0" collapsed="false">
      <c r="A1776" s="0" t="n">
        <v>449352</v>
      </c>
      <c r="B1776" s="0" t="n">
        <v>535308</v>
      </c>
      <c r="C1776" s="0" t="n">
        <v>601929</v>
      </c>
      <c r="D1776" s="0" t="s">
        <v>35</v>
      </c>
      <c r="E1776" s="0" t="s">
        <v>35</v>
      </c>
      <c r="F1776" s="0" t="s">
        <v>480</v>
      </c>
      <c r="G1776" s="0" t="s">
        <v>37</v>
      </c>
      <c r="H1776" s="0" t="s">
        <v>5900</v>
      </c>
      <c r="J1776" s="0" t="s">
        <v>5901</v>
      </c>
      <c r="M1776" s="0" t="s">
        <v>5902</v>
      </c>
      <c r="N1776" s="0" t="s">
        <v>5903</v>
      </c>
      <c r="O1776" s="0" t="s">
        <v>5904</v>
      </c>
      <c r="P1776" s="0" t="n">
        <v>1869</v>
      </c>
      <c r="Q1776" s="0" t="s">
        <v>39</v>
      </c>
      <c r="R1776" s="0" t="s">
        <v>5905</v>
      </c>
      <c r="S1776" s="0" t="s">
        <v>5906</v>
      </c>
      <c r="T1776" s="0" t="n">
        <v>1982</v>
      </c>
      <c r="V1776" s="0" t="n">
        <v>1</v>
      </c>
      <c r="W1776" s="0" t="n">
        <v>1</v>
      </c>
      <c r="X1776" s="0" t="str">
        <f aca="false">"31811010754698"</f>
        <v>31811010754698</v>
      </c>
      <c r="Y1776" s="0" t="s">
        <v>39</v>
      </c>
      <c r="Z1776" s="0" t="s">
        <v>42</v>
      </c>
      <c r="AA1776" s="0" t="s">
        <v>43</v>
      </c>
      <c r="AE1776" s="1" t="s">
        <v>52</v>
      </c>
      <c r="AF1776" s="1" t="s">
        <v>623</v>
      </c>
    </row>
    <row r="1777" customFormat="false" ht="12.8" hidden="false" customHeight="false" outlineLevel="0" collapsed="false">
      <c r="A1777" s="0" t="n">
        <v>449352</v>
      </c>
      <c r="B1777" s="0" t="n">
        <v>535308</v>
      </c>
      <c r="C1777" s="0" t="n">
        <v>601930</v>
      </c>
      <c r="D1777" s="0" t="s">
        <v>35</v>
      </c>
      <c r="E1777" s="0" t="s">
        <v>35</v>
      </c>
      <c r="F1777" s="0" t="s">
        <v>480</v>
      </c>
      <c r="G1777" s="0" t="s">
        <v>37</v>
      </c>
      <c r="H1777" s="0" t="s">
        <v>5900</v>
      </c>
      <c r="J1777" s="0" t="s">
        <v>5901</v>
      </c>
      <c r="M1777" s="0" t="s">
        <v>5902</v>
      </c>
      <c r="N1777" s="0" t="s">
        <v>5903</v>
      </c>
      <c r="O1777" s="0" t="s">
        <v>5904</v>
      </c>
      <c r="P1777" s="0" t="n">
        <v>1869</v>
      </c>
      <c r="Q1777" s="0" t="s">
        <v>39</v>
      </c>
      <c r="R1777" s="0" t="s">
        <v>5905</v>
      </c>
      <c r="S1777" s="0" t="s">
        <v>5906</v>
      </c>
      <c r="T1777" s="0" t="n">
        <v>1981</v>
      </c>
      <c r="V1777" s="0" t="n">
        <v>1</v>
      </c>
      <c r="W1777" s="0" t="n">
        <v>1</v>
      </c>
      <c r="X1777" s="0" t="str">
        <f aca="false">"31811010754706"</f>
        <v>31811010754706</v>
      </c>
      <c r="Y1777" s="0" t="s">
        <v>39</v>
      </c>
      <c r="Z1777" s="0" t="s">
        <v>42</v>
      </c>
      <c r="AA1777" s="0" t="s">
        <v>43</v>
      </c>
      <c r="AE1777" s="1" t="s">
        <v>52</v>
      </c>
      <c r="AF1777" s="1" t="s">
        <v>623</v>
      </c>
    </row>
    <row r="1778" customFormat="false" ht="12.8" hidden="false" customHeight="false" outlineLevel="0" collapsed="false">
      <c r="A1778" s="0" t="n">
        <v>449352</v>
      </c>
      <c r="B1778" s="0" t="n">
        <v>535308</v>
      </c>
      <c r="C1778" s="0" t="n">
        <v>601931</v>
      </c>
      <c r="D1778" s="0" t="s">
        <v>35</v>
      </c>
      <c r="E1778" s="0" t="s">
        <v>35</v>
      </c>
      <c r="F1778" s="0" t="s">
        <v>480</v>
      </c>
      <c r="G1778" s="0" t="s">
        <v>37</v>
      </c>
      <c r="H1778" s="0" t="s">
        <v>5900</v>
      </c>
      <c r="J1778" s="0" t="s">
        <v>5901</v>
      </c>
      <c r="M1778" s="0" t="s">
        <v>5902</v>
      </c>
      <c r="N1778" s="0" t="s">
        <v>5903</v>
      </c>
      <c r="O1778" s="0" t="s">
        <v>5904</v>
      </c>
      <c r="P1778" s="0" t="n">
        <v>1869</v>
      </c>
      <c r="Q1778" s="0" t="s">
        <v>39</v>
      </c>
      <c r="R1778" s="0" t="s">
        <v>5905</v>
      </c>
      <c r="S1778" s="0" t="s">
        <v>5906</v>
      </c>
      <c r="T1778" s="0" t="n">
        <v>1980</v>
      </c>
      <c r="V1778" s="0" t="n">
        <v>1</v>
      </c>
      <c r="W1778" s="0" t="n">
        <v>1</v>
      </c>
      <c r="X1778" s="0" t="str">
        <f aca="false">"31811010754714"</f>
        <v>31811010754714</v>
      </c>
      <c r="Y1778" s="0" t="s">
        <v>39</v>
      </c>
      <c r="Z1778" s="0" t="s">
        <v>42</v>
      </c>
      <c r="AA1778" s="0" t="s">
        <v>43</v>
      </c>
      <c r="AE1778" s="1" t="s">
        <v>52</v>
      </c>
      <c r="AF1778" s="1" t="s">
        <v>623</v>
      </c>
    </row>
    <row r="1779" customFormat="false" ht="12.8" hidden="false" customHeight="false" outlineLevel="0" collapsed="false">
      <c r="A1779" s="0" t="n">
        <v>449352</v>
      </c>
      <c r="B1779" s="0" t="n">
        <v>535308</v>
      </c>
      <c r="C1779" s="0" t="n">
        <v>601932</v>
      </c>
      <c r="D1779" s="0" t="s">
        <v>35</v>
      </c>
      <c r="E1779" s="0" t="s">
        <v>35</v>
      </c>
      <c r="F1779" s="0" t="s">
        <v>480</v>
      </c>
      <c r="G1779" s="0" t="s">
        <v>37</v>
      </c>
      <c r="H1779" s="0" t="s">
        <v>5900</v>
      </c>
      <c r="J1779" s="0" t="s">
        <v>5901</v>
      </c>
      <c r="M1779" s="0" t="s">
        <v>5902</v>
      </c>
      <c r="N1779" s="0" t="s">
        <v>5903</v>
      </c>
      <c r="O1779" s="0" t="s">
        <v>5904</v>
      </c>
      <c r="P1779" s="0" t="n">
        <v>1869</v>
      </c>
      <c r="Q1779" s="0" t="s">
        <v>39</v>
      </c>
      <c r="R1779" s="0" t="s">
        <v>5905</v>
      </c>
      <c r="S1779" s="0" t="s">
        <v>5906</v>
      </c>
      <c r="T1779" s="0" t="n">
        <v>1979</v>
      </c>
      <c r="V1779" s="0" t="n">
        <v>1</v>
      </c>
      <c r="W1779" s="0" t="n">
        <v>1</v>
      </c>
      <c r="X1779" s="0" t="str">
        <f aca="false">"31811010754722"</f>
        <v>31811010754722</v>
      </c>
      <c r="Y1779" s="0" t="s">
        <v>39</v>
      </c>
      <c r="Z1779" s="0" t="s">
        <v>42</v>
      </c>
      <c r="AA1779" s="0" t="s">
        <v>43</v>
      </c>
      <c r="AE1779" s="1" t="s">
        <v>52</v>
      </c>
      <c r="AF1779" s="1" t="s">
        <v>623</v>
      </c>
    </row>
    <row r="1780" customFormat="false" ht="12.8" hidden="false" customHeight="false" outlineLevel="0" collapsed="false">
      <c r="A1780" s="0" t="n">
        <v>449352</v>
      </c>
      <c r="B1780" s="0" t="n">
        <v>535308</v>
      </c>
      <c r="C1780" s="0" t="n">
        <v>601933</v>
      </c>
      <c r="D1780" s="0" t="s">
        <v>35</v>
      </c>
      <c r="E1780" s="0" t="s">
        <v>35</v>
      </c>
      <c r="F1780" s="0" t="s">
        <v>480</v>
      </c>
      <c r="G1780" s="0" t="s">
        <v>37</v>
      </c>
      <c r="H1780" s="0" t="s">
        <v>5900</v>
      </c>
      <c r="J1780" s="0" t="s">
        <v>5901</v>
      </c>
      <c r="M1780" s="0" t="s">
        <v>5902</v>
      </c>
      <c r="N1780" s="0" t="s">
        <v>5903</v>
      </c>
      <c r="O1780" s="0" t="s">
        <v>5904</v>
      </c>
      <c r="P1780" s="0" t="n">
        <v>1869</v>
      </c>
      <c r="Q1780" s="0" t="s">
        <v>39</v>
      </c>
      <c r="R1780" s="0" t="s">
        <v>5905</v>
      </c>
      <c r="S1780" s="0" t="s">
        <v>5906</v>
      </c>
      <c r="T1780" s="0" t="n">
        <v>1978</v>
      </c>
      <c r="V1780" s="0" t="n">
        <v>1</v>
      </c>
      <c r="W1780" s="0" t="n">
        <v>1</v>
      </c>
      <c r="X1780" s="0" t="str">
        <f aca="false">"31811010754730"</f>
        <v>31811010754730</v>
      </c>
      <c r="Y1780" s="0" t="s">
        <v>39</v>
      </c>
      <c r="Z1780" s="0" t="s">
        <v>42</v>
      </c>
      <c r="AA1780" s="0" t="s">
        <v>43</v>
      </c>
      <c r="AE1780" s="1" t="s">
        <v>52</v>
      </c>
      <c r="AF1780" s="1" t="s">
        <v>623</v>
      </c>
    </row>
    <row r="1781" customFormat="false" ht="12.8" hidden="false" customHeight="false" outlineLevel="0" collapsed="false">
      <c r="A1781" s="0" t="n">
        <v>449352</v>
      </c>
      <c r="B1781" s="0" t="n">
        <v>535308</v>
      </c>
      <c r="C1781" s="0" t="n">
        <v>601934</v>
      </c>
      <c r="D1781" s="0" t="s">
        <v>35</v>
      </c>
      <c r="E1781" s="0" t="s">
        <v>35</v>
      </c>
      <c r="F1781" s="0" t="s">
        <v>480</v>
      </c>
      <c r="G1781" s="0" t="s">
        <v>37</v>
      </c>
      <c r="H1781" s="0" t="s">
        <v>5900</v>
      </c>
      <c r="J1781" s="0" t="s">
        <v>5901</v>
      </c>
      <c r="M1781" s="0" t="s">
        <v>5902</v>
      </c>
      <c r="N1781" s="0" t="s">
        <v>5903</v>
      </c>
      <c r="O1781" s="0" t="s">
        <v>5904</v>
      </c>
      <c r="P1781" s="0" t="n">
        <v>1869</v>
      </c>
      <c r="Q1781" s="0" t="s">
        <v>39</v>
      </c>
      <c r="R1781" s="0" t="s">
        <v>5905</v>
      </c>
      <c r="S1781" s="0" t="s">
        <v>5906</v>
      </c>
      <c r="T1781" s="0" t="n">
        <v>1970</v>
      </c>
      <c r="V1781" s="0" t="n">
        <v>1</v>
      </c>
      <c r="W1781" s="0" t="n">
        <v>1</v>
      </c>
      <c r="X1781" s="0" t="str">
        <f aca="false">"31811010754748"</f>
        <v>31811010754748</v>
      </c>
      <c r="Y1781" s="0" t="s">
        <v>39</v>
      </c>
      <c r="Z1781" s="0" t="s">
        <v>42</v>
      </c>
      <c r="AA1781" s="0" t="s">
        <v>43</v>
      </c>
      <c r="AE1781" s="1" t="s">
        <v>52</v>
      </c>
      <c r="AF1781" s="1" t="s">
        <v>623</v>
      </c>
    </row>
    <row r="1782" customFormat="false" ht="12.8" hidden="false" customHeight="false" outlineLevel="0" collapsed="false">
      <c r="A1782" s="0" t="n">
        <v>449352</v>
      </c>
      <c r="B1782" s="0" t="n">
        <v>535308</v>
      </c>
      <c r="C1782" s="0" t="n">
        <v>601935</v>
      </c>
      <c r="D1782" s="0" t="s">
        <v>35</v>
      </c>
      <c r="E1782" s="0" t="s">
        <v>35</v>
      </c>
      <c r="F1782" s="0" t="s">
        <v>480</v>
      </c>
      <c r="G1782" s="0" t="s">
        <v>37</v>
      </c>
      <c r="H1782" s="0" t="s">
        <v>5900</v>
      </c>
      <c r="J1782" s="0" t="s">
        <v>5901</v>
      </c>
      <c r="M1782" s="0" t="s">
        <v>5902</v>
      </c>
      <c r="N1782" s="0" t="s">
        <v>5903</v>
      </c>
      <c r="O1782" s="0" t="s">
        <v>5904</v>
      </c>
      <c r="P1782" s="0" t="n">
        <v>1869</v>
      </c>
      <c r="Q1782" s="0" t="s">
        <v>39</v>
      </c>
      <c r="R1782" s="0" t="s">
        <v>5905</v>
      </c>
      <c r="S1782" s="0" t="s">
        <v>5906</v>
      </c>
      <c r="T1782" s="0" t="n">
        <v>1969</v>
      </c>
      <c r="V1782" s="0" t="n">
        <v>1</v>
      </c>
      <c r="W1782" s="0" t="n">
        <v>1</v>
      </c>
      <c r="X1782" s="0" t="str">
        <f aca="false">"31811010754755"</f>
        <v>31811010754755</v>
      </c>
      <c r="Y1782" s="0" t="s">
        <v>39</v>
      </c>
      <c r="Z1782" s="0" t="s">
        <v>42</v>
      </c>
      <c r="AA1782" s="0" t="s">
        <v>43</v>
      </c>
      <c r="AE1782" s="1" t="s">
        <v>52</v>
      </c>
      <c r="AF1782" s="1" t="s">
        <v>623</v>
      </c>
    </row>
    <row r="1783" customFormat="false" ht="12.8" hidden="false" customHeight="false" outlineLevel="0" collapsed="false">
      <c r="A1783" s="0" t="n">
        <v>449352</v>
      </c>
      <c r="B1783" s="0" t="n">
        <v>535308</v>
      </c>
      <c r="C1783" s="0" t="n">
        <v>601937</v>
      </c>
      <c r="D1783" s="0" t="s">
        <v>35</v>
      </c>
      <c r="E1783" s="0" t="s">
        <v>35</v>
      </c>
      <c r="F1783" s="0" t="s">
        <v>480</v>
      </c>
      <c r="G1783" s="0" t="s">
        <v>37</v>
      </c>
      <c r="H1783" s="0" t="s">
        <v>5900</v>
      </c>
      <c r="J1783" s="0" t="s">
        <v>5901</v>
      </c>
      <c r="M1783" s="0" t="s">
        <v>5902</v>
      </c>
      <c r="N1783" s="0" t="s">
        <v>5903</v>
      </c>
      <c r="O1783" s="0" t="s">
        <v>5904</v>
      </c>
      <c r="P1783" s="0" t="n">
        <v>1869</v>
      </c>
      <c r="Q1783" s="0" t="s">
        <v>39</v>
      </c>
      <c r="R1783" s="0" t="s">
        <v>5905</v>
      </c>
      <c r="S1783" s="0" t="s">
        <v>5906</v>
      </c>
      <c r="T1783" s="0" t="n">
        <v>1967</v>
      </c>
      <c r="V1783" s="0" t="n">
        <v>1</v>
      </c>
      <c r="W1783" s="0" t="n">
        <v>1</v>
      </c>
      <c r="X1783" s="0" t="str">
        <f aca="false">"31811010754763"</f>
        <v>31811010754763</v>
      </c>
      <c r="Y1783" s="0" t="s">
        <v>39</v>
      </c>
      <c r="Z1783" s="0" t="s">
        <v>42</v>
      </c>
      <c r="AA1783" s="0" t="s">
        <v>43</v>
      </c>
      <c r="AE1783" s="1" t="s">
        <v>52</v>
      </c>
      <c r="AF1783" s="1" t="s">
        <v>623</v>
      </c>
    </row>
    <row r="1784" customFormat="false" ht="12.8" hidden="false" customHeight="false" outlineLevel="0" collapsed="false">
      <c r="A1784" s="0" t="n">
        <v>449352</v>
      </c>
      <c r="B1784" s="0" t="n">
        <v>535308</v>
      </c>
      <c r="C1784" s="0" t="n">
        <v>601938</v>
      </c>
      <c r="D1784" s="0" t="s">
        <v>35</v>
      </c>
      <c r="E1784" s="0" t="s">
        <v>35</v>
      </c>
      <c r="F1784" s="0" t="s">
        <v>480</v>
      </c>
      <c r="G1784" s="0" t="s">
        <v>37</v>
      </c>
      <c r="H1784" s="0" t="s">
        <v>5900</v>
      </c>
      <c r="J1784" s="0" t="s">
        <v>5901</v>
      </c>
      <c r="M1784" s="0" t="s">
        <v>5902</v>
      </c>
      <c r="N1784" s="0" t="s">
        <v>5903</v>
      </c>
      <c r="O1784" s="0" t="s">
        <v>5904</v>
      </c>
      <c r="P1784" s="0" t="n">
        <v>1869</v>
      </c>
      <c r="Q1784" s="0" t="s">
        <v>39</v>
      </c>
      <c r="R1784" s="0" t="s">
        <v>5905</v>
      </c>
      <c r="S1784" s="0" t="s">
        <v>5906</v>
      </c>
      <c r="T1784" s="0" t="n">
        <v>1964</v>
      </c>
      <c r="V1784" s="0" t="n">
        <v>1</v>
      </c>
      <c r="W1784" s="0" t="n">
        <v>1</v>
      </c>
      <c r="X1784" s="0" t="str">
        <f aca="false">"31811010754771"</f>
        <v>31811010754771</v>
      </c>
      <c r="Y1784" s="0" t="s">
        <v>39</v>
      </c>
      <c r="Z1784" s="0" t="s">
        <v>42</v>
      </c>
      <c r="AA1784" s="0" t="s">
        <v>43</v>
      </c>
      <c r="AE1784" s="1" t="s">
        <v>52</v>
      </c>
      <c r="AF1784" s="1" t="s">
        <v>623</v>
      </c>
    </row>
    <row r="1785" customFormat="false" ht="12.8" hidden="false" customHeight="false" outlineLevel="0" collapsed="false">
      <c r="A1785" s="0" t="n">
        <v>450312</v>
      </c>
      <c r="B1785" s="0" t="n">
        <v>536349</v>
      </c>
      <c r="C1785" s="0" t="n">
        <v>603100</v>
      </c>
      <c r="D1785" s="0" t="s">
        <v>35</v>
      </c>
      <c r="E1785" s="0" t="s">
        <v>35</v>
      </c>
      <c r="F1785" s="0" t="s">
        <v>480</v>
      </c>
      <c r="G1785" s="0" t="s">
        <v>37</v>
      </c>
      <c r="H1785" s="0" t="s">
        <v>5907</v>
      </c>
      <c r="J1785" s="0" t="s">
        <v>5907</v>
      </c>
      <c r="M1785" s="0" t="s">
        <v>5908</v>
      </c>
      <c r="N1785" s="0" t="s">
        <v>5909</v>
      </c>
      <c r="O1785" s="0" t="s">
        <v>5904</v>
      </c>
      <c r="P1785" s="0" t="n">
        <v>1993</v>
      </c>
      <c r="Q1785" s="0" t="s">
        <v>39</v>
      </c>
      <c r="R1785" s="0" t="s">
        <v>5910</v>
      </c>
      <c r="S1785" s="0" t="s">
        <v>5911</v>
      </c>
      <c r="T1785" s="0" t="s">
        <v>5912</v>
      </c>
      <c r="V1785" s="0" t="n">
        <v>1</v>
      </c>
      <c r="W1785" s="0" t="n">
        <v>1</v>
      </c>
      <c r="X1785" s="0" t="str">
        <f aca="false">"31811012051531"</f>
        <v>31811012051531</v>
      </c>
      <c r="Y1785" s="0" t="s">
        <v>39</v>
      </c>
      <c r="Z1785" s="0" t="s">
        <v>42</v>
      </c>
      <c r="AA1785" s="0" t="s">
        <v>622</v>
      </c>
      <c r="AE1785" s="1" t="s">
        <v>52</v>
      </c>
      <c r="AF1785" s="1" t="s">
        <v>5913</v>
      </c>
      <c r="AG1785" s="0" t="n">
        <v>4062</v>
      </c>
    </row>
    <row r="1786" customFormat="false" ht="12.8" hidden="false" customHeight="false" outlineLevel="0" collapsed="false">
      <c r="A1786" s="0" t="n">
        <v>450312</v>
      </c>
      <c r="B1786" s="0" t="n">
        <v>536349</v>
      </c>
      <c r="C1786" s="0" t="n">
        <v>603101</v>
      </c>
      <c r="D1786" s="0" t="s">
        <v>35</v>
      </c>
      <c r="E1786" s="0" t="s">
        <v>35</v>
      </c>
      <c r="F1786" s="0" t="s">
        <v>480</v>
      </c>
      <c r="G1786" s="0" t="s">
        <v>37</v>
      </c>
      <c r="H1786" s="0" t="s">
        <v>5907</v>
      </c>
      <c r="J1786" s="0" t="s">
        <v>5907</v>
      </c>
      <c r="M1786" s="0" t="s">
        <v>5908</v>
      </c>
      <c r="N1786" s="0" t="s">
        <v>5909</v>
      </c>
      <c r="O1786" s="0" t="s">
        <v>5904</v>
      </c>
      <c r="P1786" s="0" t="n">
        <v>1993</v>
      </c>
      <c r="Q1786" s="0" t="s">
        <v>39</v>
      </c>
      <c r="R1786" s="0" t="s">
        <v>5910</v>
      </c>
      <c r="S1786" s="0" t="s">
        <v>5911</v>
      </c>
      <c r="T1786" s="0" t="s">
        <v>5914</v>
      </c>
      <c r="V1786" s="0" t="n">
        <v>1</v>
      </c>
      <c r="W1786" s="0" t="n">
        <v>1</v>
      </c>
      <c r="X1786" s="0" t="str">
        <f aca="false">"31811011761304"</f>
        <v>31811011761304</v>
      </c>
      <c r="Y1786" s="0" t="s">
        <v>39</v>
      </c>
      <c r="Z1786" s="0" t="s">
        <v>42</v>
      </c>
      <c r="AA1786" s="0" t="s">
        <v>622</v>
      </c>
      <c r="AE1786" s="1" t="s">
        <v>52</v>
      </c>
      <c r="AF1786" s="1" t="s">
        <v>5913</v>
      </c>
      <c r="AG1786" s="0" t="n">
        <v>4062</v>
      </c>
    </row>
    <row r="1787" customFormat="false" ht="12.8" hidden="false" customHeight="false" outlineLevel="0" collapsed="false">
      <c r="A1787" s="0" t="n">
        <v>450312</v>
      </c>
      <c r="B1787" s="0" t="n">
        <v>536349</v>
      </c>
      <c r="C1787" s="0" t="n">
        <v>603102</v>
      </c>
      <c r="D1787" s="0" t="s">
        <v>35</v>
      </c>
      <c r="E1787" s="0" t="s">
        <v>35</v>
      </c>
      <c r="F1787" s="0" t="s">
        <v>480</v>
      </c>
      <c r="G1787" s="0" t="s">
        <v>37</v>
      </c>
      <c r="H1787" s="0" t="s">
        <v>5907</v>
      </c>
      <c r="J1787" s="0" t="s">
        <v>5907</v>
      </c>
      <c r="M1787" s="0" t="s">
        <v>5908</v>
      </c>
      <c r="N1787" s="0" t="s">
        <v>5909</v>
      </c>
      <c r="O1787" s="0" t="s">
        <v>5904</v>
      </c>
      <c r="P1787" s="0" t="n">
        <v>1993</v>
      </c>
      <c r="Q1787" s="0" t="s">
        <v>39</v>
      </c>
      <c r="R1787" s="0" t="s">
        <v>5910</v>
      </c>
      <c r="S1787" s="0" t="s">
        <v>5911</v>
      </c>
      <c r="T1787" s="0" t="s">
        <v>5915</v>
      </c>
      <c r="V1787" s="0" t="n">
        <v>1</v>
      </c>
      <c r="W1787" s="0" t="n">
        <v>1</v>
      </c>
      <c r="X1787" s="0" t="str">
        <f aca="false">"31811010514944"</f>
        <v>31811010514944</v>
      </c>
      <c r="Y1787" s="0" t="s">
        <v>39</v>
      </c>
      <c r="Z1787" s="0" t="s">
        <v>42</v>
      </c>
      <c r="AA1787" s="0" t="s">
        <v>622</v>
      </c>
      <c r="AE1787" s="1" t="s">
        <v>52</v>
      </c>
      <c r="AF1787" s="1" t="s">
        <v>5913</v>
      </c>
      <c r="AG1787" s="0" t="n">
        <v>4062</v>
      </c>
    </row>
    <row r="1788" customFormat="false" ht="12.8" hidden="false" customHeight="false" outlineLevel="0" collapsed="false">
      <c r="A1788" s="0" t="n">
        <v>450312</v>
      </c>
      <c r="B1788" s="0" t="n">
        <v>536349</v>
      </c>
      <c r="C1788" s="0" t="n">
        <v>603103</v>
      </c>
      <c r="D1788" s="0" t="s">
        <v>35</v>
      </c>
      <c r="E1788" s="0" t="s">
        <v>35</v>
      </c>
      <c r="F1788" s="0" t="s">
        <v>480</v>
      </c>
      <c r="G1788" s="0" t="s">
        <v>37</v>
      </c>
      <c r="H1788" s="0" t="s">
        <v>5907</v>
      </c>
      <c r="J1788" s="0" t="s">
        <v>5907</v>
      </c>
      <c r="M1788" s="0" t="s">
        <v>5908</v>
      </c>
      <c r="N1788" s="0" t="s">
        <v>5909</v>
      </c>
      <c r="O1788" s="0" t="s">
        <v>5904</v>
      </c>
      <c r="P1788" s="0" t="n">
        <v>1993</v>
      </c>
      <c r="Q1788" s="0" t="s">
        <v>39</v>
      </c>
      <c r="R1788" s="0" t="s">
        <v>5910</v>
      </c>
      <c r="S1788" s="0" t="s">
        <v>5911</v>
      </c>
      <c r="T1788" s="0" t="s">
        <v>5916</v>
      </c>
      <c r="V1788" s="0" t="n">
        <v>1</v>
      </c>
      <c r="W1788" s="0" t="n">
        <v>1</v>
      </c>
      <c r="X1788" s="0" t="str">
        <f aca="false">"31811011251876"</f>
        <v>31811011251876</v>
      </c>
      <c r="Y1788" s="0" t="s">
        <v>39</v>
      </c>
      <c r="Z1788" s="0" t="s">
        <v>42</v>
      </c>
      <c r="AA1788" s="0" t="s">
        <v>622</v>
      </c>
      <c r="AE1788" s="1" t="s">
        <v>52</v>
      </c>
      <c r="AF1788" s="1" t="s">
        <v>5913</v>
      </c>
      <c r="AG1788" s="0" t="n">
        <v>4062</v>
      </c>
    </row>
    <row r="1789" customFormat="false" ht="12.8" hidden="false" customHeight="false" outlineLevel="0" collapsed="false">
      <c r="A1789" s="0" t="n">
        <v>450312</v>
      </c>
      <c r="B1789" s="0" t="n">
        <v>536349</v>
      </c>
      <c r="C1789" s="0" t="n">
        <v>603104</v>
      </c>
      <c r="D1789" s="0" t="s">
        <v>35</v>
      </c>
      <c r="E1789" s="0" t="s">
        <v>35</v>
      </c>
      <c r="F1789" s="0" t="s">
        <v>480</v>
      </c>
      <c r="G1789" s="0" t="s">
        <v>37</v>
      </c>
      <c r="H1789" s="0" t="s">
        <v>5907</v>
      </c>
      <c r="J1789" s="0" t="s">
        <v>5907</v>
      </c>
      <c r="M1789" s="0" t="s">
        <v>5908</v>
      </c>
      <c r="N1789" s="0" t="s">
        <v>5909</v>
      </c>
      <c r="O1789" s="0" t="s">
        <v>5904</v>
      </c>
      <c r="P1789" s="0" t="n">
        <v>1993</v>
      </c>
      <c r="Q1789" s="0" t="s">
        <v>39</v>
      </c>
      <c r="R1789" s="0" t="s">
        <v>5910</v>
      </c>
      <c r="S1789" s="0" t="s">
        <v>5911</v>
      </c>
      <c r="T1789" s="0" t="s">
        <v>5917</v>
      </c>
      <c r="V1789" s="0" t="n">
        <v>1</v>
      </c>
      <c r="W1789" s="0" t="n">
        <v>1</v>
      </c>
      <c r="X1789" s="0" t="str">
        <f aca="false">"31811011255505"</f>
        <v>31811011255505</v>
      </c>
      <c r="Y1789" s="0" t="s">
        <v>39</v>
      </c>
      <c r="Z1789" s="0" t="s">
        <v>42</v>
      </c>
      <c r="AA1789" s="0" t="s">
        <v>622</v>
      </c>
      <c r="AE1789" s="1" t="s">
        <v>52</v>
      </c>
      <c r="AF1789" s="1" t="s">
        <v>5913</v>
      </c>
      <c r="AG1789" s="0" t="n">
        <v>4062</v>
      </c>
    </row>
    <row r="1790" customFormat="false" ht="12.8" hidden="false" customHeight="false" outlineLevel="0" collapsed="false">
      <c r="A1790" s="0" t="n">
        <v>450312</v>
      </c>
      <c r="B1790" s="0" t="n">
        <v>536349</v>
      </c>
      <c r="C1790" s="0" t="n">
        <v>603105</v>
      </c>
      <c r="D1790" s="0" t="s">
        <v>35</v>
      </c>
      <c r="E1790" s="0" t="s">
        <v>35</v>
      </c>
      <c r="F1790" s="0" t="s">
        <v>480</v>
      </c>
      <c r="G1790" s="0" t="s">
        <v>37</v>
      </c>
      <c r="H1790" s="0" t="s">
        <v>5907</v>
      </c>
      <c r="J1790" s="0" t="s">
        <v>5907</v>
      </c>
      <c r="M1790" s="0" t="s">
        <v>5908</v>
      </c>
      <c r="N1790" s="0" t="s">
        <v>5909</v>
      </c>
      <c r="O1790" s="0" t="s">
        <v>5904</v>
      </c>
      <c r="P1790" s="0" t="n">
        <v>1993</v>
      </c>
      <c r="Q1790" s="0" t="s">
        <v>39</v>
      </c>
      <c r="R1790" s="0" t="s">
        <v>5910</v>
      </c>
      <c r="S1790" s="0" t="s">
        <v>5911</v>
      </c>
      <c r="T1790" s="0" t="s">
        <v>5918</v>
      </c>
      <c r="V1790" s="0" t="n">
        <v>1</v>
      </c>
      <c r="W1790" s="0" t="n">
        <v>1</v>
      </c>
      <c r="X1790" s="0" t="str">
        <f aca="false">"31811010515586"</f>
        <v>31811010515586</v>
      </c>
      <c r="Y1790" s="0" t="s">
        <v>39</v>
      </c>
      <c r="Z1790" s="0" t="s">
        <v>42</v>
      </c>
      <c r="AA1790" s="0" t="s">
        <v>622</v>
      </c>
      <c r="AE1790" s="1" t="s">
        <v>52</v>
      </c>
      <c r="AF1790" s="1" t="s">
        <v>5913</v>
      </c>
      <c r="AG1790" s="0" t="n">
        <v>4062</v>
      </c>
    </row>
    <row r="1791" customFormat="false" ht="12.8" hidden="false" customHeight="false" outlineLevel="0" collapsed="false">
      <c r="A1791" s="0" t="n">
        <v>450312</v>
      </c>
      <c r="B1791" s="0" t="n">
        <v>536349</v>
      </c>
      <c r="C1791" s="0" t="n">
        <v>603106</v>
      </c>
      <c r="D1791" s="0" t="s">
        <v>35</v>
      </c>
      <c r="E1791" s="0" t="s">
        <v>35</v>
      </c>
      <c r="F1791" s="0" t="s">
        <v>480</v>
      </c>
      <c r="G1791" s="0" t="s">
        <v>37</v>
      </c>
      <c r="H1791" s="0" t="s">
        <v>5907</v>
      </c>
      <c r="J1791" s="0" t="s">
        <v>5907</v>
      </c>
      <c r="M1791" s="0" t="s">
        <v>5908</v>
      </c>
      <c r="N1791" s="0" t="s">
        <v>5909</v>
      </c>
      <c r="O1791" s="0" t="s">
        <v>5904</v>
      </c>
      <c r="P1791" s="0" t="n">
        <v>1993</v>
      </c>
      <c r="Q1791" s="0" t="s">
        <v>39</v>
      </c>
      <c r="R1791" s="0" t="s">
        <v>5910</v>
      </c>
      <c r="S1791" s="0" t="s">
        <v>5911</v>
      </c>
      <c r="T1791" s="0" t="s">
        <v>5919</v>
      </c>
      <c r="V1791" s="0" t="n">
        <v>1</v>
      </c>
      <c r="W1791" s="0" t="n">
        <v>1</v>
      </c>
      <c r="X1791" s="0" t="str">
        <f aca="false">"31811010018722"</f>
        <v>31811010018722</v>
      </c>
      <c r="Y1791" s="0" t="s">
        <v>39</v>
      </c>
      <c r="Z1791" s="0" t="s">
        <v>42</v>
      </c>
      <c r="AA1791" s="0" t="s">
        <v>622</v>
      </c>
      <c r="AE1791" s="1" t="s">
        <v>52</v>
      </c>
      <c r="AF1791" s="1" t="s">
        <v>5913</v>
      </c>
      <c r="AG1791" s="0" t="n">
        <v>4062</v>
      </c>
    </row>
    <row r="1792" customFormat="false" ht="12.8" hidden="false" customHeight="false" outlineLevel="0" collapsed="false">
      <c r="A1792" s="0" t="n">
        <v>450312</v>
      </c>
      <c r="B1792" s="0" t="n">
        <v>536349</v>
      </c>
      <c r="C1792" s="0" t="n">
        <v>603107</v>
      </c>
      <c r="D1792" s="0" t="s">
        <v>35</v>
      </c>
      <c r="E1792" s="0" t="s">
        <v>35</v>
      </c>
      <c r="F1792" s="0" t="s">
        <v>480</v>
      </c>
      <c r="G1792" s="0" t="s">
        <v>37</v>
      </c>
      <c r="H1792" s="0" t="s">
        <v>5907</v>
      </c>
      <c r="J1792" s="0" t="s">
        <v>5907</v>
      </c>
      <c r="M1792" s="0" t="s">
        <v>5908</v>
      </c>
      <c r="N1792" s="0" t="s">
        <v>5909</v>
      </c>
      <c r="O1792" s="0" t="s">
        <v>5904</v>
      </c>
      <c r="P1792" s="0" t="n">
        <v>1993</v>
      </c>
      <c r="Q1792" s="0" t="s">
        <v>39</v>
      </c>
      <c r="R1792" s="0" t="s">
        <v>5910</v>
      </c>
      <c r="S1792" s="0" t="s">
        <v>5911</v>
      </c>
      <c r="T1792" s="0" t="s">
        <v>5920</v>
      </c>
      <c r="V1792" s="0" t="n">
        <v>1</v>
      </c>
      <c r="W1792" s="0" t="n">
        <v>1</v>
      </c>
      <c r="X1792" s="0" t="str">
        <f aca="false">"31811010754862"</f>
        <v>31811010754862</v>
      </c>
      <c r="Y1792" s="0" t="s">
        <v>39</v>
      </c>
      <c r="Z1792" s="0" t="s">
        <v>42</v>
      </c>
      <c r="AA1792" s="0" t="s">
        <v>622</v>
      </c>
      <c r="AE1792" s="1" t="s">
        <v>52</v>
      </c>
      <c r="AF1792" s="1" t="s">
        <v>5913</v>
      </c>
      <c r="AG1792" s="0" t="n">
        <v>4062</v>
      </c>
    </row>
    <row r="1793" customFormat="false" ht="12.8" hidden="false" customHeight="false" outlineLevel="0" collapsed="false">
      <c r="A1793" s="0" t="n">
        <v>450312</v>
      </c>
      <c r="B1793" s="0" t="n">
        <v>536349</v>
      </c>
      <c r="C1793" s="0" t="n">
        <v>603108</v>
      </c>
      <c r="D1793" s="0" t="s">
        <v>35</v>
      </c>
      <c r="E1793" s="0" t="s">
        <v>35</v>
      </c>
      <c r="F1793" s="0" t="s">
        <v>480</v>
      </c>
      <c r="G1793" s="0" t="s">
        <v>37</v>
      </c>
      <c r="H1793" s="0" t="s">
        <v>5907</v>
      </c>
      <c r="J1793" s="0" t="s">
        <v>5907</v>
      </c>
      <c r="M1793" s="0" t="s">
        <v>5908</v>
      </c>
      <c r="N1793" s="0" t="s">
        <v>5909</v>
      </c>
      <c r="O1793" s="0" t="s">
        <v>5904</v>
      </c>
      <c r="P1793" s="0" t="n">
        <v>1993</v>
      </c>
      <c r="Q1793" s="0" t="s">
        <v>39</v>
      </c>
      <c r="R1793" s="0" t="s">
        <v>5910</v>
      </c>
      <c r="S1793" s="0" t="s">
        <v>5911</v>
      </c>
      <c r="T1793" s="0" t="s">
        <v>5921</v>
      </c>
      <c r="V1793" s="0" t="n">
        <v>1</v>
      </c>
      <c r="W1793" s="0" t="n">
        <v>1</v>
      </c>
      <c r="X1793" s="0" t="str">
        <f aca="false">"31811010754870"</f>
        <v>31811010754870</v>
      </c>
      <c r="Y1793" s="0" t="s">
        <v>39</v>
      </c>
      <c r="Z1793" s="0" t="s">
        <v>42</v>
      </c>
      <c r="AA1793" s="0" t="s">
        <v>622</v>
      </c>
      <c r="AE1793" s="1" t="s">
        <v>52</v>
      </c>
      <c r="AF1793" s="1" t="s">
        <v>5913</v>
      </c>
      <c r="AG1793" s="0" t="n">
        <v>4062</v>
      </c>
    </row>
    <row r="1794" customFormat="false" ht="12.8" hidden="false" customHeight="false" outlineLevel="0" collapsed="false">
      <c r="A1794" s="0" t="n">
        <v>450312</v>
      </c>
      <c r="B1794" s="0" t="n">
        <v>536349</v>
      </c>
      <c r="C1794" s="0" t="n">
        <v>603109</v>
      </c>
      <c r="D1794" s="0" t="s">
        <v>35</v>
      </c>
      <c r="E1794" s="0" t="s">
        <v>35</v>
      </c>
      <c r="F1794" s="0" t="s">
        <v>480</v>
      </c>
      <c r="G1794" s="0" t="s">
        <v>37</v>
      </c>
      <c r="H1794" s="0" t="s">
        <v>5907</v>
      </c>
      <c r="J1794" s="0" t="s">
        <v>5907</v>
      </c>
      <c r="M1794" s="0" t="s">
        <v>5908</v>
      </c>
      <c r="N1794" s="0" t="s">
        <v>5909</v>
      </c>
      <c r="O1794" s="0" t="s">
        <v>5904</v>
      </c>
      <c r="P1794" s="0" t="n">
        <v>1993</v>
      </c>
      <c r="Q1794" s="0" t="s">
        <v>39</v>
      </c>
      <c r="R1794" s="0" t="s">
        <v>5910</v>
      </c>
      <c r="S1794" s="0" t="s">
        <v>5911</v>
      </c>
      <c r="T1794" s="0" t="s">
        <v>5922</v>
      </c>
      <c r="V1794" s="0" t="n">
        <v>1</v>
      </c>
      <c r="W1794" s="0" t="n">
        <v>1</v>
      </c>
      <c r="X1794" s="0" t="str">
        <f aca="false">"31811012754688"</f>
        <v>31811012754688</v>
      </c>
      <c r="Y1794" s="0" t="s">
        <v>39</v>
      </c>
      <c r="Z1794" s="0" t="s">
        <v>42</v>
      </c>
      <c r="AA1794" s="0" t="s">
        <v>622</v>
      </c>
      <c r="AE1794" s="1" t="s">
        <v>52</v>
      </c>
      <c r="AF1794" s="1" t="s">
        <v>5913</v>
      </c>
      <c r="AG1794" s="0" t="n">
        <v>4062</v>
      </c>
    </row>
    <row r="1795" customFormat="false" ht="12.8" hidden="false" customHeight="false" outlineLevel="0" collapsed="false">
      <c r="A1795" s="0" t="n">
        <v>450312</v>
      </c>
      <c r="B1795" s="0" t="n">
        <v>536349</v>
      </c>
      <c r="C1795" s="0" t="n">
        <v>686388</v>
      </c>
      <c r="D1795" s="0" t="s">
        <v>35</v>
      </c>
      <c r="E1795" s="0" t="s">
        <v>35</v>
      </c>
      <c r="F1795" s="0" t="s">
        <v>480</v>
      </c>
      <c r="G1795" s="0" t="s">
        <v>37</v>
      </c>
      <c r="H1795" s="0" t="s">
        <v>5907</v>
      </c>
      <c r="J1795" s="0" t="s">
        <v>5907</v>
      </c>
      <c r="M1795" s="0" t="s">
        <v>5908</v>
      </c>
      <c r="N1795" s="0" t="s">
        <v>5909</v>
      </c>
      <c r="O1795" s="0" t="s">
        <v>5904</v>
      </c>
      <c r="P1795" s="0" t="n">
        <v>1993</v>
      </c>
      <c r="Q1795" s="0" t="s">
        <v>39</v>
      </c>
      <c r="R1795" s="0" t="s">
        <v>5910</v>
      </c>
      <c r="S1795" s="0" t="s">
        <v>5911</v>
      </c>
      <c r="T1795" s="0" t="s">
        <v>5923</v>
      </c>
      <c r="V1795" s="0" t="n">
        <v>1</v>
      </c>
      <c r="W1795" s="0" t="n">
        <v>1</v>
      </c>
      <c r="X1795" s="0" t="str">
        <f aca="false">"31811012129048"</f>
        <v>31811012129048</v>
      </c>
      <c r="Y1795" s="0" t="s">
        <v>39</v>
      </c>
      <c r="Z1795" s="0" t="s">
        <v>42</v>
      </c>
      <c r="AA1795" s="0" t="s">
        <v>622</v>
      </c>
      <c r="AE1795" s="1" t="s">
        <v>52</v>
      </c>
      <c r="AF1795" s="1" t="s">
        <v>5913</v>
      </c>
      <c r="AG1795" s="0" t="n">
        <v>4062</v>
      </c>
    </row>
    <row r="1796" customFormat="false" ht="12.8" hidden="false" customHeight="false" outlineLevel="0" collapsed="false">
      <c r="A1796" s="0" t="n">
        <v>450312</v>
      </c>
      <c r="B1796" s="0" t="n">
        <v>536349</v>
      </c>
      <c r="C1796" s="0" t="n">
        <v>702510</v>
      </c>
      <c r="D1796" s="0" t="s">
        <v>35</v>
      </c>
      <c r="E1796" s="0" t="s">
        <v>35</v>
      </c>
      <c r="F1796" s="0" t="s">
        <v>480</v>
      </c>
      <c r="G1796" s="0" t="s">
        <v>37</v>
      </c>
      <c r="H1796" s="0" t="s">
        <v>5907</v>
      </c>
      <c r="J1796" s="0" t="s">
        <v>5907</v>
      </c>
      <c r="M1796" s="0" t="s">
        <v>5908</v>
      </c>
      <c r="N1796" s="0" t="s">
        <v>5909</v>
      </c>
      <c r="O1796" s="0" t="s">
        <v>5904</v>
      </c>
      <c r="P1796" s="0" t="n">
        <v>1993</v>
      </c>
      <c r="Q1796" s="0" t="s">
        <v>39</v>
      </c>
      <c r="R1796" s="0" t="s">
        <v>5910</v>
      </c>
      <c r="S1796" s="0" t="s">
        <v>5911</v>
      </c>
      <c r="T1796" s="0" t="s">
        <v>5924</v>
      </c>
      <c r="V1796" s="0" t="n">
        <v>1</v>
      </c>
      <c r="W1796" s="0" t="n">
        <v>1</v>
      </c>
      <c r="X1796" s="0" t="str">
        <f aca="false">"31811012841956"</f>
        <v>31811012841956</v>
      </c>
      <c r="Y1796" s="0" t="s">
        <v>39</v>
      </c>
      <c r="Z1796" s="0" t="s">
        <v>42</v>
      </c>
      <c r="AA1796" s="0" t="s">
        <v>622</v>
      </c>
      <c r="AE1796" s="1" t="s">
        <v>52</v>
      </c>
      <c r="AF1796" s="1" t="s">
        <v>5913</v>
      </c>
      <c r="AG1796" s="0" t="n">
        <v>4062</v>
      </c>
    </row>
    <row r="1797" customFormat="false" ht="12.8" hidden="false" customHeight="false" outlineLevel="0" collapsed="false">
      <c r="A1797" s="0" t="n">
        <v>450312</v>
      </c>
      <c r="B1797" s="0" t="n">
        <v>536349</v>
      </c>
      <c r="C1797" s="0" t="n">
        <v>720971</v>
      </c>
      <c r="D1797" s="0" t="s">
        <v>35</v>
      </c>
      <c r="E1797" s="0" t="s">
        <v>35</v>
      </c>
      <c r="F1797" s="0" t="s">
        <v>480</v>
      </c>
      <c r="G1797" s="0" t="s">
        <v>37</v>
      </c>
      <c r="H1797" s="0" t="s">
        <v>5907</v>
      </c>
      <c r="J1797" s="0" t="s">
        <v>5907</v>
      </c>
      <c r="M1797" s="0" t="s">
        <v>5908</v>
      </c>
      <c r="N1797" s="0" t="s">
        <v>5909</v>
      </c>
      <c r="O1797" s="0" t="s">
        <v>5904</v>
      </c>
      <c r="P1797" s="0" t="n">
        <v>1993</v>
      </c>
      <c r="Q1797" s="0" t="s">
        <v>39</v>
      </c>
      <c r="R1797" s="0" t="s">
        <v>5910</v>
      </c>
      <c r="S1797" s="0" t="s">
        <v>5911</v>
      </c>
      <c r="T1797" s="0" t="s">
        <v>5925</v>
      </c>
      <c r="V1797" s="0" t="n">
        <v>1</v>
      </c>
      <c r="W1797" s="0" t="n">
        <v>1</v>
      </c>
      <c r="X1797" s="0" t="str">
        <f aca="false">"31811012994235"</f>
        <v>31811012994235</v>
      </c>
      <c r="Y1797" s="0" t="s">
        <v>39</v>
      </c>
      <c r="Z1797" s="0" t="s">
        <v>42</v>
      </c>
      <c r="AA1797" s="0" t="s">
        <v>622</v>
      </c>
      <c r="AE1797" s="1" t="s">
        <v>52</v>
      </c>
      <c r="AF1797" s="1" t="s">
        <v>5913</v>
      </c>
      <c r="AG1797" s="0" t="n">
        <v>4062</v>
      </c>
    </row>
    <row r="1798" customFormat="false" ht="12.8" hidden="false" customHeight="false" outlineLevel="0" collapsed="false">
      <c r="A1798" s="0" t="n">
        <v>450312</v>
      </c>
      <c r="B1798" s="0" t="n">
        <v>536349</v>
      </c>
      <c r="C1798" s="0" t="n">
        <v>737521</v>
      </c>
      <c r="D1798" s="0" t="s">
        <v>35</v>
      </c>
      <c r="E1798" s="0" t="s">
        <v>35</v>
      </c>
      <c r="F1798" s="0" t="s">
        <v>480</v>
      </c>
      <c r="G1798" s="0" t="s">
        <v>37</v>
      </c>
      <c r="H1798" s="0" t="s">
        <v>5907</v>
      </c>
      <c r="J1798" s="0" t="s">
        <v>5907</v>
      </c>
      <c r="M1798" s="0" t="s">
        <v>5908</v>
      </c>
      <c r="N1798" s="0" t="s">
        <v>5909</v>
      </c>
      <c r="O1798" s="0" t="s">
        <v>5904</v>
      </c>
      <c r="P1798" s="0" t="n">
        <v>1993</v>
      </c>
      <c r="Q1798" s="0" t="s">
        <v>39</v>
      </c>
      <c r="R1798" s="0" t="s">
        <v>5910</v>
      </c>
      <c r="S1798" s="0" t="s">
        <v>5911</v>
      </c>
      <c r="T1798" s="0" t="s">
        <v>5926</v>
      </c>
      <c r="V1798" s="0" t="n">
        <v>1</v>
      </c>
      <c r="W1798" s="0" t="n">
        <v>1</v>
      </c>
      <c r="X1798" s="0" t="str">
        <f aca="false">"31811012593458"</f>
        <v>31811012593458</v>
      </c>
      <c r="Y1798" s="0" t="s">
        <v>39</v>
      </c>
      <c r="Z1798" s="0" t="s">
        <v>42</v>
      </c>
      <c r="AA1798" s="0" t="s">
        <v>622</v>
      </c>
      <c r="AE1798" s="1" t="s">
        <v>52</v>
      </c>
      <c r="AF1798" s="1" t="s">
        <v>5913</v>
      </c>
      <c r="AG1798" s="0" t="n">
        <v>4062</v>
      </c>
    </row>
    <row r="1799" customFormat="false" ht="12.8" hidden="false" customHeight="false" outlineLevel="0" collapsed="false">
      <c r="A1799" s="0" t="n">
        <v>450312</v>
      </c>
      <c r="B1799" s="0" t="n">
        <v>536349</v>
      </c>
      <c r="C1799" s="0" t="n">
        <v>751219</v>
      </c>
      <c r="D1799" s="0" t="s">
        <v>35</v>
      </c>
      <c r="E1799" s="0" t="s">
        <v>35</v>
      </c>
      <c r="F1799" s="0" t="s">
        <v>480</v>
      </c>
      <c r="G1799" s="0" t="s">
        <v>37</v>
      </c>
      <c r="H1799" s="0" t="s">
        <v>5907</v>
      </c>
      <c r="J1799" s="0" t="s">
        <v>5907</v>
      </c>
      <c r="M1799" s="0" t="s">
        <v>5908</v>
      </c>
      <c r="N1799" s="0" t="s">
        <v>5909</v>
      </c>
      <c r="O1799" s="0" t="s">
        <v>5904</v>
      </c>
      <c r="P1799" s="0" t="n">
        <v>1993</v>
      </c>
      <c r="Q1799" s="0" t="s">
        <v>39</v>
      </c>
      <c r="R1799" s="0" t="s">
        <v>5910</v>
      </c>
      <c r="S1799" s="0" t="s">
        <v>5911</v>
      </c>
      <c r="T1799" s="0" t="s">
        <v>5927</v>
      </c>
      <c r="V1799" s="0" t="n">
        <v>1</v>
      </c>
      <c r="W1799" s="0" t="n">
        <v>1</v>
      </c>
      <c r="X1799" s="0" t="str">
        <f aca="false">"31811012687367"</f>
        <v>31811012687367</v>
      </c>
      <c r="Y1799" s="0" t="s">
        <v>39</v>
      </c>
      <c r="Z1799" s="0" t="s">
        <v>42</v>
      </c>
      <c r="AA1799" s="0" t="s">
        <v>622</v>
      </c>
      <c r="AE1799" s="1" t="s">
        <v>52</v>
      </c>
      <c r="AF1799" s="1" t="s">
        <v>5913</v>
      </c>
      <c r="AG1799" s="0" t="n">
        <v>4062</v>
      </c>
    </row>
    <row r="1800" customFormat="false" ht="12.8" hidden="false" customHeight="false" outlineLevel="0" collapsed="false">
      <c r="A1800" s="0" t="n">
        <v>450312</v>
      </c>
      <c r="B1800" s="0" t="n">
        <v>536349</v>
      </c>
      <c r="C1800" s="0" t="n">
        <v>766231</v>
      </c>
      <c r="D1800" s="0" t="s">
        <v>35</v>
      </c>
      <c r="E1800" s="0" t="s">
        <v>35</v>
      </c>
      <c r="F1800" s="0" t="s">
        <v>480</v>
      </c>
      <c r="G1800" s="0" t="s">
        <v>37</v>
      </c>
      <c r="H1800" s="0" t="s">
        <v>5907</v>
      </c>
      <c r="J1800" s="0" t="s">
        <v>5907</v>
      </c>
      <c r="M1800" s="0" t="s">
        <v>5908</v>
      </c>
      <c r="N1800" s="0" t="s">
        <v>5909</v>
      </c>
      <c r="O1800" s="0" t="s">
        <v>5904</v>
      </c>
      <c r="P1800" s="0" t="n">
        <v>1993</v>
      </c>
      <c r="Q1800" s="0" t="s">
        <v>39</v>
      </c>
      <c r="R1800" s="0" t="s">
        <v>5910</v>
      </c>
      <c r="S1800" s="0" t="s">
        <v>5911</v>
      </c>
      <c r="T1800" s="0" t="s">
        <v>5928</v>
      </c>
      <c r="V1800" s="0" t="n">
        <v>1</v>
      </c>
      <c r="W1800" s="0" t="n">
        <v>1</v>
      </c>
      <c r="X1800" s="0" t="str">
        <f aca="false">"31811012340892"</f>
        <v>31811012340892</v>
      </c>
      <c r="Y1800" s="0" t="s">
        <v>39</v>
      </c>
      <c r="Z1800" s="0" t="s">
        <v>42</v>
      </c>
      <c r="AA1800" s="0" t="s">
        <v>622</v>
      </c>
      <c r="AE1800" s="1" t="s">
        <v>52</v>
      </c>
      <c r="AF1800" s="1" t="s">
        <v>5913</v>
      </c>
      <c r="AG1800" s="0" t="n">
        <v>4062</v>
      </c>
    </row>
    <row r="1801" customFormat="false" ht="12.8" hidden="false" customHeight="false" outlineLevel="0" collapsed="false">
      <c r="A1801" s="0" t="n">
        <v>450312</v>
      </c>
      <c r="B1801" s="0" t="n">
        <v>536349</v>
      </c>
      <c r="C1801" s="0" t="n">
        <v>779439</v>
      </c>
      <c r="D1801" s="0" t="s">
        <v>35</v>
      </c>
      <c r="E1801" s="0" t="s">
        <v>35</v>
      </c>
      <c r="F1801" s="0" t="s">
        <v>480</v>
      </c>
      <c r="G1801" s="0" t="s">
        <v>37</v>
      </c>
      <c r="H1801" s="0" t="s">
        <v>5907</v>
      </c>
      <c r="J1801" s="0" t="s">
        <v>5907</v>
      </c>
      <c r="M1801" s="0" t="s">
        <v>5908</v>
      </c>
      <c r="N1801" s="0" t="s">
        <v>5909</v>
      </c>
      <c r="O1801" s="0" t="s">
        <v>5904</v>
      </c>
      <c r="P1801" s="0" t="n">
        <v>1993</v>
      </c>
      <c r="Q1801" s="0" t="s">
        <v>39</v>
      </c>
      <c r="R1801" s="0" t="s">
        <v>5910</v>
      </c>
      <c r="S1801" s="0" t="s">
        <v>5911</v>
      </c>
      <c r="T1801" s="0" t="s">
        <v>5929</v>
      </c>
      <c r="V1801" s="0" t="n">
        <v>1</v>
      </c>
      <c r="W1801" s="0" t="n">
        <v>1</v>
      </c>
      <c r="X1801" s="0" t="str">
        <f aca="false">"31811013229011"</f>
        <v>31811013229011</v>
      </c>
      <c r="Y1801" s="0" t="s">
        <v>39</v>
      </c>
      <c r="Z1801" s="0" t="s">
        <v>42</v>
      </c>
      <c r="AA1801" s="0" t="s">
        <v>622</v>
      </c>
      <c r="AE1801" s="1" t="s">
        <v>52</v>
      </c>
      <c r="AF1801" s="1" t="s">
        <v>5913</v>
      </c>
      <c r="AG1801" s="0" t="n">
        <v>4062</v>
      </c>
    </row>
    <row r="1802" customFormat="false" ht="12.8" hidden="false" customHeight="false" outlineLevel="0" collapsed="false">
      <c r="A1802" s="0" t="n">
        <v>441677</v>
      </c>
      <c r="B1802" s="0" t="n">
        <v>527247</v>
      </c>
      <c r="C1802" s="0" t="n">
        <v>592138</v>
      </c>
      <c r="D1802" s="0" t="s">
        <v>35</v>
      </c>
      <c r="E1802" s="0" t="s">
        <v>35</v>
      </c>
      <c r="F1802" s="0" t="s">
        <v>36</v>
      </c>
      <c r="G1802" s="0" t="s">
        <v>37</v>
      </c>
      <c r="H1802" s="0" t="s">
        <v>5930</v>
      </c>
      <c r="J1802" s="0" t="s">
        <v>5931</v>
      </c>
      <c r="M1802" s="0" t="s">
        <v>5932</v>
      </c>
      <c r="N1802" s="0" t="s">
        <v>5933</v>
      </c>
      <c r="O1802" s="0" t="s">
        <v>5934</v>
      </c>
      <c r="P1802" s="0" t="n">
        <v>1878</v>
      </c>
      <c r="Q1802" s="0" t="s">
        <v>39</v>
      </c>
      <c r="R1802" s="0" t="s">
        <v>5935</v>
      </c>
      <c r="S1802" s="0" t="s">
        <v>5936</v>
      </c>
      <c r="T1802" s="0" t="s">
        <v>51</v>
      </c>
      <c r="V1802" s="0" t="n">
        <v>1</v>
      </c>
      <c r="W1802" s="0" t="n">
        <v>1</v>
      </c>
      <c r="X1802" s="0" t="str">
        <f aca="false">"31811010860016"</f>
        <v>31811010860016</v>
      </c>
      <c r="Y1802" s="0" t="s">
        <v>39</v>
      </c>
      <c r="Z1802" s="0" t="s">
        <v>42</v>
      </c>
      <c r="AA1802" s="0" t="s">
        <v>43</v>
      </c>
      <c r="AE1802" s="1" t="s">
        <v>52</v>
      </c>
    </row>
    <row r="1803" customFormat="false" ht="12.8" hidden="false" customHeight="false" outlineLevel="0" collapsed="false">
      <c r="A1803" s="0" t="n">
        <v>441677</v>
      </c>
      <c r="B1803" s="0" t="n">
        <v>527247</v>
      </c>
      <c r="C1803" s="0" t="n">
        <v>592139</v>
      </c>
      <c r="D1803" s="0" t="s">
        <v>35</v>
      </c>
      <c r="E1803" s="0" t="s">
        <v>35</v>
      </c>
      <c r="F1803" s="0" t="s">
        <v>36</v>
      </c>
      <c r="G1803" s="0" t="s">
        <v>37</v>
      </c>
      <c r="H1803" s="0" t="s">
        <v>5930</v>
      </c>
      <c r="J1803" s="0" t="s">
        <v>5931</v>
      </c>
      <c r="M1803" s="0" t="s">
        <v>5932</v>
      </c>
      <c r="N1803" s="0" t="s">
        <v>5933</v>
      </c>
      <c r="O1803" s="0" t="s">
        <v>5934</v>
      </c>
      <c r="P1803" s="0" t="n">
        <v>1878</v>
      </c>
      <c r="Q1803" s="0" t="s">
        <v>39</v>
      </c>
      <c r="R1803" s="0" t="s">
        <v>5935</v>
      </c>
      <c r="S1803" s="0" t="s">
        <v>5936</v>
      </c>
      <c r="T1803" s="0" t="s">
        <v>53</v>
      </c>
      <c r="V1803" s="0" t="n">
        <v>1</v>
      </c>
      <c r="W1803" s="0" t="n">
        <v>1</v>
      </c>
      <c r="X1803" s="0" t="str">
        <f aca="false">"31811010860008"</f>
        <v>31811010860008</v>
      </c>
      <c r="Y1803" s="0" t="s">
        <v>39</v>
      </c>
      <c r="Z1803" s="0" t="s">
        <v>42</v>
      </c>
      <c r="AA1803" s="0" t="s">
        <v>43</v>
      </c>
      <c r="AE1803" s="1" t="s">
        <v>52</v>
      </c>
    </row>
    <row r="1804" customFormat="false" ht="12.8" hidden="false" customHeight="false" outlineLevel="0" collapsed="false">
      <c r="A1804" s="0" t="n">
        <v>252090</v>
      </c>
      <c r="B1804" s="0" t="n">
        <v>276208</v>
      </c>
      <c r="C1804" s="0" t="n">
        <v>310599</v>
      </c>
      <c r="D1804" s="0" t="s">
        <v>35</v>
      </c>
      <c r="E1804" s="0" t="s">
        <v>35</v>
      </c>
      <c r="F1804" s="0" t="s">
        <v>36</v>
      </c>
      <c r="G1804" s="0" t="s">
        <v>37</v>
      </c>
      <c r="H1804" s="0" t="s">
        <v>5937</v>
      </c>
      <c r="I1804" s="0" t="s">
        <v>5938</v>
      </c>
      <c r="J1804" s="0" t="s">
        <v>5939</v>
      </c>
      <c r="M1804" s="0" t="s">
        <v>5940</v>
      </c>
      <c r="N1804" s="0" t="s">
        <v>282</v>
      </c>
      <c r="O1804" s="0" t="s">
        <v>5941</v>
      </c>
      <c r="P1804" s="0" t="n">
        <v>1963</v>
      </c>
      <c r="Q1804" s="0" t="s">
        <v>39</v>
      </c>
      <c r="R1804" s="0" t="s">
        <v>5942</v>
      </c>
      <c r="S1804" s="0" t="s">
        <v>5943</v>
      </c>
      <c r="V1804" s="0" t="n">
        <v>1</v>
      </c>
      <c r="W1804" s="0" t="n">
        <v>1</v>
      </c>
      <c r="X1804" s="0" t="str">
        <f aca="false">"31811010754920"</f>
        <v>31811010754920</v>
      </c>
      <c r="Y1804" s="0" t="s">
        <v>39</v>
      </c>
      <c r="Z1804" s="0" t="s">
        <v>42</v>
      </c>
      <c r="AA1804" s="0" t="s">
        <v>43</v>
      </c>
      <c r="AE1804" s="1" t="s">
        <v>52</v>
      </c>
    </row>
    <row r="1805" customFormat="false" ht="12.8" hidden="false" customHeight="false" outlineLevel="0" collapsed="false">
      <c r="A1805" s="0" t="n">
        <v>438443</v>
      </c>
      <c r="B1805" s="0" t="n">
        <v>523833</v>
      </c>
      <c r="C1805" s="0" t="n">
        <v>587997</v>
      </c>
      <c r="D1805" s="0" t="s">
        <v>35</v>
      </c>
      <c r="E1805" s="0" t="s">
        <v>35</v>
      </c>
      <c r="F1805" s="0" t="s">
        <v>480</v>
      </c>
      <c r="G1805" s="0" t="s">
        <v>37</v>
      </c>
      <c r="H1805" s="0" t="s">
        <v>5944</v>
      </c>
      <c r="J1805" s="0" t="s">
        <v>5945</v>
      </c>
      <c r="M1805" s="0" t="s">
        <v>5946</v>
      </c>
      <c r="O1805" s="0" t="s">
        <v>5947</v>
      </c>
      <c r="P1805" s="0" t="n">
        <v>1848</v>
      </c>
      <c r="Q1805" s="0" t="s">
        <v>39</v>
      </c>
      <c r="R1805" s="0" t="s">
        <v>5948</v>
      </c>
      <c r="S1805" s="0" t="s">
        <v>5949</v>
      </c>
      <c r="T1805" s="0" t="n">
        <v>1990</v>
      </c>
      <c r="V1805" s="0" t="n">
        <v>1</v>
      </c>
      <c r="W1805" s="0" t="n">
        <v>1</v>
      </c>
      <c r="X1805" s="0" t="str">
        <f aca="false">"31811010649096"</f>
        <v>31811010649096</v>
      </c>
      <c r="Y1805" s="0" t="s">
        <v>39</v>
      </c>
      <c r="Z1805" s="0" t="s">
        <v>42</v>
      </c>
      <c r="AA1805" s="0" t="s">
        <v>622</v>
      </c>
      <c r="AE1805" s="1" t="s">
        <v>52</v>
      </c>
      <c r="AF1805" s="1" t="s">
        <v>623</v>
      </c>
    </row>
    <row r="1806" customFormat="false" ht="12.8" hidden="false" customHeight="false" outlineLevel="0" collapsed="false">
      <c r="A1806" s="0" t="n">
        <v>438443</v>
      </c>
      <c r="B1806" s="0" t="n">
        <v>523833</v>
      </c>
      <c r="C1806" s="0" t="n">
        <v>587998</v>
      </c>
      <c r="D1806" s="0" t="s">
        <v>35</v>
      </c>
      <c r="E1806" s="0" t="s">
        <v>35</v>
      </c>
      <c r="F1806" s="0" t="s">
        <v>480</v>
      </c>
      <c r="G1806" s="0" t="s">
        <v>37</v>
      </c>
      <c r="H1806" s="0" t="s">
        <v>5944</v>
      </c>
      <c r="J1806" s="0" t="s">
        <v>5945</v>
      </c>
      <c r="M1806" s="0" t="s">
        <v>5946</v>
      </c>
      <c r="O1806" s="0" t="s">
        <v>5947</v>
      </c>
      <c r="P1806" s="0" t="n">
        <v>1848</v>
      </c>
      <c r="Q1806" s="0" t="s">
        <v>39</v>
      </c>
      <c r="R1806" s="0" t="s">
        <v>5948</v>
      </c>
      <c r="S1806" s="0" t="s">
        <v>5949</v>
      </c>
      <c r="T1806" s="0" t="n">
        <v>1989</v>
      </c>
      <c r="V1806" s="0" t="n">
        <v>1</v>
      </c>
      <c r="W1806" s="0" t="n">
        <v>1</v>
      </c>
      <c r="X1806" s="0" t="str">
        <f aca="false">"31811011352476"</f>
        <v>31811011352476</v>
      </c>
      <c r="Y1806" s="0" t="s">
        <v>39</v>
      </c>
      <c r="Z1806" s="0" t="s">
        <v>42</v>
      </c>
      <c r="AA1806" s="0" t="s">
        <v>622</v>
      </c>
      <c r="AE1806" s="1" t="s">
        <v>52</v>
      </c>
      <c r="AF1806" s="1" t="s">
        <v>623</v>
      </c>
    </row>
    <row r="1807" customFormat="false" ht="12.8" hidden="false" customHeight="false" outlineLevel="0" collapsed="false">
      <c r="A1807" s="0" t="n">
        <v>438443</v>
      </c>
      <c r="B1807" s="0" t="n">
        <v>523833</v>
      </c>
      <c r="C1807" s="0" t="n">
        <v>587999</v>
      </c>
      <c r="D1807" s="0" t="s">
        <v>35</v>
      </c>
      <c r="E1807" s="0" t="s">
        <v>35</v>
      </c>
      <c r="F1807" s="0" t="s">
        <v>480</v>
      </c>
      <c r="G1807" s="0" t="s">
        <v>37</v>
      </c>
      <c r="H1807" s="0" t="s">
        <v>5944</v>
      </c>
      <c r="J1807" s="0" t="s">
        <v>5945</v>
      </c>
      <c r="M1807" s="0" t="s">
        <v>5946</v>
      </c>
      <c r="O1807" s="0" t="s">
        <v>5947</v>
      </c>
      <c r="P1807" s="0" t="n">
        <v>1848</v>
      </c>
      <c r="Q1807" s="0" t="s">
        <v>39</v>
      </c>
      <c r="R1807" s="0" t="s">
        <v>5948</v>
      </c>
      <c r="S1807" s="0" t="s">
        <v>5949</v>
      </c>
      <c r="T1807" s="0" t="n">
        <v>1988</v>
      </c>
      <c r="V1807" s="0" t="n">
        <v>1</v>
      </c>
      <c r="W1807" s="0" t="n">
        <v>1</v>
      </c>
      <c r="X1807" s="0" t="str">
        <f aca="false">"31811011352435"</f>
        <v>31811011352435</v>
      </c>
      <c r="Y1807" s="0" t="s">
        <v>39</v>
      </c>
      <c r="Z1807" s="0" t="s">
        <v>42</v>
      </c>
      <c r="AA1807" s="0" t="s">
        <v>622</v>
      </c>
      <c r="AE1807" s="1" t="s">
        <v>52</v>
      </c>
      <c r="AF1807" s="1" t="s">
        <v>623</v>
      </c>
    </row>
    <row r="1808" customFormat="false" ht="12.8" hidden="false" customHeight="false" outlineLevel="0" collapsed="false">
      <c r="A1808" s="0" t="n">
        <v>438443</v>
      </c>
      <c r="B1808" s="0" t="n">
        <v>523833</v>
      </c>
      <c r="C1808" s="0" t="n">
        <v>588001</v>
      </c>
      <c r="D1808" s="0" t="s">
        <v>35</v>
      </c>
      <c r="E1808" s="0" t="s">
        <v>35</v>
      </c>
      <c r="F1808" s="0" t="s">
        <v>480</v>
      </c>
      <c r="G1808" s="0" t="s">
        <v>37</v>
      </c>
      <c r="H1808" s="0" t="s">
        <v>5944</v>
      </c>
      <c r="J1808" s="0" t="s">
        <v>5945</v>
      </c>
      <c r="M1808" s="0" t="s">
        <v>5946</v>
      </c>
      <c r="O1808" s="0" t="s">
        <v>5947</v>
      </c>
      <c r="P1808" s="0" t="n">
        <v>1848</v>
      </c>
      <c r="Q1808" s="0" t="s">
        <v>39</v>
      </c>
      <c r="R1808" s="0" t="s">
        <v>5948</v>
      </c>
      <c r="S1808" s="0" t="s">
        <v>5949</v>
      </c>
      <c r="T1808" s="0" t="n">
        <v>1986</v>
      </c>
      <c r="V1808" s="0" t="n">
        <v>1</v>
      </c>
      <c r="W1808" s="0" t="n">
        <v>1</v>
      </c>
      <c r="X1808" s="0" t="str">
        <f aca="false">"31811011352146"</f>
        <v>31811011352146</v>
      </c>
      <c r="Y1808" s="0" t="s">
        <v>39</v>
      </c>
      <c r="Z1808" s="0" t="s">
        <v>42</v>
      </c>
      <c r="AA1808" s="0" t="s">
        <v>622</v>
      </c>
      <c r="AE1808" s="1" t="s">
        <v>52</v>
      </c>
      <c r="AF1808" s="1" t="s">
        <v>623</v>
      </c>
    </row>
    <row r="1809" customFormat="false" ht="12.8" hidden="false" customHeight="false" outlineLevel="0" collapsed="false">
      <c r="A1809" s="0" t="n">
        <v>438443</v>
      </c>
      <c r="B1809" s="0" t="n">
        <v>523833</v>
      </c>
      <c r="C1809" s="0" t="n">
        <v>588002</v>
      </c>
      <c r="D1809" s="0" t="s">
        <v>35</v>
      </c>
      <c r="E1809" s="0" t="s">
        <v>35</v>
      </c>
      <c r="F1809" s="0" t="s">
        <v>480</v>
      </c>
      <c r="G1809" s="0" t="s">
        <v>37</v>
      </c>
      <c r="H1809" s="0" t="s">
        <v>5944</v>
      </c>
      <c r="J1809" s="0" t="s">
        <v>5945</v>
      </c>
      <c r="M1809" s="0" t="s">
        <v>5946</v>
      </c>
      <c r="O1809" s="0" t="s">
        <v>5947</v>
      </c>
      <c r="P1809" s="0" t="n">
        <v>1848</v>
      </c>
      <c r="Q1809" s="0" t="s">
        <v>39</v>
      </c>
      <c r="R1809" s="0" t="s">
        <v>5948</v>
      </c>
      <c r="S1809" s="0" t="s">
        <v>5949</v>
      </c>
      <c r="T1809" s="0" t="n">
        <v>1985</v>
      </c>
      <c r="V1809" s="0" t="n">
        <v>1</v>
      </c>
      <c r="W1809" s="0" t="n">
        <v>1</v>
      </c>
      <c r="X1809" s="0" t="str">
        <f aca="false">"31811011352104"</f>
        <v>31811011352104</v>
      </c>
      <c r="Y1809" s="0" t="s">
        <v>39</v>
      </c>
      <c r="Z1809" s="0" t="s">
        <v>42</v>
      </c>
      <c r="AA1809" s="0" t="s">
        <v>622</v>
      </c>
      <c r="AE1809" s="1" t="s">
        <v>52</v>
      </c>
      <c r="AF1809" s="1" t="s">
        <v>623</v>
      </c>
    </row>
    <row r="1810" customFormat="false" ht="12.8" hidden="false" customHeight="false" outlineLevel="0" collapsed="false">
      <c r="A1810" s="0" t="n">
        <v>438443</v>
      </c>
      <c r="B1810" s="0" t="n">
        <v>523833</v>
      </c>
      <c r="C1810" s="0" t="n">
        <v>588003</v>
      </c>
      <c r="D1810" s="0" t="s">
        <v>35</v>
      </c>
      <c r="E1810" s="0" t="s">
        <v>35</v>
      </c>
      <c r="F1810" s="0" t="s">
        <v>480</v>
      </c>
      <c r="G1810" s="0" t="s">
        <v>37</v>
      </c>
      <c r="H1810" s="0" t="s">
        <v>5944</v>
      </c>
      <c r="J1810" s="0" t="s">
        <v>5945</v>
      </c>
      <c r="M1810" s="0" t="s">
        <v>5946</v>
      </c>
      <c r="O1810" s="0" t="s">
        <v>5947</v>
      </c>
      <c r="P1810" s="0" t="n">
        <v>1848</v>
      </c>
      <c r="Q1810" s="0" t="s">
        <v>39</v>
      </c>
      <c r="R1810" s="0" t="s">
        <v>5948</v>
      </c>
      <c r="S1810" s="0" t="s">
        <v>5949</v>
      </c>
      <c r="T1810" s="0" t="n">
        <v>1984</v>
      </c>
      <c r="V1810" s="0" t="n">
        <v>1</v>
      </c>
      <c r="W1810" s="0" t="n">
        <v>1</v>
      </c>
      <c r="X1810" s="0" t="str">
        <f aca="false">"31811011352062"</f>
        <v>31811011352062</v>
      </c>
      <c r="Y1810" s="0" t="s">
        <v>39</v>
      </c>
      <c r="Z1810" s="0" t="s">
        <v>42</v>
      </c>
      <c r="AA1810" s="0" t="s">
        <v>622</v>
      </c>
      <c r="AE1810" s="1" t="s">
        <v>52</v>
      </c>
      <c r="AF1810" s="1" t="s">
        <v>623</v>
      </c>
    </row>
    <row r="1811" customFormat="false" ht="12.8" hidden="false" customHeight="false" outlineLevel="0" collapsed="false">
      <c r="A1811" s="0" t="n">
        <v>438443</v>
      </c>
      <c r="B1811" s="0" t="n">
        <v>523833</v>
      </c>
      <c r="C1811" s="0" t="n">
        <v>588004</v>
      </c>
      <c r="D1811" s="0" t="s">
        <v>35</v>
      </c>
      <c r="E1811" s="0" t="s">
        <v>35</v>
      </c>
      <c r="F1811" s="0" t="s">
        <v>480</v>
      </c>
      <c r="G1811" s="0" t="s">
        <v>37</v>
      </c>
      <c r="H1811" s="0" t="s">
        <v>5944</v>
      </c>
      <c r="J1811" s="0" t="s">
        <v>5945</v>
      </c>
      <c r="M1811" s="0" t="s">
        <v>5946</v>
      </c>
      <c r="O1811" s="0" t="s">
        <v>5947</v>
      </c>
      <c r="P1811" s="0" t="n">
        <v>1848</v>
      </c>
      <c r="Q1811" s="0" t="s">
        <v>39</v>
      </c>
      <c r="R1811" s="0" t="s">
        <v>5948</v>
      </c>
      <c r="S1811" s="0" t="s">
        <v>5949</v>
      </c>
      <c r="T1811" s="0" t="n">
        <v>1983</v>
      </c>
      <c r="V1811" s="0" t="n">
        <v>1</v>
      </c>
      <c r="W1811" s="0" t="n">
        <v>1</v>
      </c>
      <c r="X1811" s="0" t="str">
        <f aca="false">"31811011352500"</f>
        <v>31811011352500</v>
      </c>
      <c r="Y1811" s="0" t="s">
        <v>39</v>
      </c>
      <c r="Z1811" s="0" t="s">
        <v>42</v>
      </c>
      <c r="AA1811" s="0" t="s">
        <v>622</v>
      </c>
      <c r="AE1811" s="1" t="s">
        <v>52</v>
      </c>
      <c r="AF1811" s="1" t="s">
        <v>623</v>
      </c>
    </row>
    <row r="1812" customFormat="false" ht="12.8" hidden="false" customHeight="false" outlineLevel="0" collapsed="false">
      <c r="A1812" s="0" t="n">
        <v>438443</v>
      </c>
      <c r="B1812" s="0" t="n">
        <v>523833</v>
      </c>
      <c r="C1812" s="0" t="n">
        <v>588005</v>
      </c>
      <c r="D1812" s="0" t="s">
        <v>35</v>
      </c>
      <c r="E1812" s="0" t="s">
        <v>35</v>
      </c>
      <c r="F1812" s="0" t="s">
        <v>480</v>
      </c>
      <c r="G1812" s="0" t="s">
        <v>37</v>
      </c>
      <c r="H1812" s="0" t="s">
        <v>5944</v>
      </c>
      <c r="J1812" s="0" t="s">
        <v>5945</v>
      </c>
      <c r="M1812" s="0" t="s">
        <v>5946</v>
      </c>
      <c r="O1812" s="0" t="s">
        <v>5947</v>
      </c>
      <c r="P1812" s="0" t="n">
        <v>1848</v>
      </c>
      <c r="Q1812" s="0" t="s">
        <v>39</v>
      </c>
      <c r="R1812" s="0" t="s">
        <v>5948</v>
      </c>
      <c r="S1812" s="0" t="s">
        <v>5949</v>
      </c>
      <c r="T1812" s="0" t="n">
        <v>1982</v>
      </c>
      <c r="V1812" s="0" t="n">
        <v>1</v>
      </c>
      <c r="W1812" s="0" t="n">
        <v>1</v>
      </c>
      <c r="X1812" s="0" t="str">
        <f aca="false">"31811011352468"</f>
        <v>31811011352468</v>
      </c>
      <c r="Y1812" s="0" t="s">
        <v>39</v>
      </c>
      <c r="Z1812" s="0" t="s">
        <v>42</v>
      </c>
      <c r="AA1812" s="0" t="s">
        <v>622</v>
      </c>
      <c r="AE1812" s="1" t="s">
        <v>52</v>
      </c>
      <c r="AF1812" s="1" t="s">
        <v>623</v>
      </c>
    </row>
    <row r="1813" customFormat="false" ht="12.8" hidden="false" customHeight="false" outlineLevel="0" collapsed="false">
      <c r="A1813" s="0" t="n">
        <v>438443</v>
      </c>
      <c r="B1813" s="0" t="n">
        <v>523833</v>
      </c>
      <c r="C1813" s="0" t="n">
        <v>588006</v>
      </c>
      <c r="D1813" s="0" t="s">
        <v>35</v>
      </c>
      <c r="E1813" s="0" t="s">
        <v>35</v>
      </c>
      <c r="F1813" s="0" t="s">
        <v>480</v>
      </c>
      <c r="G1813" s="0" t="s">
        <v>37</v>
      </c>
      <c r="H1813" s="0" t="s">
        <v>5944</v>
      </c>
      <c r="J1813" s="0" t="s">
        <v>5945</v>
      </c>
      <c r="M1813" s="0" t="s">
        <v>5946</v>
      </c>
      <c r="O1813" s="0" t="s">
        <v>5947</v>
      </c>
      <c r="P1813" s="0" t="n">
        <v>1848</v>
      </c>
      <c r="Q1813" s="0" t="s">
        <v>39</v>
      </c>
      <c r="R1813" s="0" t="s">
        <v>5948</v>
      </c>
      <c r="S1813" s="0" t="s">
        <v>5949</v>
      </c>
      <c r="T1813" s="0" t="n">
        <v>1981</v>
      </c>
      <c r="V1813" s="0" t="n">
        <v>1</v>
      </c>
      <c r="W1813" s="0" t="n">
        <v>1</v>
      </c>
      <c r="X1813" s="0" t="str">
        <f aca="false">"31811011352427"</f>
        <v>31811011352427</v>
      </c>
      <c r="Y1813" s="0" t="s">
        <v>39</v>
      </c>
      <c r="Z1813" s="0" t="s">
        <v>42</v>
      </c>
      <c r="AA1813" s="0" t="s">
        <v>622</v>
      </c>
      <c r="AE1813" s="1" t="s">
        <v>52</v>
      </c>
      <c r="AF1813" s="1" t="s">
        <v>623</v>
      </c>
    </row>
    <row r="1814" customFormat="false" ht="12.8" hidden="false" customHeight="false" outlineLevel="0" collapsed="false">
      <c r="A1814" s="0" t="n">
        <v>438443</v>
      </c>
      <c r="B1814" s="0" t="n">
        <v>523833</v>
      </c>
      <c r="C1814" s="0" t="n">
        <v>588007</v>
      </c>
      <c r="D1814" s="0" t="s">
        <v>35</v>
      </c>
      <c r="E1814" s="0" t="s">
        <v>35</v>
      </c>
      <c r="F1814" s="0" t="s">
        <v>480</v>
      </c>
      <c r="G1814" s="0" t="s">
        <v>37</v>
      </c>
      <c r="H1814" s="0" t="s">
        <v>5944</v>
      </c>
      <c r="J1814" s="0" t="s">
        <v>5945</v>
      </c>
      <c r="M1814" s="0" t="s">
        <v>5946</v>
      </c>
      <c r="O1814" s="0" t="s">
        <v>5947</v>
      </c>
      <c r="P1814" s="0" t="n">
        <v>1848</v>
      </c>
      <c r="Q1814" s="0" t="s">
        <v>39</v>
      </c>
      <c r="R1814" s="0" t="s">
        <v>5948</v>
      </c>
      <c r="S1814" s="0" t="s">
        <v>5949</v>
      </c>
      <c r="T1814" s="0" t="n">
        <v>1980</v>
      </c>
      <c r="V1814" s="0" t="n">
        <v>1</v>
      </c>
      <c r="W1814" s="0" t="n">
        <v>1</v>
      </c>
      <c r="X1814" s="0" t="str">
        <f aca="false">"31811011352385"</f>
        <v>31811011352385</v>
      </c>
      <c r="Y1814" s="0" t="s">
        <v>39</v>
      </c>
      <c r="Z1814" s="0" t="s">
        <v>42</v>
      </c>
      <c r="AA1814" s="0" t="s">
        <v>622</v>
      </c>
      <c r="AE1814" s="1" t="s">
        <v>52</v>
      </c>
      <c r="AF1814" s="1" t="s">
        <v>623</v>
      </c>
    </row>
    <row r="1815" customFormat="false" ht="12.8" hidden="false" customHeight="false" outlineLevel="0" collapsed="false">
      <c r="A1815" s="0" t="n">
        <v>438443</v>
      </c>
      <c r="B1815" s="0" t="n">
        <v>523833</v>
      </c>
      <c r="C1815" s="0" t="n">
        <v>588008</v>
      </c>
      <c r="D1815" s="0" t="s">
        <v>35</v>
      </c>
      <c r="E1815" s="0" t="s">
        <v>35</v>
      </c>
      <c r="F1815" s="0" t="s">
        <v>480</v>
      </c>
      <c r="G1815" s="0" t="s">
        <v>37</v>
      </c>
      <c r="H1815" s="0" t="s">
        <v>5944</v>
      </c>
      <c r="J1815" s="0" t="s">
        <v>5945</v>
      </c>
      <c r="M1815" s="0" t="s">
        <v>5946</v>
      </c>
      <c r="O1815" s="0" t="s">
        <v>5947</v>
      </c>
      <c r="P1815" s="0" t="n">
        <v>1848</v>
      </c>
      <c r="Q1815" s="0" t="s">
        <v>39</v>
      </c>
      <c r="R1815" s="0" t="s">
        <v>5948</v>
      </c>
      <c r="S1815" s="0" t="s">
        <v>5949</v>
      </c>
      <c r="T1815" s="0" t="n">
        <v>1979</v>
      </c>
      <c r="V1815" s="0" t="n">
        <v>1</v>
      </c>
      <c r="W1815" s="0" t="n">
        <v>1</v>
      </c>
      <c r="X1815" s="0" t="str">
        <f aca="false">"31811011352021"</f>
        <v>31811011352021</v>
      </c>
      <c r="Y1815" s="0" t="s">
        <v>39</v>
      </c>
      <c r="Z1815" s="0" t="s">
        <v>42</v>
      </c>
      <c r="AA1815" s="0" t="s">
        <v>622</v>
      </c>
      <c r="AE1815" s="1" t="s">
        <v>52</v>
      </c>
      <c r="AF1815" s="1" t="s">
        <v>623</v>
      </c>
    </row>
    <row r="1816" customFormat="false" ht="12.8" hidden="false" customHeight="false" outlineLevel="0" collapsed="false">
      <c r="A1816" s="0" t="n">
        <v>438443</v>
      </c>
      <c r="B1816" s="0" t="n">
        <v>523833</v>
      </c>
      <c r="C1816" s="0" t="n">
        <v>588009</v>
      </c>
      <c r="D1816" s="0" t="s">
        <v>35</v>
      </c>
      <c r="E1816" s="0" t="s">
        <v>35</v>
      </c>
      <c r="F1816" s="0" t="s">
        <v>480</v>
      </c>
      <c r="G1816" s="0" t="s">
        <v>37</v>
      </c>
      <c r="H1816" s="0" t="s">
        <v>5944</v>
      </c>
      <c r="J1816" s="0" t="s">
        <v>5945</v>
      </c>
      <c r="M1816" s="0" t="s">
        <v>5946</v>
      </c>
      <c r="O1816" s="0" t="s">
        <v>5947</v>
      </c>
      <c r="P1816" s="0" t="n">
        <v>1848</v>
      </c>
      <c r="Q1816" s="0" t="s">
        <v>39</v>
      </c>
      <c r="R1816" s="0" t="s">
        <v>5948</v>
      </c>
      <c r="S1816" s="0" t="s">
        <v>5949</v>
      </c>
      <c r="T1816" s="0" t="n">
        <v>1978</v>
      </c>
      <c r="V1816" s="0" t="n">
        <v>1</v>
      </c>
      <c r="W1816" s="0" t="n">
        <v>1</v>
      </c>
      <c r="X1816" s="0" t="str">
        <f aca="false">"31811011351981"</f>
        <v>31811011351981</v>
      </c>
      <c r="Y1816" s="0" t="s">
        <v>39</v>
      </c>
      <c r="Z1816" s="0" t="s">
        <v>42</v>
      </c>
      <c r="AA1816" s="0" t="s">
        <v>622</v>
      </c>
      <c r="AE1816" s="1" t="s">
        <v>52</v>
      </c>
      <c r="AF1816" s="1" t="s">
        <v>623</v>
      </c>
    </row>
    <row r="1817" customFormat="false" ht="12.8" hidden="false" customHeight="false" outlineLevel="0" collapsed="false">
      <c r="A1817" s="0" t="n">
        <v>438443</v>
      </c>
      <c r="B1817" s="0" t="n">
        <v>523833</v>
      </c>
      <c r="C1817" s="0" t="n">
        <v>588010</v>
      </c>
      <c r="D1817" s="0" t="s">
        <v>35</v>
      </c>
      <c r="E1817" s="0" t="s">
        <v>35</v>
      </c>
      <c r="F1817" s="0" t="s">
        <v>480</v>
      </c>
      <c r="G1817" s="0" t="s">
        <v>37</v>
      </c>
      <c r="H1817" s="0" t="s">
        <v>5944</v>
      </c>
      <c r="J1817" s="0" t="s">
        <v>5945</v>
      </c>
      <c r="M1817" s="0" t="s">
        <v>5946</v>
      </c>
      <c r="O1817" s="0" t="s">
        <v>5947</v>
      </c>
      <c r="P1817" s="0" t="n">
        <v>1848</v>
      </c>
      <c r="Q1817" s="0" t="s">
        <v>39</v>
      </c>
      <c r="R1817" s="0" t="s">
        <v>5948</v>
      </c>
      <c r="S1817" s="0" t="s">
        <v>5949</v>
      </c>
      <c r="T1817" s="0" t="n">
        <v>1977</v>
      </c>
      <c r="V1817" s="0" t="n">
        <v>1</v>
      </c>
      <c r="W1817" s="0" t="n">
        <v>1</v>
      </c>
      <c r="X1817" s="0" t="str">
        <f aca="false">"31811011351940"</f>
        <v>31811011351940</v>
      </c>
      <c r="Y1817" s="0" t="s">
        <v>39</v>
      </c>
      <c r="Z1817" s="0" t="s">
        <v>42</v>
      </c>
      <c r="AA1817" s="0" t="s">
        <v>622</v>
      </c>
      <c r="AE1817" s="1" t="s">
        <v>52</v>
      </c>
      <c r="AF1817" s="1" t="s">
        <v>623</v>
      </c>
    </row>
    <row r="1818" customFormat="false" ht="12.8" hidden="false" customHeight="false" outlineLevel="0" collapsed="false">
      <c r="A1818" s="0" t="n">
        <v>438443</v>
      </c>
      <c r="B1818" s="0" t="n">
        <v>523833</v>
      </c>
      <c r="C1818" s="0" t="n">
        <v>588011</v>
      </c>
      <c r="D1818" s="0" t="s">
        <v>35</v>
      </c>
      <c r="E1818" s="0" t="s">
        <v>35</v>
      </c>
      <c r="F1818" s="0" t="s">
        <v>480</v>
      </c>
      <c r="G1818" s="0" t="s">
        <v>37</v>
      </c>
      <c r="H1818" s="0" t="s">
        <v>5944</v>
      </c>
      <c r="J1818" s="0" t="s">
        <v>5945</v>
      </c>
      <c r="M1818" s="0" t="s">
        <v>5946</v>
      </c>
      <c r="O1818" s="0" t="s">
        <v>5947</v>
      </c>
      <c r="P1818" s="0" t="n">
        <v>1848</v>
      </c>
      <c r="Q1818" s="0" t="s">
        <v>39</v>
      </c>
      <c r="R1818" s="0" t="s">
        <v>5948</v>
      </c>
      <c r="S1818" s="0" t="s">
        <v>5949</v>
      </c>
      <c r="T1818" s="0" t="n">
        <v>1976</v>
      </c>
      <c r="V1818" s="0" t="n">
        <v>1</v>
      </c>
      <c r="W1818" s="0" t="n">
        <v>1</v>
      </c>
      <c r="X1818" s="0" t="str">
        <f aca="false">"31811011351908"</f>
        <v>31811011351908</v>
      </c>
      <c r="Y1818" s="0" t="s">
        <v>39</v>
      </c>
      <c r="Z1818" s="0" t="s">
        <v>42</v>
      </c>
      <c r="AA1818" s="0" t="s">
        <v>622</v>
      </c>
      <c r="AE1818" s="1" t="s">
        <v>52</v>
      </c>
      <c r="AF1818" s="1" t="s">
        <v>623</v>
      </c>
    </row>
    <row r="1819" customFormat="false" ht="12.8" hidden="false" customHeight="false" outlineLevel="0" collapsed="false">
      <c r="A1819" s="0" t="n">
        <v>438443</v>
      </c>
      <c r="B1819" s="0" t="n">
        <v>523833</v>
      </c>
      <c r="C1819" s="0" t="n">
        <v>588012</v>
      </c>
      <c r="D1819" s="0" t="s">
        <v>35</v>
      </c>
      <c r="E1819" s="0" t="s">
        <v>35</v>
      </c>
      <c r="F1819" s="0" t="s">
        <v>480</v>
      </c>
      <c r="G1819" s="0" t="s">
        <v>37</v>
      </c>
      <c r="H1819" s="0" t="s">
        <v>5944</v>
      </c>
      <c r="J1819" s="0" t="s">
        <v>5945</v>
      </c>
      <c r="M1819" s="0" t="s">
        <v>5946</v>
      </c>
      <c r="O1819" s="0" t="s">
        <v>5947</v>
      </c>
      <c r="P1819" s="0" t="n">
        <v>1848</v>
      </c>
      <c r="Q1819" s="0" t="s">
        <v>39</v>
      </c>
      <c r="R1819" s="0" t="s">
        <v>5948</v>
      </c>
      <c r="S1819" s="0" t="s">
        <v>5949</v>
      </c>
      <c r="T1819" s="0" t="n">
        <v>1975</v>
      </c>
      <c r="V1819" s="0" t="n">
        <v>1</v>
      </c>
      <c r="W1819" s="0" t="n">
        <v>1</v>
      </c>
      <c r="X1819" s="0" t="str">
        <f aca="false">"31811011352344"</f>
        <v>31811011352344</v>
      </c>
      <c r="Y1819" s="0" t="s">
        <v>39</v>
      </c>
      <c r="Z1819" s="0" t="s">
        <v>42</v>
      </c>
      <c r="AA1819" s="0" t="s">
        <v>622</v>
      </c>
      <c r="AE1819" s="1" t="s">
        <v>52</v>
      </c>
      <c r="AF1819" s="1" t="s">
        <v>623</v>
      </c>
    </row>
    <row r="1820" customFormat="false" ht="12.8" hidden="false" customHeight="false" outlineLevel="0" collapsed="false">
      <c r="A1820" s="0" t="n">
        <v>438443</v>
      </c>
      <c r="B1820" s="0" t="n">
        <v>523833</v>
      </c>
      <c r="C1820" s="0" t="n">
        <v>588013</v>
      </c>
      <c r="D1820" s="0" t="s">
        <v>35</v>
      </c>
      <c r="E1820" s="0" t="s">
        <v>35</v>
      </c>
      <c r="F1820" s="0" t="s">
        <v>480</v>
      </c>
      <c r="G1820" s="0" t="s">
        <v>37</v>
      </c>
      <c r="H1820" s="0" t="s">
        <v>5944</v>
      </c>
      <c r="J1820" s="0" t="s">
        <v>5945</v>
      </c>
      <c r="M1820" s="0" t="s">
        <v>5946</v>
      </c>
      <c r="O1820" s="0" t="s">
        <v>5947</v>
      </c>
      <c r="P1820" s="0" t="n">
        <v>1848</v>
      </c>
      <c r="Q1820" s="0" t="s">
        <v>39</v>
      </c>
      <c r="R1820" s="0" t="s">
        <v>5948</v>
      </c>
      <c r="S1820" s="0" t="s">
        <v>5949</v>
      </c>
      <c r="T1820" s="0" t="n">
        <v>1974</v>
      </c>
      <c r="V1820" s="0" t="n">
        <v>1</v>
      </c>
      <c r="W1820" s="0" t="n">
        <v>1</v>
      </c>
      <c r="X1820" s="0" t="str">
        <f aca="false">"31811011352302"</f>
        <v>31811011352302</v>
      </c>
      <c r="Y1820" s="0" t="s">
        <v>39</v>
      </c>
      <c r="Z1820" s="0" t="s">
        <v>42</v>
      </c>
      <c r="AA1820" s="0" t="s">
        <v>622</v>
      </c>
      <c r="AE1820" s="1" t="s">
        <v>52</v>
      </c>
      <c r="AF1820" s="1" t="s">
        <v>623</v>
      </c>
    </row>
    <row r="1821" customFormat="false" ht="12.8" hidden="false" customHeight="false" outlineLevel="0" collapsed="false">
      <c r="A1821" s="0" t="n">
        <v>438443</v>
      </c>
      <c r="B1821" s="0" t="n">
        <v>523833</v>
      </c>
      <c r="C1821" s="0" t="n">
        <v>588014</v>
      </c>
      <c r="D1821" s="0" t="s">
        <v>35</v>
      </c>
      <c r="E1821" s="0" t="s">
        <v>35</v>
      </c>
      <c r="F1821" s="0" t="s">
        <v>480</v>
      </c>
      <c r="G1821" s="0" t="s">
        <v>37</v>
      </c>
      <c r="H1821" s="0" t="s">
        <v>5944</v>
      </c>
      <c r="J1821" s="0" t="s">
        <v>5945</v>
      </c>
      <c r="M1821" s="0" t="s">
        <v>5946</v>
      </c>
      <c r="O1821" s="0" t="s">
        <v>5947</v>
      </c>
      <c r="P1821" s="0" t="n">
        <v>1848</v>
      </c>
      <c r="Q1821" s="0" t="s">
        <v>39</v>
      </c>
      <c r="R1821" s="0" t="s">
        <v>5948</v>
      </c>
      <c r="S1821" s="0" t="s">
        <v>5949</v>
      </c>
      <c r="T1821" s="0" t="n">
        <v>1973</v>
      </c>
      <c r="V1821" s="0" t="n">
        <v>1</v>
      </c>
      <c r="W1821" s="0" t="n">
        <v>1</v>
      </c>
      <c r="X1821" s="0" t="str">
        <f aca="false">"31811011352260"</f>
        <v>31811011352260</v>
      </c>
      <c r="Y1821" s="0" t="s">
        <v>39</v>
      </c>
      <c r="Z1821" s="0" t="s">
        <v>42</v>
      </c>
      <c r="AA1821" s="0" t="s">
        <v>622</v>
      </c>
      <c r="AE1821" s="1" t="s">
        <v>52</v>
      </c>
      <c r="AF1821" s="1" t="s">
        <v>623</v>
      </c>
    </row>
    <row r="1822" customFormat="false" ht="12.8" hidden="false" customHeight="false" outlineLevel="0" collapsed="false">
      <c r="A1822" s="0" t="n">
        <v>438443</v>
      </c>
      <c r="B1822" s="0" t="n">
        <v>523833</v>
      </c>
      <c r="C1822" s="0" t="n">
        <v>588015</v>
      </c>
      <c r="D1822" s="0" t="s">
        <v>35</v>
      </c>
      <c r="E1822" s="0" t="s">
        <v>35</v>
      </c>
      <c r="F1822" s="0" t="s">
        <v>480</v>
      </c>
      <c r="G1822" s="0" t="s">
        <v>37</v>
      </c>
      <c r="H1822" s="0" t="s">
        <v>5944</v>
      </c>
      <c r="J1822" s="0" t="s">
        <v>5945</v>
      </c>
      <c r="M1822" s="0" t="s">
        <v>5946</v>
      </c>
      <c r="O1822" s="0" t="s">
        <v>5947</v>
      </c>
      <c r="P1822" s="0" t="n">
        <v>1848</v>
      </c>
      <c r="Q1822" s="0" t="s">
        <v>39</v>
      </c>
      <c r="R1822" s="0" t="s">
        <v>5948</v>
      </c>
      <c r="S1822" s="0" t="s">
        <v>5949</v>
      </c>
      <c r="T1822" s="0" t="n">
        <v>1972</v>
      </c>
      <c r="V1822" s="0" t="n">
        <v>1</v>
      </c>
      <c r="W1822" s="0" t="n">
        <v>1</v>
      </c>
      <c r="X1822" s="0" t="str">
        <f aca="false">"31811011352229"</f>
        <v>31811011352229</v>
      </c>
      <c r="Y1822" s="0" t="s">
        <v>39</v>
      </c>
      <c r="Z1822" s="0" t="s">
        <v>42</v>
      </c>
      <c r="AA1822" s="0" t="s">
        <v>622</v>
      </c>
      <c r="AE1822" s="1" t="s">
        <v>52</v>
      </c>
      <c r="AF1822" s="1" t="s">
        <v>623</v>
      </c>
    </row>
    <row r="1823" customFormat="false" ht="12.8" hidden="false" customHeight="false" outlineLevel="0" collapsed="false">
      <c r="A1823" s="0" t="n">
        <v>438443</v>
      </c>
      <c r="B1823" s="0" t="n">
        <v>523833</v>
      </c>
      <c r="C1823" s="0" t="n">
        <v>588016</v>
      </c>
      <c r="D1823" s="0" t="s">
        <v>35</v>
      </c>
      <c r="E1823" s="0" t="s">
        <v>35</v>
      </c>
      <c r="F1823" s="0" t="s">
        <v>480</v>
      </c>
      <c r="G1823" s="0" t="s">
        <v>37</v>
      </c>
      <c r="H1823" s="0" t="s">
        <v>5944</v>
      </c>
      <c r="J1823" s="0" t="s">
        <v>5945</v>
      </c>
      <c r="M1823" s="0" t="s">
        <v>5946</v>
      </c>
      <c r="O1823" s="0" t="s">
        <v>5947</v>
      </c>
      <c r="P1823" s="0" t="n">
        <v>1848</v>
      </c>
      <c r="Q1823" s="0" t="s">
        <v>39</v>
      </c>
      <c r="R1823" s="0" t="s">
        <v>5948</v>
      </c>
      <c r="S1823" s="0" t="s">
        <v>5949</v>
      </c>
      <c r="T1823" s="0" t="n">
        <v>1969</v>
      </c>
      <c r="V1823" s="0" t="n">
        <v>1</v>
      </c>
      <c r="W1823" s="0" t="n">
        <v>1</v>
      </c>
      <c r="X1823" s="0" t="str">
        <f aca="false">"31811011352179"</f>
        <v>31811011352179</v>
      </c>
      <c r="Y1823" s="0" t="s">
        <v>39</v>
      </c>
      <c r="Z1823" s="0" t="s">
        <v>42</v>
      </c>
      <c r="AA1823" s="0" t="s">
        <v>622</v>
      </c>
      <c r="AE1823" s="1" t="s">
        <v>52</v>
      </c>
      <c r="AF1823" s="1" t="s">
        <v>623</v>
      </c>
    </row>
    <row r="1824" customFormat="false" ht="12.8" hidden="false" customHeight="false" outlineLevel="0" collapsed="false">
      <c r="A1824" s="0" t="n">
        <v>438443</v>
      </c>
      <c r="B1824" s="0" t="n">
        <v>523833</v>
      </c>
      <c r="C1824" s="0" t="n">
        <v>588017</v>
      </c>
      <c r="D1824" s="0" t="s">
        <v>35</v>
      </c>
      <c r="E1824" s="0" t="s">
        <v>35</v>
      </c>
      <c r="F1824" s="0" t="s">
        <v>480</v>
      </c>
      <c r="G1824" s="0" t="s">
        <v>37</v>
      </c>
      <c r="H1824" s="0" t="s">
        <v>5944</v>
      </c>
      <c r="J1824" s="0" t="s">
        <v>5945</v>
      </c>
      <c r="M1824" s="0" t="s">
        <v>5946</v>
      </c>
      <c r="O1824" s="0" t="s">
        <v>5947</v>
      </c>
      <c r="P1824" s="0" t="n">
        <v>1848</v>
      </c>
      <c r="Q1824" s="0" t="s">
        <v>39</v>
      </c>
      <c r="R1824" s="0" t="s">
        <v>5948</v>
      </c>
      <c r="S1824" s="0" t="s">
        <v>5949</v>
      </c>
      <c r="T1824" s="0" t="n">
        <v>1968</v>
      </c>
      <c r="V1824" s="0" t="n">
        <v>1</v>
      </c>
      <c r="W1824" s="0" t="n">
        <v>1</v>
      </c>
      <c r="X1824" s="0" t="str">
        <f aca="false">"31811011352138"</f>
        <v>31811011352138</v>
      </c>
      <c r="Y1824" s="0" t="s">
        <v>39</v>
      </c>
      <c r="Z1824" s="0" t="s">
        <v>42</v>
      </c>
      <c r="AA1824" s="0" t="s">
        <v>622</v>
      </c>
      <c r="AE1824" s="1" t="s">
        <v>52</v>
      </c>
      <c r="AF1824" s="1" t="s">
        <v>623</v>
      </c>
    </row>
    <row r="1825" customFormat="false" ht="12.8" hidden="false" customHeight="false" outlineLevel="0" collapsed="false">
      <c r="A1825" s="0" t="n">
        <v>438443</v>
      </c>
      <c r="B1825" s="0" t="n">
        <v>523833</v>
      </c>
      <c r="C1825" s="0" t="n">
        <v>588018</v>
      </c>
      <c r="D1825" s="0" t="s">
        <v>35</v>
      </c>
      <c r="E1825" s="0" t="s">
        <v>35</v>
      </c>
      <c r="F1825" s="0" t="s">
        <v>480</v>
      </c>
      <c r="G1825" s="0" t="s">
        <v>37</v>
      </c>
      <c r="H1825" s="0" t="s">
        <v>5944</v>
      </c>
      <c r="J1825" s="0" t="s">
        <v>5945</v>
      </c>
      <c r="M1825" s="0" t="s">
        <v>5946</v>
      </c>
      <c r="O1825" s="0" t="s">
        <v>5947</v>
      </c>
      <c r="P1825" s="0" t="n">
        <v>1848</v>
      </c>
      <c r="Q1825" s="0" t="s">
        <v>39</v>
      </c>
      <c r="R1825" s="0" t="s">
        <v>5948</v>
      </c>
      <c r="S1825" s="0" t="s">
        <v>5949</v>
      </c>
      <c r="T1825" s="0" t="n">
        <v>1967</v>
      </c>
      <c r="V1825" s="0" t="n">
        <v>1</v>
      </c>
      <c r="W1825" s="0" t="n">
        <v>1</v>
      </c>
      <c r="X1825" s="0" t="str">
        <f aca="false">"31811011352096"</f>
        <v>31811011352096</v>
      </c>
      <c r="Y1825" s="0" t="s">
        <v>39</v>
      </c>
      <c r="Z1825" s="0" t="s">
        <v>42</v>
      </c>
      <c r="AA1825" s="0" t="s">
        <v>622</v>
      </c>
      <c r="AE1825" s="1" t="s">
        <v>52</v>
      </c>
      <c r="AF1825" s="1" t="s">
        <v>623</v>
      </c>
    </row>
    <row r="1826" customFormat="false" ht="12.8" hidden="false" customHeight="false" outlineLevel="0" collapsed="false">
      <c r="A1826" s="0" t="n">
        <v>438443</v>
      </c>
      <c r="B1826" s="0" t="n">
        <v>523833</v>
      </c>
      <c r="C1826" s="0" t="n">
        <v>588019</v>
      </c>
      <c r="D1826" s="0" t="s">
        <v>35</v>
      </c>
      <c r="E1826" s="0" t="s">
        <v>35</v>
      </c>
      <c r="F1826" s="0" t="s">
        <v>480</v>
      </c>
      <c r="G1826" s="0" t="s">
        <v>37</v>
      </c>
      <c r="H1826" s="0" t="s">
        <v>5944</v>
      </c>
      <c r="J1826" s="0" t="s">
        <v>5945</v>
      </c>
      <c r="M1826" s="0" t="s">
        <v>5946</v>
      </c>
      <c r="O1826" s="0" t="s">
        <v>5947</v>
      </c>
      <c r="P1826" s="0" t="n">
        <v>1848</v>
      </c>
      <c r="Q1826" s="0" t="s">
        <v>39</v>
      </c>
      <c r="R1826" s="0" t="s">
        <v>5948</v>
      </c>
      <c r="S1826" s="0" t="s">
        <v>5949</v>
      </c>
      <c r="T1826" s="0" t="n">
        <v>1966</v>
      </c>
      <c r="V1826" s="0" t="n">
        <v>1</v>
      </c>
      <c r="W1826" s="0" t="n">
        <v>1</v>
      </c>
      <c r="X1826" s="0" t="str">
        <f aca="false">"31811011352054"</f>
        <v>31811011352054</v>
      </c>
      <c r="Y1826" s="0" t="s">
        <v>39</v>
      </c>
      <c r="Z1826" s="0" t="s">
        <v>42</v>
      </c>
      <c r="AA1826" s="0" t="s">
        <v>622</v>
      </c>
      <c r="AE1826" s="1" t="s">
        <v>52</v>
      </c>
      <c r="AF1826" s="1" t="s">
        <v>623</v>
      </c>
    </row>
    <row r="1827" customFormat="false" ht="12.8" hidden="false" customHeight="false" outlineLevel="0" collapsed="false">
      <c r="A1827" s="0" t="n">
        <v>438368</v>
      </c>
      <c r="B1827" s="0" t="n">
        <v>523755</v>
      </c>
      <c r="C1827" s="0" t="n">
        <v>587890</v>
      </c>
      <c r="D1827" s="0" t="s">
        <v>35</v>
      </c>
      <c r="E1827" s="0" t="s">
        <v>35</v>
      </c>
      <c r="F1827" s="0" t="s">
        <v>36</v>
      </c>
      <c r="G1827" s="0" t="s">
        <v>37</v>
      </c>
      <c r="H1827" s="0" t="s">
        <v>5950</v>
      </c>
      <c r="I1827" s="0" t="s">
        <v>5951</v>
      </c>
      <c r="J1827" s="0" t="s">
        <v>5952</v>
      </c>
      <c r="L1827" s="0" t="s">
        <v>5953</v>
      </c>
      <c r="M1827" s="0" t="s">
        <v>5954</v>
      </c>
      <c r="N1827" s="0" t="n">
        <v>1992</v>
      </c>
      <c r="O1827" s="0" t="s">
        <v>1176</v>
      </c>
      <c r="P1827" s="0" t="n">
        <v>1992</v>
      </c>
      <c r="Q1827" s="0" t="s">
        <v>39</v>
      </c>
      <c r="R1827" s="0" t="s">
        <v>5955</v>
      </c>
      <c r="S1827" s="0" t="s">
        <v>5956</v>
      </c>
      <c r="V1827" s="0" t="n">
        <v>1</v>
      </c>
      <c r="W1827" s="0" t="n">
        <v>1</v>
      </c>
      <c r="X1827" s="0" t="str">
        <f aca="false">"31811010651365"</f>
        <v>31811010651365</v>
      </c>
      <c r="Y1827" s="0" t="s">
        <v>39</v>
      </c>
      <c r="Z1827" s="0" t="s">
        <v>42</v>
      </c>
      <c r="AA1827" s="0" t="s">
        <v>43</v>
      </c>
      <c r="AE1827" s="1" t="s">
        <v>52</v>
      </c>
    </row>
    <row r="1828" customFormat="false" ht="12.8" hidden="false" customHeight="false" outlineLevel="0" collapsed="false">
      <c r="A1828" s="0" t="n">
        <v>512320</v>
      </c>
      <c r="B1828" s="0" t="n">
        <v>549401</v>
      </c>
      <c r="C1828" s="0" t="n">
        <v>619896</v>
      </c>
      <c r="D1828" s="0" t="s">
        <v>35</v>
      </c>
      <c r="E1828" s="0" t="s">
        <v>35</v>
      </c>
      <c r="F1828" s="0" t="s">
        <v>480</v>
      </c>
      <c r="G1828" s="0" t="s">
        <v>37</v>
      </c>
      <c r="H1828" s="0" t="s">
        <v>5957</v>
      </c>
      <c r="J1828" s="0" t="s">
        <v>5957</v>
      </c>
      <c r="M1828" s="0" t="s">
        <v>5958</v>
      </c>
      <c r="N1828" s="0" t="s">
        <v>5959</v>
      </c>
      <c r="O1828" s="0" t="s">
        <v>5960</v>
      </c>
      <c r="P1828" s="0" t="n">
        <v>1996</v>
      </c>
      <c r="Q1828" s="0" t="s">
        <v>39</v>
      </c>
      <c r="R1828" s="0" t="s">
        <v>5961</v>
      </c>
      <c r="S1828" s="0" t="s">
        <v>5962</v>
      </c>
      <c r="T1828" s="0" t="n">
        <v>1998</v>
      </c>
      <c r="V1828" s="0" t="n">
        <v>1</v>
      </c>
      <c r="W1828" s="0" t="n">
        <v>1</v>
      </c>
      <c r="X1828" s="0" t="str">
        <f aca="false">"31811013716496"</f>
        <v>31811013716496</v>
      </c>
      <c r="Y1828" s="0" t="s">
        <v>39</v>
      </c>
      <c r="Z1828" s="0" t="s">
        <v>42</v>
      </c>
      <c r="AA1828" s="0" t="s">
        <v>622</v>
      </c>
      <c r="AE1828" s="1" t="s">
        <v>52</v>
      </c>
      <c r="AF1828" s="1" t="s">
        <v>5963</v>
      </c>
    </row>
    <row r="1829" customFormat="false" ht="12.8" hidden="false" customHeight="false" outlineLevel="0" collapsed="false">
      <c r="A1829" s="0" t="n">
        <v>533600</v>
      </c>
      <c r="B1829" s="0" t="n">
        <v>571714</v>
      </c>
      <c r="C1829" s="0" t="n">
        <v>646044</v>
      </c>
      <c r="D1829" s="0" t="s">
        <v>35</v>
      </c>
      <c r="E1829" s="0" t="s">
        <v>35</v>
      </c>
      <c r="F1829" s="0" t="s">
        <v>480</v>
      </c>
      <c r="G1829" s="0" t="s">
        <v>37</v>
      </c>
      <c r="H1829" s="0" t="s">
        <v>5964</v>
      </c>
      <c r="J1829" s="0" t="s">
        <v>5964</v>
      </c>
      <c r="M1829" s="0" t="s">
        <v>5965</v>
      </c>
      <c r="N1829" s="0" t="s">
        <v>5959</v>
      </c>
      <c r="O1829" s="0" t="s">
        <v>5966</v>
      </c>
      <c r="P1829" s="0" t="n">
        <v>1996</v>
      </c>
      <c r="Q1829" s="0" t="s">
        <v>39</v>
      </c>
      <c r="R1829" s="0" t="s">
        <v>5967</v>
      </c>
      <c r="S1829" s="0" t="s">
        <v>5968</v>
      </c>
      <c r="T1829" s="0" t="n">
        <v>1996</v>
      </c>
      <c r="V1829" s="0" t="n">
        <v>1</v>
      </c>
      <c r="W1829" s="0" t="n">
        <v>1</v>
      </c>
      <c r="X1829" s="0" t="str">
        <f aca="false">"31811013716504"</f>
        <v>31811013716504</v>
      </c>
      <c r="Y1829" s="0" t="s">
        <v>39</v>
      </c>
      <c r="Z1829" s="0" t="s">
        <v>42</v>
      </c>
      <c r="AA1829" s="0" t="s">
        <v>622</v>
      </c>
      <c r="AE1829" s="1" t="s">
        <v>52</v>
      </c>
      <c r="AF1829" s="1" t="s">
        <v>5963</v>
      </c>
    </row>
    <row r="1830" customFormat="false" ht="12.8" hidden="false" customHeight="false" outlineLevel="0" collapsed="false">
      <c r="A1830" s="0" t="n">
        <v>173689</v>
      </c>
      <c r="B1830" s="0" t="n">
        <v>189765</v>
      </c>
      <c r="C1830" s="0" t="n">
        <v>212992</v>
      </c>
      <c r="D1830" s="0" t="s">
        <v>35</v>
      </c>
      <c r="E1830" s="0" t="s">
        <v>35</v>
      </c>
      <c r="F1830" s="0" t="s">
        <v>36</v>
      </c>
      <c r="G1830" s="0" t="s">
        <v>37</v>
      </c>
      <c r="H1830" s="0" t="s">
        <v>5969</v>
      </c>
      <c r="I1830" s="0" t="s">
        <v>5970</v>
      </c>
      <c r="J1830" s="0" t="s">
        <v>5971</v>
      </c>
      <c r="L1830" s="1" t="s">
        <v>5972</v>
      </c>
      <c r="M1830" s="0" t="s">
        <v>5973</v>
      </c>
      <c r="N1830" s="0" t="s">
        <v>1854</v>
      </c>
      <c r="O1830" s="0" t="s">
        <v>5974</v>
      </c>
      <c r="P1830" s="0" t="n">
        <v>1976</v>
      </c>
      <c r="Q1830" s="0" t="s">
        <v>39</v>
      </c>
      <c r="R1830" s="0" t="s">
        <v>5975</v>
      </c>
      <c r="S1830" s="0" t="s">
        <v>5976</v>
      </c>
      <c r="V1830" s="0" t="n">
        <v>1</v>
      </c>
      <c r="W1830" s="0" t="n">
        <v>1</v>
      </c>
      <c r="X1830" s="0" t="str">
        <f aca="false">"31811010755190"</f>
        <v>31811010755190</v>
      </c>
      <c r="Y1830" s="0" t="s">
        <v>39</v>
      </c>
      <c r="Z1830" s="0" t="s">
        <v>42</v>
      </c>
      <c r="AA1830" s="0" t="s">
        <v>43</v>
      </c>
      <c r="AE1830" s="1" t="s">
        <v>52</v>
      </c>
    </row>
    <row r="1831" customFormat="false" ht="12.8" hidden="false" customHeight="false" outlineLevel="0" collapsed="false">
      <c r="A1831" s="0" t="n">
        <v>337392</v>
      </c>
      <c r="B1831" s="0" t="n">
        <v>366159</v>
      </c>
      <c r="C1831" s="0" t="n">
        <v>407942</v>
      </c>
      <c r="D1831" s="0" t="s">
        <v>35</v>
      </c>
      <c r="E1831" s="0" t="s">
        <v>35</v>
      </c>
      <c r="F1831" s="0" t="s">
        <v>36</v>
      </c>
      <c r="G1831" s="0" t="s">
        <v>37</v>
      </c>
      <c r="H1831" s="0" t="s">
        <v>5977</v>
      </c>
      <c r="I1831" s="0" t="s">
        <v>5978</v>
      </c>
      <c r="J1831" s="0" t="s">
        <v>5979</v>
      </c>
      <c r="M1831" s="0" t="s">
        <v>5980</v>
      </c>
      <c r="N1831" s="0" t="s">
        <v>5981</v>
      </c>
      <c r="O1831" s="0" t="s">
        <v>5982</v>
      </c>
      <c r="P1831" s="0" t="n">
        <v>1929</v>
      </c>
      <c r="Q1831" s="0" t="s">
        <v>39</v>
      </c>
      <c r="R1831" s="0" t="s">
        <v>5983</v>
      </c>
      <c r="S1831" s="0" t="s">
        <v>5984</v>
      </c>
      <c r="V1831" s="0" t="n">
        <v>1</v>
      </c>
      <c r="W1831" s="0" t="n">
        <v>1</v>
      </c>
      <c r="X1831" s="0" t="str">
        <f aca="false">"31811010755182"</f>
        <v>31811010755182</v>
      </c>
      <c r="Y1831" s="0" t="s">
        <v>39</v>
      </c>
      <c r="Z1831" s="0" t="s">
        <v>42</v>
      </c>
      <c r="AA1831" s="0" t="s">
        <v>43</v>
      </c>
      <c r="AE1831" s="1" t="s">
        <v>52</v>
      </c>
      <c r="AH1831" s="1" t="s">
        <v>5985</v>
      </c>
    </row>
    <row r="1832" customFormat="false" ht="12.8" hidden="false" customHeight="false" outlineLevel="0" collapsed="false">
      <c r="A1832" s="0" t="n">
        <v>353031</v>
      </c>
      <c r="B1832" s="0" t="n">
        <v>382353</v>
      </c>
      <c r="C1832" s="0" t="n">
        <v>425611</v>
      </c>
      <c r="D1832" s="0" t="s">
        <v>35</v>
      </c>
      <c r="E1832" s="0" t="s">
        <v>35</v>
      </c>
      <c r="F1832" s="0" t="s">
        <v>36</v>
      </c>
      <c r="G1832" s="0" t="s">
        <v>37</v>
      </c>
      <c r="H1832" s="0" t="s">
        <v>5986</v>
      </c>
      <c r="I1832" s="0" t="s">
        <v>5987</v>
      </c>
      <c r="J1832" s="0" t="s">
        <v>5988</v>
      </c>
      <c r="L1832" s="0" t="n">
        <v>854321667</v>
      </c>
      <c r="M1832" s="0" t="s">
        <v>5989</v>
      </c>
      <c r="N1832" s="0" t="n">
        <v>1976</v>
      </c>
      <c r="O1832" s="0" t="s">
        <v>5990</v>
      </c>
      <c r="P1832" s="0" t="n">
        <v>1976</v>
      </c>
      <c r="Q1832" s="0" t="s">
        <v>39</v>
      </c>
      <c r="R1832" s="0" t="s">
        <v>5991</v>
      </c>
      <c r="S1832" s="0" t="s">
        <v>5992</v>
      </c>
      <c r="V1832" s="0" t="n">
        <v>1</v>
      </c>
      <c r="W1832" s="0" t="n">
        <v>1</v>
      </c>
      <c r="X1832" s="0" t="str">
        <f aca="false">"31811010755174"</f>
        <v>31811010755174</v>
      </c>
      <c r="Y1832" s="0" t="s">
        <v>39</v>
      </c>
      <c r="Z1832" s="0" t="s">
        <v>42</v>
      </c>
      <c r="AA1832" s="0" t="s">
        <v>43</v>
      </c>
      <c r="AE1832" s="1" t="s">
        <v>52</v>
      </c>
    </row>
    <row r="1833" customFormat="false" ht="12.8" hidden="false" customHeight="false" outlineLevel="0" collapsed="false">
      <c r="A1833" s="0" t="n">
        <v>10554</v>
      </c>
      <c r="B1833" s="0" t="n">
        <v>12206</v>
      </c>
      <c r="C1833" s="0" t="n">
        <v>14197</v>
      </c>
      <c r="D1833" s="0" t="s">
        <v>35</v>
      </c>
      <c r="E1833" s="0" t="s">
        <v>35</v>
      </c>
      <c r="F1833" s="0" t="s">
        <v>36</v>
      </c>
      <c r="G1833" s="0" t="s">
        <v>37</v>
      </c>
      <c r="H1833" s="0" t="s">
        <v>5993</v>
      </c>
      <c r="I1833" s="0" t="s">
        <v>5994</v>
      </c>
      <c r="J1833" s="0" t="s">
        <v>5993</v>
      </c>
      <c r="M1833" s="0" t="s">
        <v>5995</v>
      </c>
      <c r="N1833" s="0" t="n">
        <v>1961</v>
      </c>
      <c r="O1833" s="0" t="s">
        <v>5996</v>
      </c>
      <c r="P1833" s="0" t="n">
        <v>1961</v>
      </c>
      <c r="Q1833" s="0" t="s">
        <v>39</v>
      </c>
      <c r="R1833" s="0" t="s">
        <v>5997</v>
      </c>
      <c r="S1833" s="0" t="s">
        <v>5998</v>
      </c>
      <c r="V1833" s="0" t="n">
        <v>1</v>
      </c>
      <c r="W1833" s="0" t="n">
        <v>1</v>
      </c>
      <c r="X1833" s="0" t="str">
        <f aca="false">"31811010757618"</f>
        <v>31811010757618</v>
      </c>
      <c r="Y1833" s="0" t="s">
        <v>39</v>
      </c>
      <c r="Z1833" s="0" t="s">
        <v>42</v>
      </c>
      <c r="AA1833" s="0" t="s">
        <v>43</v>
      </c>
      <c r="AE1833" s="1" t="s">
        <v>52</v>
      </c>
      <c r="AH1833" s="1" t="s">
        <v>5999</v>
      </c>
    </row>
    <row r="1834" customFormat="false" ht="12.8" hidden="false" customHeight="false" outlineLevel="0" collapsed="false">
      <c r="A1834" s="0" t="n">
        <v>504139</v>
      </c>
      <c r="B1834" s="0" t="n">
        <v>485590</v>
      </c>
      <c r="C1834" s="0" t="n">
        <v>544214</v>
      </c>
      <c r="D1834" s="0" t="s">
        <v>35</v>
      </c>
      <c r="E1834" s="0" t="s">
        <v>35</v>
      </c>
      <c r="F1834" s="0" t="s">
        <v>36</v>
      </c>
      <c r="G1834" s="0" t="s">
        <v>37</v>
      </c>
      <c r="H1834" s="0" t="s">
        <v>6000</v>
      </c>
      <c r="J1834" s="0" t="s">
        <v>6001</v>
      </c>
      <c r="M1834" s="0" t="s">
        <v>6002</v>
      </c>
      <c r="N1834" s="0" t="s">
        <v>2044</v>
      </c>
      <c r="O1834" s="0" t="s">
        <v>3366</v>
      </c>
      <c r="P1834" s="0" t="n">
        <v>1995</v>
      </c>
      <c r="Q1834" s="0" t="s">
        <v>39</v>
      </c>
      <c r="R1834" s="0" t="s">
        <v>6003</v>
      </c>
      <c r="S1834" s="0" t="s">
        <v>6004</v>
      </c>
      <c r="V1834" s="0" t="n">
        <v>1</v>
      </c>
      <c r="W1834" s="0" t="n">
        <v>1</v>
      </c>
      <c r="X1834" s="0" t="str">
        <f aca="false">"31811011630798"</f>
        <v>31811011630798</v>
      </c>
      <c r="Y1834" s="0" t="s">
        <v>39</v>
      </c>
      <c r="Z1834" s="0" t="s">
        <v>42</v>
      </c>
      <c r="AA1834" s="0" t="s">
        <v>43</v>
      </c>
      <c r="AE1834" s="1" t="s">
        <v>52</v>
      </c>
    </row>
    <row r="1835" customFormat="false" ht="12.8" hidden="false" customHeight="false" outlineLevel="0" collapsed="false">
      <c r="A1835" s="0" t="n">
        <v>388013</v>
      </c>
      <c r="B1835" s="0" t="n">
        <v>419584</v>
      </c>
      <c r="C1835" s="0" t="n">
        <v>468198</v>
      </c>
      <c r="D1835" s="0" t="s">
        <v>35</v>
      </c>
      <c r="E1835" s="0" t="s">
        <v>35</v>
      </c>
      <c r="F1835" s="0" t="s">
        <v>36</v>
      </c>
      <c r="G1835" s="0" t="s">
        <v>37</v>
      </c>
      <c r="H1835" s="0" t="s">
        <v>6005</v>
      </c>
      <c r="I1835" s="0" t="s">
        <v>6006</v>
      </c>
      <c r="J1835" s="0" t="s">
        <v>6007</v>
      </c>
      <c r="M1835" s="0" t="s">
        <v>6008</v>
      </c>
      <c r="N1835" s="0" t="s">
        <v>1980</v>
      </c>
      <c r="O1835" s="0" t="s">
        <v>3366</v>
      </c>
      <c r="P1835" s="0" t="n">
        <v>1990</v>
      </c>
      <c r="Q1835" s="0" t="s">
        <v>39</v>
      </c>
      <c r="R1835" s="0" t="s">
        <v>6009</v>
      </c>
      <c r="S1835" s="0" t="s">
        <v>6010</v>
      </c>
      <c r="V1835" s="0" t="n">
        <v>1</v>
      </c>
      <c r="W1835" s="0" t="n">
        <v>1</v>
      </c>
      <c r="X1835" s="0" t="str">
        <f aca="false">"31811010841982"</f>
        <v>31811010841982</v>
      </c>
      <c r="Y1835" s="0" t="s">
        <v>39</v>
      </c>
      <c r="Z1835" s="0" t="s">
        <v>42</v>
      </c>
      <c r="AA1835" s="0" t="s">
        <v>43</v>
      </c>
      <c r="AE1835" s="1" t="s">
        <v>52</v>
      </c>
    </row>
    <row r="1836" customFormat="false" ht="12.8" hidden="false" customHeight="false" outlineLevel="0" collapsed="false">
      <c r="A1836" s="0" t="n">
        <v>454317</v>
      </c>
      <c r="B1836" s="0" t="n">
        <v>540623</v>
      </c>
      <c r="C1836" s="0" t="n">
        <v>609117</v>
      </c>
      <c r="D1836" s="0" t="s">
        <v>35</v>
      </c>
      <c r="E1836" s="0" t="s">
        <v>35</v>
      </c>
      <c r="F1836" s="0" t="s">
        <v>36</v>
      </c>
      <c r="G1836" s="0" t="s">
        <v>37</v>
      </c>
      <c r="H1836" s="0" t="s">
        <v>6011</v>
      </c>
      <c r="I1836" s="0" t="s">
        <v>6012</v>
      </c>
      <c r="J1836" s="0" t="s">
        <v>6013</v>
      </c>
      <c r="M1836" s="0" t="s">
        <v>6014</v>
      </c>
      <c r="N1836" s="0" t="n">
        <v>1946</v>
      </c>
      <c r="O1836" s="0" t="s">
        <v>6015</v>
      </c>
      <c r="P1836" s="0" t="n">
        <v>1946</v>
      </c>
      <c r="Q1836" s="0" t="s">
        <v>39</v>
      </c>
      <c r="R1836" s="0" t="s">
        <v>6016</v>
      </c>
      <c r="S1836" s="0" t="s">
        <v>6017</v>
      </c>
      <c r="V1836" s="0" t="n">
        <v>1</v>
      </c>
      <c r="W1836" s="0" t="n">
        <v>1</v>
      </c>
      <c r="X1836" s="0" t="str">
        <f aca="false">"31811010757691"</f>
        <v>31811010757691</v>
      </c>
      <c r="Y1836" s="0" t="s">
        <v>39</v>
      </c>
      <c r="Z1836" s="0" t="s">
        <v>42</v>
      </c>
      <c r="AA1836" s="0" t="s">
        <v>43</v>
      </c>
      <c r="AE1836" s="1" t="s">
        <v>52</v>
      </c>
    </row>
    <row r="1837" customFormat="false" ht="12.8" hidden="false" customHeight="false" outlineLevel="0" collapsed="false">
      <c r="A1837" s="0" t="n">
        <v>450542</v>
      </c>
      <c r="B1837" s="0" t="n">
        <v>536585</v>
      </c>
      <c r="C1837" s="0" t="n">
        <v>603346</v>
      </c>
      <c r="D1837" s="0" t="s">
        <v>35</v>
      </c>
      <c r="E1837" s="0" t="s">
        <v>35</v>
      </c>
      <c r="F1837" s="0" t="s">
        <v>36</v>
      </c>
      <c r="G1837" s="0" t="s">
        <v>37</v>
      </c>
      <c r="H1837" s="0" t="s">
        <v>6018</v>
      </c>
      <c r="I1837" s="0" t="s">
        <v>6019</v>
      </c>
      <c r="J1837" s="0" t="s">
        <v>6020</v>
      </c>
      <c r="M1837" s="0" t="s">
        <v>6021</v>
      </c>
      <c r="N1837" s="0" t="s">
        <v>6022</v>
      </c>
      <c r="O1837" s="0" t="s">
        <v>3366</v>
      </c>
      <c r="P1837" s="0" t="n">
        <v>1990</v>
      </c>
      <c r="Q1837" s="0" t="s">
        <v>39</v>
      </c>
      <c r="R1837" s="0" t="s">
        <v>6023</v>
      </c>
      <c r="S1837" s="0" t="s">
        <v>6024</v>
      </c>
      <c r="V1837" s="0" t="n">
        <v>1</v>
      </c>
      <c r="W1837" s="0" t="n">
        <v>1</v>
      </c>
      <c r="X1837" s="0" t="str">
        <f aca="false">"31811002783986"</f>
        <v>31811002783986</v>
      </c>
      <c r="Y1837" s="0" t="s">
        <v>39</v>
      </c>
      <c r="Z1837" s="0" t="s">
        <v>42</v>
      </c>
      <c r="AA1837" s="0" t="s">
        <v>43</v>
      </c>
      <c r="AE1837" s="1" t="s">
        <v>52</v>
      </c>
    </row>
    <row r="1838" customFormat="false" ht="12.8" hidden="false" customHeight="false" outlineLevel="0" collapsed="false">
      <c r="A1838" s="0" t="n">
        <v>345137</v>
      </c>
      <c r="B1838" s="0" t="n">
        <v>374162</v>
      </c>
      <c r="C1838" s="0" t="n">
        <v>416486</v>
      </c>
      <c r="D1838" s="0" t="s">
        <v>35</v>
      </c>
      <c r="E1838" s="0" t="s">
        <v>35</v>
      </c>
      <c r="F1838" s="0" t="s">
        <v>36</v>
      </c>
      <c r="G1838" s="0" t="s">
        <v>37</v>
      </c>
      <c r="H1838" s="0" t="s">
        <v>6025</v>
      </c>
      <c r="J1838" s="0" t="s">
        <v>6026</v>
      </c>
      <c r="M1838" s="0" t="s">
        <v>6027</v>
      </c>
      <c r="N1838" s="0" t="s">
        <v>904</v>
      </c>
      <c r="O1838" s="0" t="s">
        <v>3351</v>
      </c>
      <c r="P1838" s="0" t="n">
        <v>1988</v>
      </c>
      <c r="Q1838" s="0" t="s">
        <v>39</v>
      </c>
      <c r="R1838" s="0" t="s">
        <v>6028</v>
      </c>
      <c r="S1838" s="0" t="s">
        <v>6029</v>
      </c>
      <c r="V1838" s="0" t="n">
        <v>1</v>
      </c>
      <c r="W1838" s="0" t="n">
        <v>1</v>
      </c>
      <c r="X1838" s="0" t="str">
        <f aca="false">"31811010757733"</f>
        <v>31811010757733</v>
      </c>
      <c r="Y1838" s="0" t="s">
        <v>39</v>
      </c>
      <c r="Z1838" s="0" t="s">
        <v>42</v>
      </c>
      <c r="AA1838" s="0" t="s">
        <v>43</v>
      </c>
      <c r="AE1838" s="1" t="s">
        <v>52</v>
      </c>
    </row>
    <row r="1839" customFormat="false" ht="12.8" hidden="false" customHeight="false" outlineLevel="0" collapsed="false">
      <c r="A1839" s="0" t="n">
        <v>437217</v>
      </c>
      <c r="B1839" s="0" t="n">
        <v>470800</v>
      </c>
      <c r="C1839" s="0" t="n">
        <v>526318</v>
      </c>
      <c r="D1839" s="0" t="s">
        <v>35</v>
      </c>
      <c r="E1839" s="0" t="s">
        <v>35</v>
      </c>
      <c r="F1839" s="0" t="s">
        <v>36</v>
      </c>
      <c r="G1839" s="0" t="s">
        <v>37</v>
      </c>
      <c r="H1839" s="0" t="s">
        <v>6030</v>
      </c>
      <c r="I1839" s="0" t="s">
        <v>6031</v>
      </c>
      <c r="J1839" s="0" t="s">
        <v>6030</v>
      </c>
      <c r="M1839" s="0" t="s">
        <v>6032</v>
      </c>
      <c r="N1839" s="0" t="s">
        <v>1980</v>
      </c>
      <c r="O1839" s="0" t="s">
        <v>3366</v>
      </c>
      <c r="P1839" s="0" t="n">
        <v>1990</v>
      </c>
      <c r="Q1839" s="0" t="s">
        <v>39</v>
      </c>
      <c r="R1839" s="0" t="s">
        <v>6033</v>
      </c>
      <c r="S1839" s="0" t="s">
        <v>6034</v>
      </c>
      <c r="V1839" s="0" t="n">
        <v>1</v>
      </c>
      <c r="W1839" s="0" t="n">
        <v>1</v>
      </c>
      <c r="X1839" s="0" t="str">
        <f aca="false">"31811010757774"</f>
        <v>31811010757774</v>
      </c>
      <c r="Y1839" s="0" t="s">
        <v>39</v>
      </c>
      <c r="Z1839" s="0" t="s">
        <v>42</v>
      </c>
      <c r="AA1839" s="0" t="s">
        <v>43</v>
      </c>
      <c r="AE1839" s="1" t="s">
        <v>52</v>
      </c>
    </row>
    <row r="1840" customFormat="false" ht="12.8" hidden="false" customHeight="false" outlineLevel="0" collapsed="false">
      <c r="A1840" s="0" t="n">
        <v>87124</v>
      </c>
      <c r="B1840" s="0" t="n">
        <v>94269</v>
      </c>
      <c r="C1840" s="0" t="n">
        <v>105838</v>
      </c>
      <c r="D1840" s="0" t="s">
        <v>35</v>
      </c>
      <c r="E1840" s="0" t="s">
        <v>35</v>
      </c>
      <c r="F1840" s="0" t="s">
        <v>36</v>
      </c>
      <c r="G1840" s="0" t="s">
        <v>37</v>
      </c>
      <c r="H1840" s="0" t="s">
        <v>6035</v>
      </c>
      <c r="J1840" s="0" t="s">
        <v>6036</v>
      </c>
      <c r="L1840" s="1" t="s">
        <v>6037</v>
      </c>
      <c r="M1840" s="0" t="s">
        <v>6038</v>
      </c>
      <c r="N1840" s="0" t="n">
        <v>1983</v>
      </c>
      <c r="O1840" s="0" t="s">
        <v>6039</v>
      </c>
      <c r="P1840" s="0" t="n">
        <v>1983</v>
      </c>
      <c r="Q1840" s="0" t="s">
        <v>39</v>
      </c>
      <c r="R1840" s="0" t="s">
        <v>6040</v>
      </c>
      <c r="S1840" s="0" t="s">
        <v>6041</v>
      </c>
      <c r="V1840" s="0" t="n">
        <v>1</v>
      </c>
      <c r="W1840" s="0" t="n">
        <v>1</v>
      </c>
      <c r="X1840" s="0" t="str">
        <f aca="false">"31811010757816"</f>
        <v>31811010757816</v>
      </c>
      <c r="Y1840" s="0" t="s">
        <v>39</v>
      </c>
      <c r="Z1840" s="0" t="s">
        <v>42</v>
      </c>
      <c r="AA1840" s="0" t="s">
        <v>43</v>
      </c>
      <c r="AE1840" s="1" t="s">
        <v>52</v>
      </c>
    </row>
    <row r="1841" customFormat="false" ht="12.8" hidden="false" customHeight="false" outlineLevel="0" collapsed="false">
      <c r="A1841" s="0" t="n">
        <v>93500</v>
      </c>
      <c r="B1841" s="0" t="n">
        <v>100998</v>
      </c>
      <c r="C1841" s="0" t="n">
        <v>113295</v>
      </c>
      <c r="D1841" s="0" t="s">
        <v>35</v>
      </c>
      <c r="E1841" s="0" t="s">
        <v>35</v>
      </c>
      <c r="F1841" s="0" t="s">
        <v>36</v>
      </c>
      <c r="G1841" s="0" t="s">
        <v>37</v>
      </c>
      <c r="H1841" s="0" t="s">
        <v>6042</v>
      </c>
      <c r="I1841" s="0" t="s">
        <v>6043</v>
      </c>
      <c r="J1841" s="0" t="s">
        <v>6044</v>
      </c>
      <c r="L1841" s="0" t="s">
        <v>6045</v>
      </c>
      <c r="M1841" s="0" t="s">
        <v>6046</v>
      </c>
      <c r="N1841" s="0" t="s">
        <v>880</v>
      </c>
      <c r="O1841" s="0" t="s">
        <v>6047</v>
      </c>
      <c r="P1841" s="0" t="n">
        <v>1984</v>
      </c>
      <c r="Q1841" s="0" t="s">
        <v>39</v>
      </c>
      <c r="R1841" s="0" t="s">
        <v>6048</v>
      </c>
      <c r="S1841" s="0" t="s">
        <v>6049</v>
      </c>
      <c r="V1841" s="0" t="n">
        <v>1</v>
      </c>
      <c r="W1841" s="0" t="n">
        <v>1</v>
      </c>
      <c r="X1841" s="0" t="str">
        <f aca="false">"31811010757824"</f>
        <v>31811010757824</v>
      </c>
      <c r="Y1841" s="0" t="s">
        <v>39</v>
      </c>
      <c r="Z1841" s="0" t="s">
        <v>42</v>
      </c>
      <c r="AA1841" s="0" t="s">
        <v>43</v>
      </c>
      <c r="AE1841" s="1" t="s">
        <v>52</v>
      </c>
    </row>
    <row r="1842" customFormat="false" ht="12.8" hidden="false" customHeight="false" outlineLevel="0" collapsed="false">
      <c r="A1842" s="0" t="n">
        <v>465776</v>
      </c>
      <c r="B1842" s="0" t="n">
        <v>497643</v>
      </c>
      <c r="C1842" s="0" t="n">
        <v>558769</v>
      </c>
      <c r="D1842" s="0" t="s">
        <v>35</v>
      </c>
      <c r="E1842" s="0" t="s">
        <v>35</v>
      </c>
      <c r="F1842" s="0" t="s">
        <v>36</v>
      </c>
      <c r="G1842" s="0" t="s">
        <v>37</v>
      </c>
      <c r="H1842" s="0" t="s">
        <v>6050</v>
      </c>
      <c r="I1842" s="0" t="s">
        <v>4444</v>
      </c>
      <c r="J1842" s="0" t="s">
        <v>6051</v>
      </c>
      <c r="M1842" s="0" t="s">
        <v>6052</v>
      </c>
      <c r="N1842" s="0" t="n">
        <v>1954</v>
      </c>
      <c r="P1842" s="0" t="n">
        <v>1954</v>
      </c>
      <c r="Q1842" s="0" t="s">
        <v>39</v>
      </c>
      <c r="R1842" s="0" t="s">
        <v>6053</v>
      </c>
      <c r="S1842" s="0" t="s">
        <v>6054</v>
      </c>
      <c r="V1842" s="0" t="n">
        <v>1</v>
      </c>
      <c r="W1842" s="0" t="n">
        <v>1</v>
      </c>
      <c r="X1842" s="0" t="str">
        <f aca="false">"31811010757782"</f>
        <v>31811010757782</v>
      </c>
      <c r="Y1842" s="0" t="s">
        <v>39</v>
      </c>
      <c r="Z1842" s="0" t="s">
        <v>42</v>
      </c>
      <c r="AA1842" s="0" t="s">
        <v>43</v>
      </c>
      <c r="AE1842" s="1" t="s">
        <v>52</v>
      </c>
    </row>
    <row r="1843" customFormat="false" ht="12.8" hidden="false" customHeight="false" outlineLevel="0" collapsed="false">
      <c r="A1843" s="0" t="n">
        <v>489773</v>
      </c>
      <c r="B1843" s="0" t="n">
        <v>522441</v>
      </c>
      <c r="C1843" s="0" t="n">
        <v>586401</v>
      </c>
      <c r="D1843" s="0" t="s">
        <v>35</v>
      </c>
      <c r="E1843" s="0" t="s">
        <v>35</v>
      </c>
      <c r="F1843" s="0" t="s">
        <v>36</v>
      </c>
      <c r="G1843" s="0" t="s">
        <v>37</v>
      </c>
      <c r="H1843" s="0" t="s">
        <v>6055</v>
      </c>
      <c r="I1843" s="0" t="s">
        <v>6056</v>
      </c>
      <c r="J1843" s="0" t="s">
        <v>6057</v>
      </c>
      <c r="M1843" s="0" t="s">
        <v>6058</v>
      </c>
      <c r="N1843" s="0" t="n">
        <v>1993</v>
      </c>
      <c r="O1843" s="0" t="s">
        <v>3366</v>
      </c>
      <c r="P1843" s="0" t="n">
        <v>1993</v>
      </c>
      <c r="Q1843" s="0" t="s">
        <v>39</v>
      </c>
      <c r="R1843" s="0" t="s">
        <v>6059</v>
      </c>
      <c r="S1843" s="0" t="s">
        <v>6060</v>
      </c>
      <c r="V1843" s="0" t="n">
        <v>1</v>
      </c>
      <c r="W1843" s="0" t="n">
        <v>1</v>
      </c>
      <c r="X1843" s="0" t="str">
        <f aca="false">"31811010843293"</f>
        <v>31811010843293</v>
      </c>
      <c r="Y1843" s="0" t="s">
        <v>39</v>
      </c>
      <c r="Z1843" s="0" t="s">
        <v>42</v>
      </c>
      <c r="AA1843" s="0" t="s">
        <v>43</v>
      </c>
      <c r="AE1843" s="1" t="s">
        <v>52</v>
      </c>
      <c r="AH1843" s="1" t="s">
        <v>6061</v>
      </c>
    </row>
    <row r="1844" customFormat="false" ht="12.8" hidden="false" customHeight="false" outlineLevel="0" collapsed="false">
      <c r="A1844" s="0" t="n">
        <v>412832</v>
      </c>
      <c r="B1844" s="0" t="n">
        <v>445363</v>
      </c>
      <c r="C1844" s="0" t="n">
        <v>496507</v>
      </c>
      <c r="D1844" s="0" t="s">
        <v>35</v>
      </c>
      <c r="E1844" s="0" t="s">
        <v>35</v>
      </c>
      <c r="F1844" s="0" t="s">
        <v>36</v>
      </c>
      <c r="G1844" s="0" t="s">
        <v>412</v>
      </c>
      <c r="H1844" s="0" t="s">
        <v>6062</v>
      </c>
      <c r="I1844" s="0" t="s">
        <v>3651</v>
      </c>
      <c r="J1844" s="0" t="s">
        <v>6062</v>
      </c>
      <c r="M1844" s="0" t="s">
        <v>6063</v>
      </c>
      <c r="N1844" s="0" t="n">
        <v>1928</v>
      </c>
      <c r="P1844" s="0" t="n">
        <v>1928</v>
      </c>
      <c r="Q1844" s="0" t="s">
        <v>39</v>
      </c>
      <c r="R1844" s="0" t="s">
        <v>6064</v>
      </c>
      <c r="S1844" s="0" t="s">
        <v>6065</v>
      </c>
      <c r="V1844" s="0" t="n">
        <v>1</v>
      </c>
      <c r="W1844" s="0" t="n">
        <v>1</v>
      </c>
      <c r="X1844" s="0" t="str">
        <f aca="false">"31811010757709"</f>
        <v>31811010757709</v>
      </c>
      <c r="Y1844" s="0" t="s">
        <v>39</v>
      </c>
      <c r="Z1844" s="0" t="s">
        <v>42</v>
      </c>
      <c r="AA1844" s="0" t="s">
        <v>43</v>
      </c>
      <c r="AE1844" s="1" t="s">
        <v>52</v>
      </c>
    </row>
    <row r="1845" customFormat="false" ht="12.8" hidden="false" customHeight="false" outlineLevel="0" collapsed="false">
      <c r="A1845" s="0" t="n">
        <v>51473</v>
      </c>
      <c r="B1845" s="0" t="n">
        <v>55743</v>
      </c>
      <c r="C1845" s="0" t="n">
        <v>61456</v>
      </c>
      <c r="D1845" s="0" t="s">
        <v>35</v>
      </c>
      <c r="E1845" s="0" t="s">
        <v>35</v>
      </c>
      <c r="F1845" s="0" t="s">
        <v>36</v>
      </c>
      <c r="G1845" s="0" t="s">
        <v>37</v>
      </c>
      <c r="H1845" s="0" t="s">
        <v>6066</v>
      </c>
      <c r="I1845" s="0" t="s">
        <v>6067</v>
      </c>
      <c r="J1845" s="0" t="s">
        <v>6068</v>
      </c>
      <c r="M1845" s="0" t="s">
        <v>6069</v>
      </c>
      <c r="N1845" s="0" t="s">
        <v>860</v>
      </c>
      <c r="O1845" s="0" t="s">
        <v>6070</v>
      </c>
      <c r="P1845" s="0" t="n">
        <v>1967</v>
      </c>
      <c r="Q1845" s="0" t="s">
        <v>39</v>
      </c>
      <c r="R1845" s="0" t="s">
        <v>6071</v>
      </c>
      <c r="S1845" s="0" t="s">
        <v>6072</v>
      </c>
      <c r="V1845" s="0" t="n">
        <v>1</v>
      </c>
      <c r="W1845" s="0" t="n">
        <v>1</v>
      </c>
      <c r="X1845" s="0" t="str">
        <f aca="false">"31811010757741"</f>
        <v>31811010757741</v>
      </c>
      <c r="Y1845" s="0" t="s">
        <v>39</v>
      </c>
      <c r="Z1845" s="0" t="s">
        <v>42</v>
      </c>
      <c r="AA1845" s="0" t="s">
        <v>43</v>
      </c>
      <c r="AE1845" s="1" t="s">
        <v>52</v>
      </c>
    </row>
    <row r="1846" customFormat="false" ht="12.8" hidden="false" customHeight="false" outlineLevel="0" collapsed="false">
      <c r="A1846" s="0" t="n">
        <v>88833</v>
      </c>
      <c r="B1846" s="0" t="n">
        <v>96112</v>
      </c>
      <c r="C1846" s="0" t="n">
        <v>107893</v>
      </c>
      <c r="D1846" s="0" t="s">
        <v>35</v>
      </c>
      <c r="E1846" s="0" t="s">
        <v>35</v>
      </c>
      <c r="F1846" s="0" t="s">
        <v>36</v>
      </c>
      <c r="G1846" s="0" t="s">
        <v>37</v>
      </c>
      <c r="H1846" s="0" t="s">
        <v>6073</v>
      </c>
      <c r="I1846" s="0" t="s">
        <v>6074</v>
      </c>
      <c r="J1846" s="0" t="s">
        <v>6075</v>
      </c>
      <c r="L1846" s="0" t="s">
        <v>6076</v>
      </c>
      <c r="M1846" s="0" t="s">
        <v>6077</v>
      </c>
      <c r="N1846" s="0" t="s">
        <v>1919</v>
      </c>
      <c r="O1846" s="0" t="s">
        <v>6078</v>
      </c>
      <c r="P1846" s="0" t="n">
        <v>1983</v>
      </c>
      <c r="Q1846" s="0" t="s">
        <v>39</v>
      </c>
      <c r="R1846" s="0" t="s">
        <v>6079</v>
      </c>
      <c r="S1846" s="0" t="s">
        <v>6080</v>
      </c>
      <c r="V1846" s="0" t="n">
        <v>1</v>
      </c>
      <c r="W1846" s="0" t="n">
        <v>1</v>
      </c>
      <c r="X1846" s="0" t="str">
        <f aca="false">"31811010757840"</f>
        <v>31811010757840</v>
      </c>
      <c r="Y1846" s="0" t="s">
        <v>39</v>
      </c>
      <c r="Z1846" s="0" t="s">
        <v>42</v>
      </c>
      <c r="AA1846" s="0" t="s">
        <v>43</v>
      </c>
      <c r="AE1846" s="1" t="s">
        <v>52</v>
      </c>
    </row>
    <row r="1847" customFormat="false" ht="12.8" hidden="false" customHeight="false" outlineLevel="0" collapsed="false">
      <c r="A1847" s="0" t="n">
        <v>10524</v>
      </c>
      <c r="B1847" s="0" t="n">
        <v>12162</v>
      </c>
      <c r="C1847" s="0" t="n">
        <v>14153</v>
      </c>
      <c r="D1847" s="0" t="s">
        <v>35</v>
      </c>
      <c r="E1847" s="0" t="s">
        <v>35</v>
      </c>
      <c r="F1847" s="0" t="s">
        <v>36</v>
      </c>
      <c r="G1847" s="0" t="s">
        <v>37</v>
      </c>
      <c r="H1847" s="0" t="s">
        <v>6081</v>
      </c>
      <c r="I1847" s="0" t="s">
        <v>5994</v>
      </c>
      <c r="J1847" s="0" t="s">
        <v>6082</v>
      </c>
      <c r="M1847" s="0" t="s">
        <v>6083</v>
      </c>
      <c r="N1847" s="0" t="n">
        <v>1965</v>
      </c>
      <c r="O1847" s="0" t="s">
        <v>6084</v>
      </c>
      <c r="P1847" s="0" t="n">
        <v>1965</v>
      </c>
      <c r="Q1847" s="0" t="s">
        <v>39</v>
      </c>
      <c r="R1847" s="0" t="s">
        <v>6085</v>
      </c>
      <c r="S1847" s="0" t="s">
        <v>6086</v>
      </c>
      <c r="V1847" s="0" t="n">
        <v>1</v>
      </c>
      <c r="W1847" s="0" t="n">
        <v>1</v>
      </c>
      <c r="X1847" s="0" t="str">
        <f aca="false">"31811010757758"</f>
        <v>31811010757758</v>
      </c>
      <c r="Y1847" s="0" t="s">
        <v>39</v>
      </c>
      <c r="Z1847" s="0" t="s">
        <v>42</v>
      </c>
      <c r="AA1847" s="0" t="s">
        <v>43</v>
      </c>
      <c r="AE1847" s="1" t="s">
        <v>52</v>
      </c>
    </row>
    <row r="1848" customFormat="false" ht="12.8" hidden="false" customHeight="false" outlineLevel="0" collapsed="false">
      <c r="A1848" s="0" t="n">
        <v>48214</v>
      </c>
      <c r="B1848" s="0" t="n">
        <v>52321</v>
      </c>
      <c r="C1848" s="0" t="n">
        <v>57838</v>
      </c>
      <c r="D1848" s="0" t="s">
        <v>35</v>
      </c>
      <c r="E1848" s="0" t="s">
        <v>35</v>
      </c>
      <c r="F1848" s="0" t="s">
        <v>36</v>
      </c>
      <c r="G1848" s="0" t="s">
        <v>37</v>
      </c>
      <c r="H1848" s="0" t="s">
        <v>6087</v>
      </c>
      <c r="I1848" s="0" t="s">
        <v>6088</v>
      </c>
      <c r="J1848" s="0" t="s">
        <v>6089</v>
      </c>
      <c r="L1848" s="0" t="n">
        <v>807724955</v>
      </c>
      <c r="M1848" s="0" t="s">
        <v>6090</v>
      </c>
      <c r="N1848" s="0" t="s">
        <v>1854</v>
      </c>
      <c r="O1848" s="0" t="s">
        <v>6091</v>
      </c>
      <c r="P1848" s="0" t="n">
        <v>1976</v>
      </c>
      <c r="Q1848" s="0" t="s">
        <v>39</v>
      </c>
      <c r="R1848" s="0" t="s">
        <v>6092</v>
      </c>
      <c r="S1848" s="0" t="s">
        <v>6093</v>
      </c>
      <c r="V1848" s="0" t="n">
        <v>1</v>
      </c>
      <c r="W1848" s="0" t="n">
        <v>1</v>
      </c>
      <c r="X1848" s="0" t="str">
        <f aca="false">"31811010757766"</f>
        <v>31811010757766</v>
      </c>
      <c r="Y1848" s="0" t="s">
        <v>39</v>
      </c>
      <c r="Z1848" s="0" t="s">
        <v>42</v>
      </c>
      <c r="AA1848" s="0" t="s">
        <v>43</v>
      </c>
      <c r="AE1848" s="1" t="s">
        <v>52</v>
      </c>
    </row>
    <row r="1849" customFormat="false" ht="12.8" hidden="false" customHeight="false" outlineLevel="0" collapsed="false">
      <c r="A1849" s="0" t="n">
        <v>256330</v>
      </c>
      <c r="B1849" s="0" t="n">
        <v>280837</v>
      </c>
      <c r="C1849" s="0" t="n">
        <v>315430</v>
      </c>
      <c r="D1849" s="0" t="s">
        <v>35</v>
      </c>
      <c r="E1849" s="0" t="s">
        <v>35</v>
      </c>
      <c r="F1849" s="0" t="s">
        <v>36</v>
      </c>
      <c r="G1849" s="0" t="s">
        <v>37</v>
      </c>
      <c r="H1849" s="0" t="s">
        <v>6094</v>
      </c>
      <c r="I1849" s="0" t="s">
        <v>6095</v>
      </c>
      <c r="J1849" s="0" t="s">
        <v>6096</v>
      </c>
      <c r="L1849" s="0" t="n">
        <v>700222820</v>
      </c>
      <c r="M1849" s="0" t="s">
        <v>6097</v>
      </c>
      <c r="N1849" s="0" t="s">
        <v>296</v>
      </c>
      <c r="O1849" s="0" t="s">
        <v>6098</v>
      </c>
      <c r="P1849" s="0" t="n">
        <v>1970</v>
      </c>
      <c r="Q1849" s="0" t="s">
        <v>39</v>
      </c>
      <c r="R1849" s="0" t="s">
        <v>6099</v>
      </c>
      <c r="S1849" s="0" t="s">
        <v>6100</v>
      </c>
      <c r="V1849" s="0" t="n">
        <v>1</v>
      </c>
      <c r="W1849" s="0" t="n">
        <v>1</v>
      </c>
      <c r="X1849" s="0" t="str">
        <f aca="false">"31811010757717"</f>
        <v>31811010757717</v>
      </c>
      <c r="Y1849" s="0" t="s">
        <v>39</v>
      </c>
      <c r="Z1849" s="0" t="s">
        <v>42</v>
      </c>
      <c r="AA1849" s="0" t="s">
        <v>43</v>
      </c>
      <c r="AE1849" s="1" t="s">
        <v>52</v>
      </c>
    </row>
    <row r="1850" customFormat="false" ht="12.8" hidden="false" customHeight="false" outlineLevel="0" collapsed="false">
      <c r="A1850" s="0" t="n">
        <v>67142</v>
      </c>
      <c r="B1850" s="0" t="n">
        <v>72826</v>
      </c>
      <c r="C1850" s="0" t="n">
        <v>80546</v>
      </c>
      <c r="D1850" s="0" t="s">
        <v>35</v>
      </c>
      <c r="E1850" s="0" t="s">
        <v>35</v>
      </c>
      <c r="F1850" s="0" t="s">
        <v>36</v>
      </c>
      <c r="G1850" s="0" t="s">
        <v>37</v>
      </c>
      <c r="H1850" s="0" t="s">
        <v>6101</v>
      </c>
      <c r="I1850" s="0" t="s">
        <v>6102</v>
      </c>
      <c r="J1850" s="0" t="s">
        <v>6103</v>
      </c>
      <c r="L1850" s="0" t="n">
        <v>9027710961</v>
      </c>
      <c r="M1850" s="0" t="s">
        <v>6104</v>
      </c>
      <c r="N1850" s="0" t="s">
        <v>1890</v>
      </c>
      <c r="O1850" s="0" t="s">
        <v>6105</v>
      </c>
      <c r="P1850" s="0" t="n">
        <v>1980</v>
      </c>
      <c r="Q1850" s="0" t="s">
        <v>39</v>
      </c>
      <c r="R1850" s="0" t="s">
        <v>6106</v>
      </c>
      <c r="S1850" s="0" t="s">
        <v>6107</v>
      </c>
      <c r="V1850" s="0" t="n">
        <v>1</v>
      </c>
      <c r="W1850" s="0" t="n">
        <v>1</v>
      </c>
      <c r="X1850" s="0" t="str">
        <f aca="false">"31811010757725"</f>
        <v>31811010757725</v>
      </c>
      <c r="Y1850" s="0" t="s">
        <v>39</v>
      </c>
      <c r="Z1850" s="0" t="s">
        <v>42</v>
      </c>
      <c r="AA1850" s="0" t="s">
        <v>43</v>
      </c>
      <c r="AE1850" s="1" t="s">
        <v>52</v>
      </c>
      <c r="AH1850" s="1" t="s">
        <v>6108</v>
      </c>
    </row>
    <row r="1851" customFormat="false" ht="12.8" hidden="false" customHeight="false" outlineLevel="0" collapsed="false">
      <c r="A1851" s="0" t="n">
        <v>180477</v>
      </c>
      <c r="B1851" s="0" t="n">
        <v>197363</v>
      </c>
      <c r="C1851" s="0" t="n">
        <v>221735</v>
      </c>
      <c r="D1851" s="0" t="s">
        <v>35</v>
      </c>
      <c r="E1851" s="0" t="s">
        <v>35</v>
      </c>
      <c r="F1851" s="0" t="s">
        <v>36</v>
      </c>
      <c r="G1851" s="0" t="s">
        <v>37</v>
      </c>
      <c r="H1851" s="0" t="s">
        <v>6109</v>
      </c>
      <c r="J1851" s="0" t="s">
        <v>6110</v>
      </c>
      <c r="M1851" s="0" t="s">
        <v>6111</v>
      </c>
      <c r="N1851" s="0" t="n">
        <v>1967</v>
      </c>
      <c r="O1851" s="0" t="s">
        <v>6112</v>
      </c>
      <c r="P1851" s="0" t="n">
        <v>1967</v>
      </c>
      <c r="Q1851" s="0" t="s">
        <v>39</v>
      </c>
      <c r="R1851" s="0" t="s">
        <v>6113</v>
      </c>
      <c r="S1851" s="0" t="s">
        <v>6114</v>
      </c>
      <c r="V1851" s="0" t="n">
        <v>1</v>
      </c>
      <c r="W1851" s="0" t="n">
        <v>1</v>
      </c>
      <c r="X1851" s="0" t="str">
        <f aca="false">"31811010757808"</f>
        <v>31811010757808</v>
      </c>
      <c r="Y1851" s="0" t="s">
        <v>39</v>
      </c>
      <c r="Z1851" s="0" t="s">
        <v>42</v>
      </c>
      <c r="AA1851" s="0" t="s">
        <v>43</v>
      </c>
      <c r="AE1851" s="1" t="s">
        <v>52</v>
      </c>
    </row>
    <row r="1852" customFormat="false" ht="12.8" hidden="false" customHeight="false" outlineLevel="0" collapsed="false">
      <c r="A1852" s="0" t="n">
        <v>370001</v>
      </c>
      <c r="B1852" s="0" t="n">
        <v>399902</v>
      </c>
      <c r="C1852" s="0" t="n">
        <v>445120</v>
      </c>
      <c r="D1852" s="0" t="s">
        <v>35</v>
      </c>
      <c r="E1852" s="0" t="s">
        <v>35</v>
      </c>
      <c r="F1852" s="0" t="s">
        <v>36</v>
      </c>
      <c r="G1852" s="0" t="s">
        <v>37</v>
      </c>
      <c r="H1852" s="0" t="s">
        <v>6115</v>
      </c>
      <c r="I1852" s="0" t="s">
        <v>6116</v>
      </c>
      <c r="J1852" s="0" t="s">
        <v>6117</v>
      </c>
      <c r="L1852" s="0" t="s">
        <v>6118</v>
      </c>
      <c r="M1852" s="0" t="s">
        <v>6119</v>
      </c>
      <c r="N1852" s="0" t="s">
        <v>744</v>
      </c>
      <c r="O1852" s="0" t="s">
        <v>6120</v>
      </c>
      <c r="P1852" s="0" t="n">
        <v>1989</v>
      </c>
      <c r="Q1852" s="0" t="s">
        <v>39</v>
      </c>
      <c r="R1852" s="0" t="s">
        <v>6121</v>
      </c>
      <c r="S1852" s="0" t="s">
        <v>6122</v>
      </c>
      <c r="V1852" s="0" t="n">
        <v>1</v>
      </c>
      <c r="W1852" s="0" t="n">
        <v>1</v>
      </c>
      <c r="X1852" s="0" t="str">
        <f aca="false">"31811010757626"</f>
        <v>31811010757626</v>
      </c>
      <c r="Y1852" s="0" t="s">
        <v>39</v>
      </c>
      <c r="Z1852" s="0" t="s">
        <v>42</v>
      </c>
      <c r="AA1852" s="0" t="s">
        <v>43</v>
      </c>
      <c r="AE1852" s="1" t="s">
        <v>52</v>
      </c>
    </row>
    <row r="1853" customFormat="false" ht="12.8" hidden="false" customHeight="false" outlineLevel="0" collapsed="false">
      <c r="A1853" s="0" t="n">
        <v>245690</v>
      </c>
      <c r="B1853" s="0" t="n">
        <v>269272</v>
      </c>
      <c r="C1853" s="0" t="n">
        <v>302786</v>
      </c>
      <c r="D1853" s="0" t="s">
        <v>35</v>
      </c>
      <c r="E1853" s="0" t="s">
        <v>35</v>
      </c>
      <c r="F1853" s="0" t="s">
        <v>36</v>
      </c>
      <c r="G1853" s="0" t="s">
        <v>37</v>
      </c>
      <c r="H1853" s="0" t="s">
        <v>6123</v>
      </c>
      <c r="I1853" s="0" t="s">
        <v>6124</v>
      </c>
      <c r="J1853" s="0" t="s">
        <v>6123</v>
      </c>
      <c r="M1853" s="0" t="s">
        <v>6125</v>
      </c>
      <c r="N1853" s="0" t="n">
        <v>1953</v>
      </c>
      <c r="O1853" s="0" t="s">
        <v>6126</v>
      </c>
      <c r="P1853" s="0" t="n">
        <v>1953</v>
      </c>
      <c r="Q1853" s="0" t="s">
        <v>39</v>
      </c>
      <c r="R1853" s="0" t="s">
        <v>6127</v>
      </c>
      <c r="S1853" s="0" t="s">
        <v>6128</v>
      </c>
      <c r="V1853" s="0" t="n">
        <v>1</v>
      </c>
      <c r="W1853" s="0" t="n">
        <v>1</v>
      </c>
      <c r="X1853" s="0" t="str">
        <f aca="false">"31811010757667"</f>
        <v>31811010757667</v>
      </c>
      <c r="Y1853" s="0" t="s">
        <v>39</v>
      </c>
      <c r="Z1853" s="0" t="s">
        <v>42</v>
      </c>
      <c r="AA1853" s="0" t="s">
        <v>43</v>
      </c>
      <c r="AE1853" s="1" t="s">
        <v>52</v>
      </c>
    </row>
    <row r="1854" customFormat="false" ht="12.8" hidden="false" customHeight="false" outlineLevel="0" collapsed="false">
      <c r="A1854" s="0" t="n">
        <v>280485</v>
      </c>
      <c r="B1854" s="0" t="n">
        <v>306688</v>
      </c>
      <c r="C1854" s="0" t="n">
        <v>343621</v>
      </c>
      <c r="D1854" s="0" t="s">
        <v>35</v>
      </c>
      <c r="E1854" s="0" t="s">
        <v>35</v>
      </c>
      <c r="F1854" s="0" t="s">
        <v>36</v>
      </c>
      <c r="G1854" s="0" t="s">
        <v>37</v>
      </c>
      <c r="H1854" s="0" t="s">
        <v>6129</v>
      </c>
      <c r="I1854" s="0" t="s">
        <v>6130</v>
      </c>
      <c r="J1854" s="0" t="s">
        <v>6131</v>
      </c>
      <c r="M1854" s="0" t="s">
        <v>6132</v>
      </c>
      <c r="N1854" s="0" t="s">
        <v>6133</v>
      </c>
      <c r="O1854" s="0" t="s">
        <v>6134</v>
      </c>
      <c r="P1854" s="0" t="n">
        <v>1923</v>
      </c>
      <c r="Q1854" s="0" t="s">
        <v>39</v>
      </c>
      <c r="R1854" s="0" t="s">
        <v>6135</v>
      </c>
      <c r="S1854" s="0" t="s">
        <v>6136</v>
      </c>
      <c r="V1854" s="0" t="n">
        <v>1</v>
      </c>
      <c r="W1854" s="0" t="n">
        <v>1</v>
      </c>
      <c r="X1854" s="0" t="str">
        <f aca="false">"31811010757634"</f>
        <v>31811010757634</v>
      </c>
      <c r="Y1854" s="0" t="s">
        <v>39</v>
      </c>
      <c r="Z1854" s="0" t="s">
        <v>42</v>
      </c>
      <c r="AA1854" s="0" t="s">
        <v>43</v>
      </c>
      <c r="AE1854" s="1" t="s">
        <v>52</v>
      </c>
    </row>
    <row r="1855" customFormat="false" ht="12.8" hidden="false" customHeight="false" outlineLevel="0" collapsed="false">
      <c r="A1855" s="0" t="n">
        <v>30540</v>
      </c>
      <c r="B1855" s="0" t="n">
        <v>33514</v>
      </c>
      <c r="C1855" s="0" t="n">
        <v>37502</v>
      </c>
      <c r="D1855" s="0" t="s">
        <v>35</v>
      </c>
      <c r="E1855" s="0" t="s">
        <v>35</v>
      </c>
      <c r="F1855" s="0" t="s">
        <v>36</v>
      </c>
      <c r="G1855" s="0" t="s">
        <v>37</v>
      </c>
      <c r="H1855" s="0" t="s">
        <v>6137</v>
      </c>
      <c r="I1855" s="0" t="s">
        <v>6138</v>
      </c>
      <c r="J1855" s="0" t="s">
        <v>6137</v>
      </c>
      <c r="M1855" s="0" t="s">
        <v>6139</v>
      </c>
      <c r="N1855" s="0" t="s">
        <v>819</v>
      </c>
      <c r="O1855" s="0" t="s">
        <v>6140</v>
      </c>
      <c r="P1855" s="0" t="n">
        <v>1956</v>
      </c>
      <c r="Q1855" s="0" t="s">
        <v>39</v>
      </c>
      <c r="R1855" s="0" t="s">
        <v>6141</v>
      </c>
      <c r="S1855" s="0" t="s">
        <v>6142</v>
      </c>
      <c r="V1855" s="0" t="n">
        <v>1</v>
      </c>
      <c r="W1855" s="0" t="n">
        <v>1</v>
      </c>
      <c r="X1855" s="0" t="str">
        <f aca="false">"31811010651282"</f>
        <v>31811010651282</v>
      </c>
      <c r="Y1855" s="0" t="s">
        <v>39</v>
      </c>
      <c r="Z1855" s="0" t="s">
        <v>42</v>
      </c>
      <c r="AA1855" s="0" t="s">
        <v>43</v>
      </c>
      <c r="AE1855" s="1" t="s">
        <v>52</v>
      </c>
      <c r="AF1855" s="1" t="s">
        <v>433</v>
      </c>
    </row>
    <row r="1856" customFormat="false" ht="12.8" hidden="false" customHeight="false" outlineLevel="0" collapsed="false">
      <c r="A1856" s="0" t="n">
        <v>183132</v>
      </c>
      <c r="B1856" s="0" t="n">
        <v>200392</v>
      </c>
      <c r="C1856" s="0" t="n">
        <v>225202</v>
      </c>
      <c r="D1856" s="0" t="s">
        <v>35</v>
      </c>
      <c r="E1856" s="0" t="s">
        <v>35</v>
      </c>
      <c r="F1856" s="0" t="s">
        <v>36</v>
      </c>
      <c r="G1856" s="0" t="s">
        <v>37</v>
      </c>
      <c r="H1856" s="0" t="s">
        <v>6143</v>
      </c>
      <c r="I1856" s="0" t="s">
        <v>6144</v>
      </c>
      <c r="J1856" s="0" t="s">
        <v>6145</v>
      </c>
      <c r="L1856" s="0" t="n">
        <v>486207005</v>
      </c>
      <c r="M1856" s="0" t="s">
        <v>6146</v>
      </c>
      <c r="N1856" s="0" t="s">
        <v>3357</v>
      </c>
      <c r="O1856" s="0" t="s">
        <v>6147</v>
      </c>
      <c r="P1856" s="0" t="n">
        <v>1971</v>
      </c>
      <c r="Q1856" s="0" t="s">
        <v>39</v>
      </c>
      <c r="R1856" s="0" t="s">
        <v>6148</v>
      </c>
      <c r="S1856" s="0" t="s">
        <v>6149</v>
      </c>
      <c r="V1856" s="0" t="n">
        <v>1</v>
      </c>
      <c r="W1856" s="0" t="n">
        <v>1</v>
      </c>
      <c r="X1856" s="0" t="str">
        <f aca="false">"31811010651050"</f>
        <v>31811010651050</v>
      </c>
      <c r="Y1856" s="0" t="s">
        <v>39</v>
      </c>
      <c r="Z1856" s="0" t="s">
        <v>42</v>
      </c>
      <c r="AA1856" s="0" t="s">
        <v>43</v>
      </c>
      <c r="AE1856" s="1" t="s">
        <v>52</v>
      </c>
      <c r="AF1856" s="1" t="s">
        <v>433</v>
      </c>
    </row>
    <row r="1857" customFormat="false" ht="12.8" hidden="false" customHeight="false" outlineLevel="0" collapsed="false">
      <c r="A1857" s="0" t="n">
        <v>583115</v>
      </c>
      <c r="B1857" s="0" t="n">
        <v>623171</v>
      </c>
      <c r="C1857" s="0" t="n">
        <v>699830</v>
      </c>
      <c r="D1857" s="0" t="s">
        <v>35</v>
      </c>
      <c r="E1857" s="0" t="s">
        <v>35</v>
      </c>
      <c r="F1857" s="0" t="s">
        <v>36</v>
      </c>
      <c r="G1857" s="0" t="s">
        <v>37</v>
      </c>
      <c r="H1857" s="0" t="s">
        <v>6150</v>
      </c>
      <c r="I1857" s="0" t="s">
        <v>6151</v>
      </c>
      <c r="J1857" s="0" t="s">
        <v>6152</v>
      </c>
      <c r="M1857" s="0" t="s">
        <v>6153</v>
      </c>
      <c r="N1857" s="0" t="n">
        <v>1969</v>
      </c>
      <c r="O1857" s="0" t="s">
        <v>6154</v>
      </c>
      <c r="P1857" s="0" t="n">
        <v>1969</v>
      </c>
      <c r="Q1857" s="0" t="s">
        <v>39</v>
      </c>
      <c r="R1857" s="0" t="s">
        <v>6155</v>
      </c>
      <c r="S1857" s="0" t="s">
        <v>6156</v>
      </c>
      <c r="V1857" s="0" t="n">
        <v>1</v>
      </c>
      <c r="W1857" s="0" t="n">
        <v>1</v>
      </c>
      <c r="X1857" s="0" t="str">
        <f aca="false">"31811012860832"</f>
        <v>31811012860832</v>
      </c>
      <c r="Y1857" s="0" t="s">
        <v>39</v>
      </c>
      <c r="Z1857" s="0" t="s">
        <v>42</v>
      </c>
      <c r="AA1857" s="0" t="s">
        <v>43</v>
      </c>
      <c r="AE1857" s="1" t="s">
        <v>6157</v>
      </c>
      <c r="AF1857" s="1" t="s">
        <v>433</v>
      </c>
    </row>
    <row r="1858" customFormat="false" ht="12.8" hidden="false" customHeight="false" outlineLevel="0" collapsed="false">
      <c r="A1858" s="0" t="n">
        <v>524189</v>
      </c>
      <c r="B1858" s="0" t="n">
        <v>561667</v>
      </c>
      <c r="C1858" s="0" t="n">
        <v>634674</v>
      </c>
      <c r="D1858" s="0" t="s">
        <v>35</v>
      </c>
      <c r="E1858" s="0" t="s">
        <v>35</v>
      </c>
      <c r="F1858" s="0" t="s">
        <v>36</v>
      </c>
      <c r="G1858" s="0" t="s">
        <v>37</v>
      </c>
      <c r="H1858" s="0" t="s">
        <v>6158</v>
      </c>
      <c r="I1858" s="0" t="s">
        <v>6159</v>
      </c>
      <c r="J1858" s="0" t="s">
        <v>6160</v>
      </c>
      <c r="L1858" s="0" t="s">
        <v>6161</v>
      </c>
      <c r="M1858" s="0" t="s">
        <v>6162</v>
      </c>
      <c r="N1858" s="0" t="s">
        <v>3365</v>
      </c>
      <c r="O1858" s="0" t="s">
        <v>6047</v>
      </c>
      <c r="P1858" s="0" t="n">
        <v>1997</v>
      </c>
      <c r="Q1858" s="0" t="s">
        <v>39</v>
      </c>
      <c r="R1858" s="0" t="s">
        <v>6163</v>
      </c>
      <c r="S1858" s="0" t="s">
        <v>6164</v>
      </c>
      <c r="V1858" s="0" t="n">
        <v>1</v>
      </c>
      <c r="W1858" s="0" t="n">
        <v>1</v>
      </c>
      <c r="X1858" s="0" t="str">
        <f aca="false">"31811011860999"</f>
        <v>31811011860999</v>
      </c>
      <c r="Y1858" s="0" t="s">
        <v>39</v>
      </c>
      <c r="Z1858" s="0" t="s">
        <v>42</v>
      </c>
      <c r="AA1858" s="0" t="s">
        <v>43</v>
      </c>
      <c r="AE1858" s="1" t="s">
        <v>52</v>
      </c>
    </row>
    <row r="1859" customFormat="false" ht="12.8" hidden="false" customHeight="false" outlineLevel="0" collapsed="false">
      <c r="A1859" s="0" t="n">
        <v>369369</v>
      </c>
      <c r="B1859" s="0" t="n">
        <v>399246</v>
      </c>
      <c r="C1859" s="0" t="n">
        <v>444420</v>
      </c>
      <c r="D1859" s="0" t="s">
        <v>35</v>
      </c>
      <c r="E1859" s="0" t="s">
        <v>35</v>
      </c>
      <c r="F1859" s="0" t="s">
        <v>36</v>
      </c>
      <c r="G1859" s="0" t="s">
        <v>37</v>
      </c>
      <c r="H1859" s="0" t="s">
        <v>6165</v>
      </c>
      <c r="I1859" s="0" t="s">
        <v>6166</v>
      </c>
      <c r="J1859" s="0" t="s">
        <v>6167</v>
      </c>
      <c r="M1859" s="0" t="s">
        <v>6168</v>
      </c>
      <c r="N1859" s="0" t="n">
        <v>1989</v>
      </c>
      <c r="O1859" s="0" t="s">
        <v>3366</v>
      </c>
      <c r="P1859" s="0" t="n">
        <v>1989</v>
      </c>
      <c r="Q1859" s="0" t="s">
        <v>39</v>
      </c>
      <c r="R1859" s="0" t="s">
        <v>6169</v>
      </c>
      <c r="S1859" s="0" t="s">
        <v>6170</v>
      </c>
      <c r="V1859" s="0" t="n">
        <v>1</v>
      </c>
      <c r="W1859" s="0" t="n">
        <v>1</v>
      </c>
      <c r="X1859" s="0" t="str">
        <f aca="false">"31811002815390"</f>
        <v>31811002815390</v>
      </c>
      <c r="Y1859" s="0" t="s">
        <v>39</v>
      </c>
      <c r="Z1859" s="0" t="s">
        <v>42</v>
      </c>
      <c r="AA1859" s="0" t="s">
        <v>43</v>
      </c>
      <c r="AE1859" s="1" t="s">
        <v>52</v>
      </c>
    </row>
    <row r="1860" customFormat="false" ht="12.8" hidden="false" customHeight="false" outlineLevel="0" collapsed="false">
      <c r="A1860" s="0" t="n">
        <v>511252</v>
      </c>
      <c r="B1860" s="0" t="n">
        <v>634071</v>
      </c>
      <c r="C1860" s="0" t="n">
        <v>708925</v>
      </c>
      <c r="D1860" s="0" t="s">
        <v>35</v>
      </c>
      <c r="E1860" s="0" t="s">
        <v>35</v>
      </c>
      <c r="F1860" s="0" t="s">
        <v>36</v>
      </c>
      <c r="G1860" s="0" t="s">
        <v>37</v>
      </c>
      <c r="H1860" s="0" t="s">
        <v>6171</v>
      </c>
      <c r="I1860" s="0" t="s">
        <v>6172</v>
      </c>
      <c r="J1860" s="0" t="s">
        <v>6173</v>
      </c>
      <c r="M1860" s="0" t="s">
        <v>6174</v>
      </c>
      <c r="N1860" s="0" t="n">
        <v>1966</v>
      </c>
      <c r="O1860" s="0" t="s">
        <v>4487</v>
      </c>
      <c r="P1860" s="0" t="n">
        <v>1966</v>
      </c>
      <c r="Q1860" s="0" t="s">
        <v>39</v>
      </c>
      <c r="R1860" s="0" t="s">
        <v>6175</v>
      </c>
      <c r="S1860" s="0" t="s">
        <v>6176</v>
      </c>
      <c r="V1860" s="0" t="n">
        <v>2</v>
      </c>
      <c r="W1860" s="0" t="n">
        <v>1</v>
      </c>
      <c r="X1860" s="0" t="str">
        <f aca="false">"31811001833220"</f>
        <v>31811001833220</v>
      </c>
      <c r="Y1860" s="0" t="s">
        <v>39</v>
      </c>
      <c r="Z1860" s="0" t="s">
        <v>42</v>
      </c>
      <c r="AA1860" s="0" t="s">
        <v>43</v>
      </c>
      <c r="AE1860" s="1" t="s">
        <v>52</v>
      </c>
    </row>
    <row r="1861" customFormat="false" ht="12.8" hidden="false" customHeight="false" outlineLevel="0" collapsed="false">
      <c r="A1861" s="0" t="n">
        <v>364380</v>
      </c>
      <c r="B1861" s="0" t="n">
        <v>394083</v>
      </c>
      <c r="C1861" s="0" t="n">
        <v>438109</v>
      </c>
      <c r="D1861" s="0" t="s">
        <v>35</v>
      </c>
      <c r="E1861" s="0" t="s">
        <v>35</v>
      </c>
      <c r="F1861" s="0" t="s">
        <v>36</v>
      </c>
      <c r="G1861" s="0" t="s">
        <v>37</v>
      </c>
      <c r="H1861" s="0" t="s">
        <v>6177</v>
      </c>
      <c r="J1861" s="0" t="s">
        <v>6178</v>
      </c>
      <c r="M1861" s="0" t="s">
        <v>6179</v>
      </c>
      <c r="N1861" s="0" t="s">
        <v>744</v>
      </c>
      <c r="O1861" s="0" t="s">
        <v>3366</v>
      </c>
      <c r="P1861" s="0" t="n">
        <v>1989</v>
      </c>
      <c r="Q1861" s="0" t="s">
        <v>39</v>
      </c>
      <c r="R1861" s="0" t="s">
        <v>6180</v>
      </c>
      <c r="S1861" s="0" t="s">
        <v>6181</v>
      </c>
      <c r="V1861" s="0" t="n">
        <v>1</v>
      </c>
      <c r="W1861" s="0" t="n">
        <v>1</v>
      </c>
      <c r="X1861" s="0" t="str">
        <f aca="false">"31811003180760"</f>
        <v>31811003180760</v>
      </c>
      <c r="Y1861" s="0" t="s">
        <v>39</v>
      </c>
      <c r="Z1861" s="0" t="s">
        <v>42</v>
      </c>
      <c r="AA1861" s="0" t="s">
        <v>43</v>
      </c>
      <c r="AE1861" s="1" t="s">
        <v>52</v>
      </c>
    </row>
    <row r="1862" customFormat="false" ht="12.8" hidden="false" customHeight="false" outlineLevel="0" collapsed="false">
      <c r="A1862" s="0" t="n">
        <v>564368</v>
      </c>
      <c r="B1862" s="0" t="n">
        <v>603490</v>
      </c>
      <c r="C1862" s="0" t="n">
        <v>681601</v>
      </c>
      <c r="D1862" s="0" t="s">
        <v>35</v>
      </c>
      <c r="E1862" s="0" t="s">
        <v>35</v>
      </c>
      <c r="F1862" s="0" t="s">
        <v>36</v>
      </c>
      <c r="G1862" s="0" t="s">
        <v>37</v>
      </c>
      <c r="H1862" s="0" t="s">
        <v>6182</v>
      </c>
      <c r="I1862" s="0" t="s">
        <v>6183</v>
      </c>
      <c r="J1862" s="0" t="s">
        <v>6184</v>
      </c>
      <c r="L1862" s="0" t="s">
        <v>6185</v>
      </c>
      <c r="M1862" s="0" t="s">
        <v>6186</v>
      </c>
      <c r="N1862" s="0" t="n">
        <v>2000</v>
      </c>
      <c r="O1862" s="0" t="s">
        <v>2504</v>
      </c>
      <c r="P1862" s="0" t="n">
        <v>2000</v>
      </c>
      <c r="Q1862" s="0" t="s">
        <v>39</v>
      </c>
      <c r="R1862" s="0" t="s">
        <v>6187</v>
      </c>
      <c r="S1862" s="0" t="s">
        <v>6188</v>
      </c>
      <c r="V1862" s="0" t="n">
        <v>1</v>
      </c>
      <c r="W1862" s="0" t="n">
        <v>1</v>
      </c>
      <c r="X1862" s="0" t="str">
        <f aca="false">"31811012740398"</f>
        <v>31811012740398</v>
      </c>
      <c r="Y1862" s="0" t="s">
        <v>39</v>
      </c>
      <c r="Z1862" s="0" t="s">
        <v>42</v>
      </c>
      <c r="AA1862" s="0" t="s">
        <v>43</v>
      </c>
      <c r="AE1862" s="1" t="s">
        <v>6189</v>
      </c>
    </row>
    <row r="1863" customFormat="false" ht="12.8" hidden="false" customHeight="false" outlineLevel="0" collapsed="false">
      <c r="A1863" s="0" t="n">
        <v>11333</v>
      </c>
      <c r="B1863" s="0" t="n">
        <v>13060</v>
      </c>
      <c r="C1863" s="0" t="n">
        <v>15165</v>
      </c>
      <c r="D1863" s="0" t="s">
        <v>35</v>
      </c>
      <c r="E1863" s="0" t="s">
        <v>35</v>
      </c>
      <c r="F1863" s="0" t="s">
        <v>36</v>
      </c>
      <c r="G1863" s="0" t="s">
        <v>37</v>
      </c>
      <c r="H1863" s="0" t="s">
        <v>6190</v>
      </c>
      <c r="J1863" s="0" t="s">
        <v>6191</v>
      </c>
      <c r="L1863" s="0" t="s">
        <v>6192</v>
      </c>
      <c r="M1863" s="0" t="s">
        <v>6193</v>
      </c>
      <c r="N1863" s="0" t="s">
        <v>1596</v>
      </c>
      <c r="O1863" s="0" t="s">
        <v>6194</v>
      </c>
      <c r="P1863" s="0" t="n">
        <v>1982</v>
      </c>
      <c r="Q1863" s="0" t="s">
        <v>39</v>
      </c>
      <c r="R1863" s="0" t="s">
        <v>6195</v>
      </c>
      <c r="S1863" s="0" t="s">
        <v>6196</v>
      </c>
      <c r="V1863" s="0" t="n">
        <v>1</v>
      </c>
      <c r="W1863" s="0" t="n">
        <v>1</v>
      </c>
      <c r="X1863" s="0" t="str">
        <f aca="false">"31811003180778"</f>
        <v>31811003180778</v>
      </c>
      <c r="Y1863" s="0" t="s">
        <v>39</v>
      </c>
      <c r="Z1863" s="0" t="s">
        <v>42</v>
      </c>
      <c r="AA1863" s="0" t="s">
        <v>43</v>
      </c>
      <c r="AE1863" s="1" t="s">
        <v>52</v>
      </c>
    </row>
    <row r="1864" customFormat="false" ht="12.8" hidden="false" customHeight="false" outlineLevel="0" collapsed="false">
      <c r="A1864" s="0" t="n">
        <v>88818</v>
      </c>
      <c r="B1864" s="0" t="n">
        <v>96097</v>
      </c>
      <c r="C1864" s="0" t="n">
        <v>107878</v>
      </c>
      <c r="D1864" s="0" t="s">
        <v>35</v>
      </c>
      <c r="E1864" s="0" t="s">
        <v>35</v>
      </c>
      <c r="F1864" s="0" t="s">
        <v>36</v>
      </c>
      <c r="G1864" s="0" t="s">
        <v>37</v>
      </c>
      <c r="H1864" s="0" t="s">
        <v>6197</v>
      </c>
      <c r="I1864" s="0" t="s">
        <v>6198</v>
      </c>
      <c r="J1864" s="0" t="s">
        <v>6199</v>
      </c>
      <c r="L1864" s="0" t="n">
        <v>306413094</v>
      </c>
      <c r="M1864" s="0" t="s">
        <v>6200</v>
      </c>
      <c r="N1864" s="0" t="s">
        <v>1919</v>
      </c>
      <c r="O1864" s="0" t="s">
        <v>6201</v>
      </c>
      <c r="P1864" s="0" t="n">
        <v>1983</v>
      </c>
      <c r="Q1864" s="0" t="s">
        <v>39</v>
      </c>
      <c r="R1864" s="0" t="s">
        <v>6202</v>
      </c>
      <c r="S1864" s="0" t="s">
        <v>6203</v>
      </c>
      <c r="V1864" s="0" t="n">
        <v>1</v>
      </c>
      <c r="W1864" s="0" t="n">
        <v>1</v>
      </c>
      <c r="X1864" s="0" t="str">
        <f aca="false">"31811010757642"</f>
        <v>31811010757642</v>
      </c>
      <c r="Y1864" s="0" t="s">
        <v>39</v>
      </c>
      <c r="Z1864" s="0" t="s">
        <v>42</v>
      </c>
      <c r="AA1864" s="0" t="s">
        <v>43</v>
      </c>
      <c r="AE1864" s="1" t="s">
        <v>52</v>
      </c>
    </row>
    <row r="1865" customFormat="false" ht="12.8" hidden="false" customHeight="false" outlineLevel="0" collapsed="false">
      <c r="A1865" s="0" t="n">
        <v>517050</v>
      </c>
      <c r="B1865" s="0" t="n">
        <v>554374</v>
      </c>
      <c r="C1865" s="0" t="n">
        <v>625671</v>
      </c>
      <c r="D1865" s="0" t="s">
        <v>35</v>
      </c>
      <c r="E1865" s="0" t="s">
        <v>35</v>
      </c>
      <c r="F1865" s="0" t="s">
        <v>36</v>
      </c>
      <c r="G1865" s="0" t="s">
        <v>37</v>
      </c>
      <c r="H1865" s="0" t="s">
        <v>6204</v>
      </c>
      <c r="I1865" s="0" t="s">
        <v>6205</v>
      </c>
      <c r="J1865" s="0" t="s">
        <v>6206</v>
      </c>
      <c r="L1865" s="0" t="s">
        <v>6207</v>
      </c>
      <c r="M1865" s="0" t="s">
        <v>6208</v>
      </c>
      <c r="N1865" s="0" t="s">
        <v>3365</v>
      </c>
      <c r="O1865" s="0" t="s">
        <v>3366</v>
      </c>
      <c r="P1865" s="0" t="n">
        <v>1997</v>
      </c>
      <c r="Q1865" s="0" t="s">
        <v>39</v>
      </c>
      <c r="R1865" s="0" t="s">
        <v>6209</v>
      </c>
      <c r="S1865" s="0" t="s">
        <v>6210</v>
      </c>
      <c r="V1865" s="0" t="n">
        <v>1</v>
      </c>
      <c r="W1865" s="0" t="n">
        <v>1</v>
      </c>
      <c r="X1865" s="0" t="str">
        <f aca="false">"31811010981036"</f>
        <v>31811010981036</v>
      </c>
      <c r="Y1865" s="0" t="s">
        <v>39</v>
      </c>
      <c r="Z1865" s="0" t="s">
        <v>42</v>
      </c>
      <c r="AA1865" s="0" t="s">
        <v>43</v>
      </c>
      <c r="AE1865" s="1" t="s">
        <v>52</v>
      </c>
    </row>
    <row r="1866" customFormat="false" ht="12.8" hidden="false" customHeight="false" outlineLevel="0" collapsed="false">
      <c r="A1866" s="0" t="n">
        <v>82178</v>
      </c>
      <c r="B1866" s="0" t="n">
        <v>88988</v>
      </c>
      <c r="C1866" s="0" t="n">
        <v>100078</v>
      </c>
      <c r="D1866" s="0" t="s">
        <v>35</v>
      </c>
      <c r="E1866" s="0" t="s">
        <v>35</v>
      </c>
      <c r="F1866" s="0" t="s">
        <v>36</v>
      </c>
      <c r="G1866" s="0" t="s">
        <v>37</v>
      </c>
      <c r="H1866" s="0" t="s">
        <v>6211</v>
      </c>
      <c r="J1866" s="0" t="s">
        <v>6212</v>
      </c>
      <c r="L1866" s="0" t="n">
        <v>803918216</v>
      </c>
      <c r="M1866" s="0" t="s">
        <v>6213</v>
      </c>
      <c r="N1866" s="0" t="s">
        <v>1596</v>
      </c>
      <c r="O1866" s="0" t="s">
        <v>5308</v>
      </c>
      <c r="P1866" s="0" t="n">
        <v>1982</v>
      </c>
      <c r="Q1866" s="0" t="s">
        <v>39</v>
      </c>
      <c r="R1866" s="0" t="s">
        <v>6214</v>
      </c>
      <c r="S1866" s="0" t="s">
        <v>6215</v>
      </c>
      <c r="V1866" s="0" t="n">
        <v>1</v>
      </c>
      <c r="W1866" s="0" t="n">
        <v>1</v>
      </c>
      <c r="X1866" s="0" t="str">
        <f aca="false">"31811010757683"</f>
        <v>31811010757683</v>
      </c>
      <c r="Y1866" s="0" t="s">
        <v>39</v>
      </c>
      <c r="Z1866" s="0" t="s">
        <v>42</v>
      </c>
      <c r="AA1866" s="0" t="s">
        <v>43</v>
      </c>
      <c r="AE1866" s="1" t="s">
        <v>52</v>
      </c>
      <c r="AH1866" s="1" t="s">
        <v>6216</v>
      </c>
    </row>
    <row r="1867" customFormat="false" ht="12.8" hidden="false" customHeight="false" outlineLevel="0" collapsed="false">
      <c r="A1867" s="0" t="n">
        <v>562895</v>
      </c>
      <c r="B1867" s="0" t="n">
        <v>602242</v>
      </c>
      <c r="C1867" s="0" t="n">
        <v>680242</v>
      </c>
      <c r="D1867" s="0" t="s">
        <v>35</v>
      </c>
      <c r="E1867" s="0" t="s">
        <v>35</v>
      </c>
      <c r="F1867" s="0" t="s">
        <v>36</v>
      </c>
      <c r="G1867" s="0" t="s">
        <v>37</v>
      </c>
      <c r="H1867" s="0" t="s">
        <v>6217</v>
      </c>
      <c r="J1867" s="0" t="s">
        <v>6218</v>
      </c>
      <c r="L1867" s="0" t="s">
        <v>6219</v>
      </c>
      <c r="M1867" s="0" t="s">
        <v>6220</v>
      </c>
      <c r="N1867" s="0" t="s">
        <v>6221</v>
      </c>
      <c r="O1867" s="0" t="s">
        <v>5159</v>
      </c>
      <c r="P1867" s="0" t="n">
        <v>2001</v>
      </c>
      <c r="Q1867" s="0" t="s">
        <v>39</v>
      </c>
      <c r="R1867" s="0" t="s">
        <v>6222</v>
      </c>
      <c r="S1867" s="0" t="s">
        <v>6223</v>
      </c>
      <c r="V1867" s="0" t="n">
        <v>1</v>
      </c>
      <c r="W1867" s="0" t="n">
        <v>1</v>
      </c>
      <c r="X1867" s="0" t="str">
        <f aca="false">"31811012222926"</f>
        <v>31811012222926</v>
      </c>
      <c r="Y1867" s="0" t="s">
        <v>39</v>
      </c>
      <c r="Z1867" s="0" t="s">
        <v>42</v>
      </c>
      <c r="AA1867" s="0" t="s">
        <v>43</v>
      </c>
      <c r="AE1867" s="1" t="s">
        <v>6224</v>
      </c>
      <c r="AH1867" s="1" t="s">
        <v>6225</v>
      </c>
    </row>
    <row r="1868" customFormat="false" ht="12.8" hidden="false" customHeight="false" outlineLevel="0" collapsed="false">
      <c r="A1868" s="0" t="n">
        <v>551373</v>
      </c>
      <c r="B1868" s="0" t="n">
        <v>589879</v>
      </c>
      <c r="C1868" s="0" t="n">
        <v>666349</v>
      </c>
      <c r="D1868" s="0" t="s">
        <v>35</v>
      </c>
      <c r="E1868" s="0" t="s">
        <v>35</v>
      </c>
      <c r="F1868" s="0" t="s">
        <v>36</v>
      </c>
      <c r="G1868" s="0" t="s">
        <v>37</v>
      </c>
      <c r="H1868" s="0" t="s">
        <v>6226</v>
      </c>
      <c r="J1868" s="0" t="s">
        <v>6227</v>
      </c>
      <c r="L1868" s="0" t="s">
        <v>6228</v>
      </c>
      <c r="M1868" s="0" t="s">
        <v>6229</v>
      </c>
      <c r="N1868" s="0" t="n">
        <v>2000</v>
      </c>
      <c r="O1868" s="0" t="s">
        <v>5159</v>
      </c>
      <c r="P1868" s="0" t="n">
        <v>2000</v>
      </c>
      <c r="Q1868" s="0" t="s">
        <v>39</v>
      </c>
      <c r="R1868" s="0" t="s">
        <v>6230</v>
      </c>
      <c r="S1868" s="0" t="s">
        <v>6231</v>
      </c>
      <c r="V1868" s="0" t="n">
        <v>1</v>
      </c>
      <c r="W1868" s="0" t="n">
        <v>1</v>
      </c>
      <c r="X1868" s="0" t="str">
        <f aca="false">"31811012438969"</f>
        <v>31811012438969</v>
      </c>
      <c r="Y1868" s="0" t="s">
        <v>39</v>
      </c>
      <c r="Z1868" s="0" t="s">
        <v>42</v>
      </c>
      <c r="AA1868" s="0" t="s">
        <v>43</v>
      </c>
      <c r="AE1868" s="1" t="s">
        <v>52</v>
      </c>
      <c r="AH1868" s="1" t="s">
        <v>6232</v>
      </c>
    </row>
    <row r="1869" customFormat="false" ht="12.8" hidden="false" customHeight="false" outlineLevel="0" collapsed="false">
      <c r="A1869" s="0" t="n">
        <v>6712</v>
      </c>
      <c r="B1869" s="0" t="n">
        <v>7640</v>
      </c>
      <c r="C1869" s="0" t="n">
        <v>8823</v>
      </c>
      <c r="D1869" s="0" t="s">
        <v>35</v>
      </c>
      <c r="E1869" s="0" t="s">
        <v>35</v>
      </c>
      <c r="F1869" s="0" t="s">
        <v>36</v>
      </c>
      <c r="G1869" s="0" t="s">
        <v>37</v>
      </c>
      <c r="H1869" s="0" t="s">
        <v>6233</v>
      </c>
      <c r="I1869" s="0" t="s">
        <v>6234</v>
      </c>
      <c r="J1869" s="0" t="s">
        <v>6235</v>
      </c>
      <c r="K1869" s="0" t="s">
        <v>154</v>
      </c>
      <c r="M1869" s="0" t="s">
        <v>6236</v>
      </c>
      <c r="N1869" s="0" t="n">
        <v>1981</v>
      </c>
      <c r="O1869" s="0" t="s">
        <v>6237</v>
      </c>
      <c r="P1869" s="0" t="n">
        <v>1981</v>
      </c>
      <c r="Q1869" s="0" t="s">
        <v>39</v>
      </c>
      <c r="R1869" s="0" t="s">
        <v>6238</v>
      </c>
      <c r="S1869" s="0" t="s">
        <v>6239</v>
      </c>
      <c r="V1869" s="0" t="n">
        <v>1</v>
      </c>
      <c r="W1869" s="0" t="n">
        <v>1</v>
      </c>
      <c r="X1869" s="0" t="str">
        <f aca="false">"31811010760091"</f>
        <v>31811010760091</v>
      </c>
      <c r="Y1869" s="0" t="s">
        <v>39</v>
      </c>
      <c r="Z1869" s="0" t="s">
        <v>42</v>
      </c>
      <c r="AA1869" s="0" t="s">
        <v>43</v>
      </c>
      <c r="AE1869" s="1" t="s">
        <v>52</v>
      </c>
      <c r="AH1869" s="1" t="s">
        <v>6240</v>
      </c>
    </row>
    <row r="1870" customFormat="false" ht="12.8" hidden="false" customHeight="false" outlineLevel="0" collapsed="false">
      <c r="A1870" s="0" t="n">
        <v>6712</v>
      </c>
      <c r="B1870" s="0" t="n">
        <v>7641</v>
      </c>
      <c r="C1870" s="0" t="n">
        <v>8824</v>
      </c>
      <c r="D1870" s="0" t="s">
        <v>35</v>
      </c>
      <c r="E1870" s="0" t="s">
        <v>35</v>
      </c>
      <c r="F1870" s="0" t="s">
        <v>36</v>
      </c>
      <c r="G1870" s="0" t="s">
        <v>37</v>
      </c>
      <c r="H1870" s="0" t="s">
        <v>6233</v>
      </c>
      <c r="I1870" s="0" t="s">
        <v>6234</v>
      </c>
      <c r="J1870" s="0" t="s">
        <v>6235</v>
      </c>
      <c r="K1870" s="0" t="s">
        <v>154</v>
      </c>
      <c r="M1870" s="0" t="s">
        <v>6236</v>
      </c>
      <c r="N1870" s="0" t="n">
        <v>1981</v>
      </c>
      <c r="O1870" s="0" t="s">
        <v>6237</v>
      </c>
      <c r="P1870" s="0" t="n">
        <v>1981</v>
      </c>
      <c r="Q1870" s="0" t="s">
        <v>39</v>
      </c>
      <c r="R1870" s="0" t="s">
        <v>6238</v>
      </c>
      <c r="S1870" s="0" t="s">
        <v>6239</v>
      </c>
      <c r="V1870" s="0" t="n">
        <v>2</v>
      </c>
      <c r="W1870" s="0" t="n">
        <v>1</v>
      </c>
      <c r="X1870" s="0" t="str">
        <f aca="false">"31811010309147"</f>
        <v>31811010309147</v>
      </c>
      <c r="Y1870" s="0" t="s">
        <v>39</v>
      </c>
      <c r="Z1870" s="0" t="s">
        <v>42</v>
      </c>
      <c r="AA1870" s="0" t="s">
        <v>43</v>
      </c>
      <c r="AE1870" s="1" t="s">
        <v>52</v>
      </c>
      <c r="AH1870" s="1" t="s">
        <v>6216</v>
      </c>
    </row>
    <row r="1871" customFormat="false" ht="12.8" hidden="false" customHeight="false" outlineLevel="0" collapsed="false">
      <c r="A1871" s="0" t="n">
        <v>11564</v>
      </c>
      <c r="B1871" s="0" t="n">
        <v>13316</v>
      </c>
      <c r="C1871" s="0" t="n">
        <v>15437</v>
      </c>
      <c r="D1871" s="0" t="s">
        <v>35</v>
      </c>
      <c r="E1871" s="0" t="s">
        <v>35</v>
      </c>
      <c r="F1871" s="0" t="s">
        <v>36</v>
      </c>
      <c r="G1871" s="0" t="s">
        <v>37</v>
      </c>
      <c r="H1871" s="0" t="s">
        <v>6241</v>
      </c>
      <c r="I1871" s="0" t="s">
        <v>6242</v>
      </c>
      <c r="J1871" s="0" t="s">
        <v>6243</v>
      </c>
      <c r="L1871" s="0" t="n">
        <v>803918968</v>
      </c>
      <c r="M1871" s="0" t="s">
        <v>6244</v>
      </c>
      <c r="N1871" s="0" t="s">
        <v>1596</v>
      </c>
      <c r="O1871" s="0" t="s">
        <v>5308</v>
      </c>
      <c r="P1871" s="0" t="n">
        <v>1982</v>
      </c>
      <c r="Q1871" s="0" t="s">
        <v>39</v>
      </c>
      <c r="R1871" s="0" t="s">
        <v>6245</v>
      </c>
      <c r="S1871" s="0" t="s">
        <v>6246</v>
      </c>
      <c r="V1871" s="0" t="n">
        <v>1</v>
      </c>
      <c r="W1871" s="0" t="n">
        <v>1</v>
      </c>
      <c r="X1871" s="0" t="str">
        <f aca="false">"31811010309220"</f>
        <v>31811010309220</v>
      </c>
      <c r="Y1871" s="0" t="s">
        <v>39</v>
      </c>
      <c r="Z1871" s="0" t="s">
        <v>42</v>
      </c>
      <c r="AA1871" s="0" t="s">
        <v>43</v>
      </c>
      <c r="AE1871" s="1" t="s">
        <v>52</v>
      </c>
    </row>
    <row r="1872" customFormat="false" ht="12.8" hidden="false" customHeight="false" outlineLevel="0" collapsed="false">
      <c r="A1872" s="0" t="n">
        <v>123257</v>
      </c>
      <c r="B1872" s="0" t="n">
        <v>132615</v>
      </c>
      <c r="C1872" s="0" t="n">
        <v>147672</v>
      </c>
      <c r="D1872" s="0" t="s">
        <v>35</v>
      </c>
      <c r="E1872" s="0" t="s">
        <v>35</v>
      </c>
      <c r="F1872" s="0" t="s">
        <v>36</v>
      </c>
      <c r="G1872" s="0" t="s">
        <v>37</v>
      </c>
      <c r="H1872" s="0" t="s">
        <v>6247</v>
      </c>
      <c r="J1872" s="0" t="s">
        <v>6248</v>
      </c>
      <c r="L1872" s="0" t="n">
        <v>1555429912</v>
      </c>
      <c r="M1872" s="0" t="s">
        <v>6249</v>
      </c>
      <c r="N1872" s="0" t="n">
        <v>1986</v>
      </c>
      <c r="O1872" s="0" t="s">
        <v>5159</v>
      </c>
      <c r="P1872" s="0" t="n">
        <v>1986</v>
      </c>
      <c r="Q1872" s="0" t="s">
        <v>39</v>
      </c>
      <c r="R1872" s="0" t="s">
        <v>6250</v>
      </c>
      <c r="S1872" s="0" t="s">
        <v>6251</v>
      </c>
      <c r="V1872" s="0" t="n">
        <v>1</v>
      </c>
      <c r="W1872" s="0" t="n">
        <v>1</v>
      </c>
      <c r="X1872" s="0" t="str">
        <f aca="false">"31811010325754"</f>
        <v>31811010325754</v>
      </c>
      <c r="Y1872" s="0" t="s">
        <v>39</v>
      </c>
      <c r="Z1872" s="0" t="s">
        <v>42</v>
      </c>
      <c r="AA1872" s="0" t="s">
        <v>43</v>
      </c>
      <c r="AE1872" s="1" t="s">
        <v>52</v>
      </c>
    </row>
    <row r="1873" customFormat="false" ht="12.8" hidden="false" customHeight="false" outlineLevel="0" collapsed="false">
      <c r="A1873" s="0" t="n">
        <v>523157</v>
      </c>
      <c r="B1873" s="0" t="n">
        <v>560596</v>
      </c>
      <c r="C1873" s="0" t="n">
        <v>633445</v>
      </c>
      <c r="D1873" s="0" t="s">
        <v>35</v>
      </c>
      <c r="E1873" s="0" t="s">
        <v>35</v>
      </c>
      <c r="F1873" s="0" t="s">
        <v>36</v>
      </c>
      <c r="G1873" s="0" t="s">
        <v>37</v>
      </c>
      <c r="H1873" s="0" t="s">
        <v>6252</v>
      </c>
      <c r="J1873" s="0" t="s">
        <v>6253</v>
      </c>
      <c r="L1873" s="0" t="n">
        <v>787939552</v>
      </c>
      <c r="M1873" s="0" t="s">
        <v>6254</v>
      </c>
      <c r="N1873" s="0" t="s">
        <v>3365</v>
      </c>
      <c r="O1873" s="0" t="s">
        <v>5159</v>
      </c>
      <c r="P1873" s="0" t="n">
        <v>1997</v>
      </c>
      <c r="Q1873" s="0" t="s">
        <v>39</v>
      </c>
      <c r="R1873" s="0" t="s">
        <v>6255</v>
      </c>
      <c r="S1873" s="0" t="s">
        <v>6256</v>
      </c>
      <c r="V1873" s="0" t="n">
        <v>1</v>
      </c>
      <c r="W1873" s="0" t="n">
        <v>1</v>
      </c>
      <c r="X1873" s="0" t="str">
        <f aca="false">"31811011420620"</f>
        <v>31811011420620</v>
      </c>
      <c r="Y1873" s="0" t="s">
        <v>39</v>
      </c>
      <c r="Z1873" s="0" t="s">
        <v>42</v>
      </c>
      <c r="AA1873" s="0" t="s">
        <v>43</v>
      </c>
      <c r="AE1873" s="1" t="s">
        <v>52</v>
      </c>
      <c r="AH1873" s="1" t="s">
        <v>6216</v>
      </c>
    </row>
    <row r="1874" customFormat="false" ht="12.8" hidden="false" customHeight="false" outlineLevel="0" collapsed="false">
      <c r="A1874" s="0" t="n">
        <v>514172</v>
      </c>
      <c r="B1874" s="0" t="n">
        <v>551336</v>
      </c>
      <c r="C1874" s="0" t="n">
        <v>622101</v>
      </c>
      <c r="D1874" s="0" t="s">
        <v>35</v>
      </c>
      <c r="E1874" s="0" t="s">
        <v>35</v>
      </c>
      <c r="F1874" s="0" t="s">
        <v>36</v>
      </c>
      <c r="G1874" s="0" t="s">
        <v>37</v>
      </c>
      <c r="H1874" s="0" t="s">
        <v>6257</v>
      </c>
      <c r="J1874" s="0" t="s">
        <v>6258</v>
      </c>
      <c r="L1874" s="1" t="s">
        <v>6259</v>
      </c>
      <c r="M1874" s="0" t="s">
        <v>6260</v>
      </c>
      <c r="N1874" s="0" t="s">
        <v>6261</v>
      </c>
      <c r="O1874" s="0" t="s">
        <v>5159</v>
      </c>
      <c r="P1874" s="0" t="n">
        <v>1986</v>
      </c>
      <c r="Q1874" s="0" t="s">
        <v>39</v>
      </c>
      <c r="R1874" s="0" t="s">
        <v>6262</v>
      </c>
      <c r="S1874" s="0" t="s">
        <v>6263</v>
      </c>
      <c r="V1874" s="0" t="n">
        <v>1</v>
      </c>
      <c r="W1874" s="0" t="n">
        <v>1</v>
      </c>
      <c r="X1874" s="0" t="str">
        <f aca="false">"31811010760133"</f>
        <v>31811010760133</v>
      </c>
      <c r="Y1874" s="0" t="s">
        <v>39</v>
      </c>
      <c r="Z1874" s="0" t="s">
        <v>42</v>
      </c>
      <c r="AA1874" s="0" t="s">
        <v>43</v>
      </c>
      <c r="AE1874" s="1" t="s">
        <v>52</v>
      </c>
    </row>
    <row r="1875" customFormat="false" ht="12.8" hidden="false" customHeight="false" outlineLevel="0" collapsed="false">
      <c r="A1875" s="0" t="n">
        <v>485858</v>
      </c>
      <c r="B1875" s="0" t="n">
        <v>518387</v>
      </c>
      <c r="C1875" s="0" t="n">
        <v>581686</v>
      </c>
      <c r="D1875" s="0" t="s">
        <v>35</v>
      </c>
      <c r="E1875" s="0" t="s">
        <v>35</v>
      </c>
      <c r="F1875" s="0" t="s">
        <v>36</v>
      </c>
      <c r="G1875" s="0" t="s">
        <v>37</v>
      </c>
      <c r="H1875" s="0" t="s">
        <v>6264</v>
      </c>
      <c r="J1875" s="0" t="s">
        <v>6265</v>
      </c>
      <c r="L1875" s="0" t="n">
        <v>787999687</v>
      </c>
      <c r="M1875" s="0" t="s">
        <v>6266</v>
      </c>
      <c r="N1875" s="0" t="n">
        <v>1994</v>
      </c>
      <c r="O1875" s="0" t="s">
        <v>5159</v>
      </c>
      <c r="P1875" s="0" t="n">
        <v>1994</v>
      </c>
      <c r="Q1875" s="0" t="s">
        <v>39</v>
      </c>
      <c r="R1875" s="0" t="s">
        <v>6267</v>
      </c>
      <c r="S1875" s="0" t="s">
        <v>6268</v>
      </c>
      <c r="V1875" s="0" t="n">
        <v>1</v>
      </c>
      <c r="W1875" s="0" t="n">
        <v>1</v>
      </c>
      <c r="X1875" s="0" t="str">
        <f aca="false">"31811011439554"</f>
        <v>31811011439554</v>
      </c>
      <c r="Y1875" s="0" t="s">
        <v>39</v>
      </c>
      <c r="Z1875" s="0" t="s">
        <v>42</v>
      </c>
      <c r="AA1875" s="0" t="s">
        <v>43</v>
      </c>
      <c r="AE1875" s="1" t="s">
        <v>52</v>
      </c>
      <c r="AH1875" s="1" t="s">
        <v>6216</v>
      </c>
    </row>
    <row r="1876" customFormat="false" ht="12.8" hidden="false" customHeight="false" outlineLevel="0" collapsed="false">
      <c r="A1876" s="0" t="n">
        <v>405263</v>
      </c>
      <c r="B1876" s="0" t="n">
        <v>437368</v>
      </c>
      <c r="C1876" s="0" t="n">
        <v>487685</v>
      </c>
      <c r="D1876" s="0" t="s">
        <v>35</v>
      </c>
      <c r="E1876" s="0" t="s">
        <v>35</v>
      </c>
      <c r="F1876" s="0" t="s">
        <v>36</v>
      </c>
      <c r="G1876" s="0" t="s">
        <v>412</v>
      </c>
      <c r="H1876" s="0" t="s">
        <v>6269</v>
      </c>
      <c r="I1876" s="0" t="s">
        <v>6270</v>
      </c>
      <c r="J1876" s="0" t="s">
        <v>6269</v>
      </c>
      <c r="M1876" s="0" t="s">
        <v>6271</v>
      </c>
      <c r="N1876" s="0" t="n">
        <v>1958</v>
      </c>
      <c r="P1876" s="0" t="n">
        <v>1958</v>
      </c>
      <c r="Q1876" s="0" t="s">
        <v>39</v>
      </c>
      <c r="R1876" s="0" t="s">
        <v>6272</v>
      </c>
      <c r="S1876" s="0" t="s">
        <v>6273</v>
      </c>
      <c r="V1876" s="0" t="n">
        <v>1</v>
      </c>
      <c r="W1876" s="0" t="n">
        <v>1</v>
      </c>
      <c r="X1876" s="0" t="str">
        <f aca="false">"31811010760174"</f>
        <v>31811010760174</v>
      </c>
      <c r="Y1876" s="0" t="s">
        <v>39</v>
      </c>
      <c r="Z1876" s="0" t="s">
        <v>42</v>
      </c>
      <c r="AA1876" s="0" t="s">
        <v>43</v>
      </c>
      <c r="AE1876" s="1" t="s">
        <v>52</v>
      </c>
    </row>
    <row r="1877" customFormat="false" ht="12.8" hidden="false" customHeight="false" outlineLevel="0" collapsed="false">
      <c r="A1877" s="0" t="n">
        <v>369378</v>
      </c>
      <c r="B1877" s="0" t="n">
        <v>399255</v>
      </c>
      <c r="C1877" s="0" t="n">
        <v>444429</v>
      </c>
      <c r="D1877" s="0" t="s">
        <v>35</v>
      </c>
      <c r="E1877" s="0" t="s">
        <v>35</v>
      </c>
      <c r="F1877" s="0" t="s">
        <v>36</v>
      </c>
      <c r="G1877" s="0" t="s">
        <v>37</v>
      </c>
      <c r="H1877" s="0" t="s">
        <v>6274</v>
      </c>
      <c r="I1877" s="0" t="s">
        <v>6275</v>
      </c>
      <c r="J1877" s="0" t="s">
        <v>6057</v>
      </c>
      <c r="M1877" s="0" t="s">
        <v>6276</v>
      </c>
      <c r="N1877" s="0" t="n">
        <v>1989</v>
      </c>
      <c r="O1877" s="0" t="s">
        <v>3366</v>
      </c>
      <c r="P1877" s="0" t="n">
        <v>1989</v>
      </c>
      <c r="Q1877" s="0" t="s">
        <v>39</v>
      </c>
      <c r="R1877" s="0" t="s">
        <v>6277</v>
      </c>
      <c r="S1877" s="0" t="s">
        <v>6278</v>
      </c>
      <c r="V1877" s="0" t="n">
        <v>1</v>
      </c>
      <c r="W1877" s="0" t="n">
        <v>1</v>
      </c>
      <c r="X1877" s="0" t="str">
        <f aca="false">"31811010760372"</f>
        <v>31811010760372</v>
      </c>
      <c r="Y1877" s="0" t="s">
        <v>39</v>
      </c>
      <c r="Z1877" s="0" t="s">
        <v>42</v>
      </c>
      <c r="AA1877" s="0" t="s">
        <v>43</v>
      </c>
      <c r="AE1877" s="1" t="s">
        <v>52</v>
      </c>
    </row>
    <row r="1878" customFormat="false" ht="12.8" hidden="false" customHeight="false" outlineLevel="0" collapsed="false">
      <c r="A1878" s="0" t="n">
        <v>113657</v>
      </c>
      <c r="B1878" s="0" t="n">
        <v>122315</v>
      </c>
      <c r="C1878" s="0" t="n">
        <v>136386</v>
      </c>
      <c r="D1878" s="0" t="s">
        <v>35</v>
      </c>
      <c r="E1878" s="0" t="s">
        <v>35</v>
      </c>
      <c r="F1878" s="0" t="s">
        <v>36</v>
      </c>
      <c r="G1878" s="0" t="s">
        <v>37</v>
      </c>
      <c r="H1878" s="0" t="s">
        <v>6279</v>
      </c>
      <c r="I1878" s="0" t="s">
        <v>97</v>
      </c>
      <c r="J1878" s="0" t="s">
        <v>6280</v>
      </c>
      <c r="L1878" s="0" t="n">
        <v>25003402</v>
      </c>
      <c r="M1878" s="0" t="s">
        <v>6281</v>
      </c>
      <c r="N1878" s="0" t="s">
        <v>6261</v>
      </c>
      <c r="O1878" s="0" t="s">
        <v>6282</v>
      </c>
      <c r="P1878" s="0" t="n">
        <v>1986</v>
      </c>
      <c r="Q1878" s="0" t="s">
        <v>39</v>
      </c>
      <c r="R1878" s="0" t="s">
        <v>6283</v>
      </c>
      <c r="S1878" s="0" t="s">
        <v>6284</v>
      </c>
      <c r="V1878" s="0" t="n">
        <v>1</v>
      </c>
      <c r="W1878" s="0" t="n">
        <v>1</v>
      </c>
      <c r="X1878" s="0" t="str">
        <f aca="false">"31811010760331"</f>
        <v>31811010760331</v>
      </c>
      <c r="Y1878" s="0" t="s">
        <v>39</v>
      </c>
      <c r="Z1878" s="0" t="s">
        <v>42</v>
      </c>
      <c r="AA1878" s="0" t="s">
        <v>43</v>
      </c>
      <c r="AE1878" s="1" t="s">
        <v>52</v>
      </c>
    </row>
    <row r="1879" customFormat="false" ht="12.8" hidden="false" customHeight="false" outlineLevel="0" collapsed="false">
      <c r="A1879" s="0" t="n">
        <v>10531</v>
      </c>
      <c r="B1879" s="0" t="n">
        <v>12174</v>
      </c>
      <c r="C1879" s="0" t="n">
        <v>14165</v>
      </c>
      <c r="D1879" s="0" t="s">
        <v>35</v>
      </c>
      <c r="E1879" s="0" t="s">
        <v>35</v>
      </c>
      <c r="F1879" s="0" t="s">
        <v>36</v>
      </c>
      <c r="G1879" s="0" t="s">
        <v>37</v>
      </c>
      <c r="H1879" s="0" t="s">
        <v>6285</v>
      </c>
      <c r="I1879" s="0" t="s">
        <v>6286</v>
      </c>
      <c r="J1879" s="0" t="s">
        <v>6285</v>
      </c>
      <c r="K1879" s="0" t="s">
        <v>108</v>
      </c>
      <c r="M1879" s="0" t="s">
        <v>6287</v>
      </c>
      <c r="N1879" s="0" t="s">
        <v>4146</v>
      </c>
      <c r="O1879" s="0" t="s">
        <v>698</v>
      </c>
      <c r="P1879" s="0" t="n">
        <v>1959</v>
      </c>
      <c r="Q1879" s="0" t="s">
        <v>39</v>
      </c>
      <c r="R1879" s="0" t="s">
        <v>6288</v>
      </c>
      <c r="S1879" s="0" t="s">
        <v>6289</v>
      </c>
      <c r="V1879" s="0" t="n">
        <v>3</v>
      </c>
      <c r="W1879" s="0" t="n">
        <v>1</v>
      </c>
      <c r="X1879" s="0" t="str">
        <f aca="false">"31811010760216"</f>
        <v>31811010760216</v>
      </c>
      <c r="Y1879" s="0" t="s">
        <v>39</v>
      </c>
      <c r="Z1879" s="0" t="s">
        <v>42</v>
      </c>
      <c r="AA1879" s="0" t="s">
        <v>43</v>
      </c>
      <c r="AE1879" s="1" t="s">
        <v>52</v>
      </c>
    </row>
    <row r="1880" customFormat="false" ht="12.8" hidden="false" customHeight="false" outlineLevel="0" collapsed="false">
      <c r="A1880" s="0" t="n">
        <v>440309</v>
      </c>
      <c r="B1880" s="0" t="n">
        <v>525811</v>
      </c>
      <c r="C1880" s="0" t="n">
        <v>590355</v>
      </c>
      <c r="D1880" s="0" t="s">
        <v>35</v>
      </c>
      <c r="E1880" s="0" t="s">
        <v>35</v>
      </c>
      <c r="F1880" s="0" t="s">
        <v>36</v>
      </c>
      <c r="G1880" s="0" t="s">
        <v>37</v>
      </c>
      <c r="H1880" s="0" t="s">
        <v>6290</v>
      </c>
      <c r="I1880" s="0" t="s">
        <v>6291</v>
      </c>
      <c r="J1880" s="0" t="s">
        <v>6292</v>
      </c>
      <c r="K1880" s="0" t="s">
        <v>4756</v>
      </c>
      <c r="L1880" s="0" t="s">
        <v>6293</v>
      </c>
      <c r="M1880" s="0" t="s">
        <v>6294</v>
      </c>
      <c r="N1880" s="0" t="n">
        <v>1988</v>
      </c>
      <c r="O1880" s="0" t="s">
        <v>6295</v>
      </c>
      <c r="P1880" s="0" t="n">
        <v>1988</v>
      </c>
      <c r="Q1880" s="0" t="s">
        <v>39</v>
      </c>
      <c r="R1880" s="0" t="s">
        <v>6296</v>
      </c>
      <c r="S1880" s="0" t="s">
        <v>6297</v>
      </c>
      <c r="V1880" s="0" t="n">
        <v>1</v>
      </c>
      <c r="W1880" s="0" t="n">
        <v>1</v>
      </c>
      <c r="X1880" s="0" t="str">
        <f aca="false">"31811010651167"</f>
        <v>31811010651167</v>
      </c>
      <c r="Y1880" s="0" t="s">
        <v>39</v>
      </c>
      <c r="Z1880" s="0" t="s">
        <v>42</v>
      </c>
      <c r="AA1880" s="0" t="s">
        <v>43</v>
      </c>
      <c r="AE1880" s="1" t="s">
        <v>52</v>
      </c>
    </row>
    <row r="1881" customFormat="false" ht="12.8" hidden="false" customHeight="false" outlineLevel="0" collapsed="false">
      <c r="A1881" s="0" t="n">
        <v>94274</v>
      </c>
      <c r="B1881" s="0" t="n">
        <v>101839</v>
      </c>
      <c r="C1881" s="0" t="n">
        <v>114148</v>
      </c>
      <c r="D1881" s="0" t="s">
        <v>35</v>
      </c>
      <c r="E1881" s="0" t="s">
        <v>35</v>
      </c>
      <c r="F1881" s="0" t="s">
        <v>36</v>
      </c>
      <c r="G1881" s="0" t="s">
        <v>37</v>
      </c>
      <c r="H1881" s="0" t="s">
        <v>6298</v>
      </c>
      <c r="I1881" s="0" t="s">
        <v>6299</v>
      </c>
      <c r="J1881" s="0" t="s">
        <v>6300</v>
      </c>
      <c r="M1881" s="0" t="s">
        <v>6301</v>
      </c>
      <c r="N1881" s="0" t="n">
        <v>1931</v>
      </c>
      <c r="O1881" s="0" t="s">
        <v>6302</v>
      </c>
      <c r="P1881" s="0" t="n">
        <v>1931</v>
      </c>
      <c r="Q1881" s="0" t="s">
        <v>39</v>
      </c>
      <c r="R1881" s="0" t="s">
        <v>6303</v>
      </c>
      <c r="S1881" s="0" t="s">
        <v>6304</v>
      </c>
      <c r="V1881" s="0" t="n">
        <v>1</v>
      </c>
      <c r="W1881" s="0" t="n">
        <v>1</v>
      </c>
      <c r="X1881" s="0" t="str">
        <f aca="false">"31811010760307"</f>
        <v>31811010760307</v>
      </c>
      <c r="Y1881" s="0" t="s">
        <v>39</v>
      </c>
      <c r="Z1881" s="0" t="s">
        <v>42</v>
      </c>
      <c r="AA1881" s="0" t="s">
        <v>43</v>
      </c>
      <c r="AE1881" s="1" t="s">
        <v>52</v>
      </c>
    </row>
    <row r="1882" customFormat="false" ht="12.8" hidden="false" customHeight="false" outlineLevel="0" collapsed="false">
      <c r="A1882" s="0" t="n">
        <v>374413</v>
      </c>
      <c r="B1882" s="0" t="n">
        <v>405274</v>
      </c>
      <c r="C1882" s="0" t="n">
        <v>451419</v>
      </c>
      <c r="D1882" s="0" t="s">
        <v>35</v>
      </c>
      <c r="E1882" s="0" t="s">
        <v>35</v>
      </c>
      <c r="F1882" s="0" t="s">
        <v>36</v>
      </c>
      <c r="G1882" s="0" t="s">
        <v>37</v>
      </c>
      <c r="H1882" s="0" t="s">
        <v>6305</v>
      </c>
      <c r="I1882" s="0" t="s">
        <v>6306</v>
      </c>
      <c r="J1882" s="0" t="s">
        <v>6307</v>
      </c>
      <c r="M1882" s="0" t="s">
        <v>6308</v>
      </c>
      <c r="N1882" s="0" t="s">
        <v>6309</v>
      </c>
      <c r="O1882" s="0" t="s">
        <v>6310</v>
      </c>
      <c r="P1882" s="0" t="n">
        <v>1963</v>
      </c>
      <c r="Q1882" s="0" t="s">
        <v>39</v>
      </c>
      <c r="R1882" s="0" t="s">
        <v>6311</v>
      </c>
      <c r="S1882" s="0" t="s">
        <v>6312</v>
      </c>
      <c r="V1882" s="0" t="n">
        <v>1</v>
      </c>
      <c r="W1882" s="0" t="n">
        <v>1</v>
      </c>
      <c r="X1882" s="0" t="str">
        <f aca="false">"31811010760265"</f>
        <v>31811010760265</v>
      </c>
      <c r="Y1882" s="0" t="s">
        <v>39</v>
      </c>
      <c r="Z1882" s="0" t="s">
        <v>42</v>
      </c>
      <c r="AA1882" s="0" t="s">
        <v>43</v>
      </c>
      <c r="AE1882" s="1" t="s">
        <v>52</v>
      </c>
    </row>
    <row r="1883" customFormat="false" ht="12.8" hidden="false" customHeight="false" outlineLevel="0" collapsed="false">
      <c r="A1883" s="0" t="n">
        <v>405264</v>
      </c>
      <c r="B1883" s="0" t="n">
        <v>437369</v>
      </c>
      <c r="C1883" s="0" t="n">
        <v>487686</v>
      </c>
      <c r="D1883" s="0" t="s">
        <v>35</v>
      </c>
      <c r="E1883" s="0" t="s">
        <v>35</v>
      </c>
      <c r="F1883" s="0" t="s">
        <v>36</v>
      </c>
      <c r="G1883" s="0" t="s">
        <v>412</v>
      </c>
      <c r="H1883" s="0" t="s">
        <v>6313</v>
      </c>
      <c r="I1883" s="0" t="s">
        <v>6306</v>
      </c>
      <c r="J1883" s="0" t="s">
        <v>6313</v>
      </c>
      <c r="M1883" s="0" t="s">
        <v>6314</v>
      </c>
      <c r="N1883" s="0" t="n">
        <v>1965</v>
      </c>
      <c r="P1883" s="0" t="n">
        <v>1965</v>
      </c>
      <c r="Q1883" s="0" t="s">
        <v>39</v>
      </c>
      <c r="R1883" s="0" t="s">
        <v>6315</v>
      </c>
      <c r="S1883" s="0" t="s">
        <v>6316</v>
      </c>
      <c r="V1883" s="0" t="n">
        <v>1</v>
      </c>
      <c r="W1883" s="0" t="n">
        <v>1</v>
      </c>
      <c r="X1883" s="0" t="str">
        <f aca="false">"31811010760224"</f>
        <v>31811010760224</v>
      </c>
      <c r="Y1883" s="0" t="s">
        <v>39</v>
      </c>
      <c r="Z1883" s="0" t="s">
        <v>42</v>
      </c>
      <c r="AA1883" s="0" t="s">
        <v>43</v>
      </c>
      <c r="AE1883" s="1" t="s">
        <v>52</v>
      </c>
      <c r="AH1883" s="1" t="s">
        <v>1711</v>
      </c>
    </row>
    <row r="1884" customFormat="false" ht="12.8" hidden="false" customHeight="false" outlineLevel="0" collapsed="false">
      <c r="A1884" s="0" t="n">
        <v>175083</v>
      </c>
      <c r="B1884" s="0" t="n">
        <v>191301</v>
      </c>
      <c r="C1884" s="0" t="n">
        <v>214721</v>
      </c>
      <c r="D1884" s="0" t="s">
        <v>35</v>
      </c>
      <c r="E1884" s="0" t="s">
        <v>35</v>
      </c>
      <c r="F1884" s="0" t="s">
        <v>36</v>
      </c>
      <c r="G1884" s="0" t="s">
        <v>37</v>
      </c>
      <c r="H1884" s="0" t="s">
        <v>6317</v>
      </c>
      <c r="I1884" s="0" t="s">
        <v>6318</v>
      </c>
      <c r="J1884" s="0" t="s">
        <v>6319</v>
      </c>
      <c r="M1884" s="0" t="s">
        <v>6320</v>
      </c>
      <c r="N1884" s="0" t="n">
        <v>1936</v>
      </c>
      <c r="O1884" s="0" t="s">
        <v>6321</v>
      </c>
      <c r="P1884" s="0" t="n">
        <v>1936</v>
      </c>
      <c r="Q1884" s="0" t="s">
        <v>39</v>
      </c>
      <c r="R1884" s="0" t="s">
        <v>6322</v>
      </c>
      <c r="S1884" s="0" t="s">
        <v>6323</v>
      </c>
      <c r="V1884" s="0" t="n">
        <v>1</v>
      </c>
      <c r="W1884" s="0" t="n">
        <v>1</v>
      </c>
      <c r="X1884" s="0" t="str">
        <f aca="false">"31811010760182"</f>
        <v>31811010760182</v>
      </c>
      <c r="Y1884" s="0" t="s">
        <v>39</v>
      </c>
      <c r="Z1884" s="0" t="s">
        <v>42</v>
      </c>
      <c r="AA1884" s="0" t="s">
        <v>43</v>
      </c>
      <c r="AE1884" s="1" t="s">
        <v>52</v>
      </c>
    </row>
    <row r="1885" customFormat="false" ht="12.8" hidden="false" customHeight="false" outlineLevel="0" collapsed="false">
      <c r="A1885" s="0" t="n">
        <v>534931</v>
      </c>
      <c r="B1885" s="0" t="n">
        <v>573078</v>
      </c>
      <c r="C1885" s="0" t="n">
        <v>647775</v>
      </c>
      <c r="D1885" s="0" t="s">
        <v>35</v>
      </c>
      <c r="E1885" s="0" t="s">
        <v>35</v>
      </c>
      <c r="F1885" s="0" t="s">
        <v>36</v>
      </c>
      <c r="G1885" s="0" t="s">
        <v>37</v>
      </c>
      <c r="H1885" s="0" t="s">
        <v>6324</v>
      </c>
      <c r="I1885" s="0" t="s">
        <v>6325</v>
      </c>
      <c r="J1885" s="0" t="s">
        <v>6326</v>
      </c>
      <c r="K1885" s="0" t="s">
        <v>428</v>
      </c>
      <c r="L1885" s="0" t="s">
        <v>6327</v>
      </c>
      <c r="M1885" s="0" t="s">
        <v>6328</v>
      </c>
      <c r="N1885" s="0" t="s">
        <v>612</v>
      </c>
      <c r="O1885" s="0" t="s">
        <v>3905</v>
      </c>
      <c r="P1885" s="0" t="n">
        <v>1998</v>
      </c>
      <c r="Q1885" s="0" t="s">
        <v>39</v>
      </c>
      <c r="R1885" s="0" t="s">
        <v>6329</v>
      </c>
      <c r="S1885" s="0" t="s">
        <v>6330</v>
      </c>
      <c r="V1885" s="0" t="n">
        <v>1</v>
      </c>
      <c r="W1885" s="0" t="n">
        <v>1</v>
      </c>
      <c r="X1885" s="0" t="str">
        <f aca="false">"31811011442186"</f>
        <v>31811011442186</v>
      </c>
      <c r="Y1885" s="0" t="s">
        <v>39</v>
      </c>
      <c r="Z1885" s="0" t="s">
        <v>42</v>
      </c>
      <c r="AA1885" s="0" t="s">
        <v>43</v>
      </c>
      <c r="AE1885" s="1" t="s">
        <v>52</v>
      </c>
    </row>
    <row r="1886" customFormat="false" ht="12.8" hidden="false" customHeight="false" outlineLevel="0" collapsed="false">
      <c r="A1886" s="0" t="n">
        <v>142657</v>
      </c>
      <c r="B1886" s="0" t="n">
        <v>154233</v>
      </c>
      <c r="C1886" s="0" t="n">
        <v>172416</v>
      </c>
      <c r="D1886" s="0" t="s">
        <v>35</v>
      </c>
      <c r="E1886" s="0" t="s">
        <v>35</v>
      </c>
      <c r="F1886" s="0" t="s">
        <v>36</v>
      </c>
      <c r="G1886" s="0" t="s">
        <v>37</v>
      </c>
      <c r="H1886" s="0" t="s">
        <v>6331</v>
      </c>
      <c r="J1886" s="0" t="s">
        <v>6332</v>
      </c>
      <c r="M1886" s="0" t="s">
        <v>6333</v>
      </c>
      <c r="N1886" s="0" t="s">
        <v>333</v>
      </c>
      <c r="O1886" s="0" t="s">
        <v>6334</v>
      </c>
      <c r="P1886" s="0" t="n">
        <v>1968</v>
      </c>
      <c r="Q1886" s="0" t="s">
        <v>39</v>
      </c>
      <c r="R1886" s="0" t="s">
        <v>6335</v>
      </c>
      <c r="S1886" s="0" t="s">
        <v>6336</v>
      </c>
      <c r="V1886" s="0" t="n">
        <v>1</v>
      </c>
      <c r="W1886" s="0" t="n">
        <v>1</v>
      </c>
      <c r="X1886" s="0" t="str">
        <f aca="false">"31811010760109"</f>
        <v>31811010760109</v>
      </c>
      <c r="Y1886" s="0" t="s">
        <v>39</v>
      </c>
      <c r="Z1886" s="0" t="s">
        <v>42</v>
      </c>
      <c r="AA1886" s="0" t="s">
        <v>43</v>
      </c>
      <c r="AE1886" s="1" t="s">
        <v>52</v>
      </c>
    </row>
    <row r="1887" customFormat="false" ht="12.8" hidden="false" customHeight="false" outlineLevel="0" collapsed="false">
      <c r="A1887" s="0" t="n">
        <v>103217</v>
      </c>
      <c r="B1887" s="0" t="n">
        <v>111159</v>
      </c>
      <c r="C1887" s="0" t="n">
        <v>124242</v>
      </c>
      <c r="D1887" s="0" t="s">
        <v>35</v>
      </c>
      <c r="E1887" s="0" t="s">
        <v>35</v>
      </c>
      <c r="F1887" s="0" t="s">
        <v>36</v>
      </c>
      <c r="G1887" s="0" t="s">
        <v>37</v>
      </c>
      <c r="H1887" s="0" t="s">
        <v>6337</v>
      </c>
      <c r="I1887" s="0" t="s">
        <v>6338</v>
      </c>
      <c r="J1887" s="0" t="s">
        <v>6337</v>
      </c>
      <c r="L1887" s="0" t="n">
        <v>198143427</v>
      </c>
      <c r="M1887" s="0" t="s">
        <v>6339</v>
      </c>
      <c r="N1887" s="0" t="n">
        <v>1968</v>
      </c>
      <c r="O1887" s="0" t="s">
        <v>497</v>
      </c>
      <c r="P1887" s="0" t="n">
        <v>1968</v>
      </c>
      <c r="Q1887" s="0" t="s">
        <v>39</v>
      </c>
      <c r="R1887" s="0" t="s">
        <v>6340</v>
      </c>
      <c r="S1887" s="0" t="s">
        <v>6341</v>
      </c>
      <c r="V1887" s="0" t="n">
        <v>1</v>
      </c>
      <c r="W1887" s="0" t="n">
        <v>1</v>
      </c>
      <c r="X1887" s="0" t="str">
        <f aca="false">"31811010760398"</f>
        <v>31811010760398</v>
      </c>
      <c r="Y1887" s="0" t="s">
        <v>39</v>
      </c>
      <c r="Z1887" s="0" t="s">
        <v>42</v>
      </c>
      <c r="AA1887" s="0" t="s">
        <v>43</v>
      </c>
      <c r="AE1887" s="1" t="s">
        <v>52</v>
      </c>
    </row>
    <row r="1888" customFormat="false" ht="12.8" hidden="false" customHeight="false" outlineLevel="0" collapsed="false">
      <c r="A1888" s="0" t="n">
        <v>271475</v>
      </c>
      <c r="B1888" s="0" t="n">
        <v>297142</v>
      </c>
      <c r="C1888" s="0" t="n">
        <v>333295</v>
      </c>
      <c r="D1888" s="0" t="s">
        <v>35</v>
      </c>
      <c r="E1888" s="0" t="s">
        <v>35</v>
      </c>
      <c r="F1888" s="0" t="s">
        <v>36</v>
      </c>
      <c r="G1888" s="0" t="s">
        <v>37</v>
      </c>
      <c r="H1888" s="0" t="s">
        <v>6342</v>
      </c>
      <c r="I1888" s="0" t="s">
        <v>6343</v>
      </c>
      <c r="J1888" s="0" t="s">
        <v>6344</v>
      </c>
      <c r="M1888" s="0" t="s">
        <v>6345</v>
      </c>
      <c r="N1888" s="0" t="n">
        <v>1971</v>
      </c>
      <c r="O1888" s="0" t="s">
        <v>6346</v>
      </c>
      <c r="P1888" s="0" t="n">
        <v>1971</v>
      </c>
      <c r="Q1888" s="0" t="s">
        <v>39</v>
      </c>
      <c r="R1888" s="0" t="s">
        <v>6347</v>
      </c>
      <c r="S1888" s="0" t="s">
        <v>6348</v>
      </c>
      <c r="V1888" s="0" t="n">
        <v>1</v>
      </c>
      <c r="W1888" s="0" t="n">
        <v>1</v>
      </c>
      <c r="X1888" s="0" t="str">
        <f aca="false">"31811010760356"</f>
        <v>31811010760356</v>
      </c>
      <c r="Y1888" s="0" t="s">
        <v>39</v>
      </c>
      <c r="Z1888" s="0" t="s">
        <v>42</v>
      </c>
      <c r="AA1888" s="0" t="s">
        <v>43</v>
      </c>
      <c r="AE1888" s="1" t="s">
        <v>52</v>
      </c>
    </row>
    <row r="1889" customFormat="false" ht="12.8" hidden="false" customHeight="false" outlineLevel="0" collapsed="false">
      <c r="A1889" s="0" t="n">
        <v>99990</v>
      </c>
      <c r="B1889" s="0" t="n">
        <v>107771</v>
      </c>
      <c r="C1889" s="0" t="n">
        <v>120488</v>
      </c>
      <c r="D1889" s="0" t="s">
        <v>35</v>
      </c>
      <c r="E1889" s="0" t="s">
        <v>35</v>
      </c>
      <c r="F1889" s="0" t="s">
        <v>36</v>
      </c>
      <c r="G1889" s="0" t="s">
        <v>37</v>
      </c>
      <c r="H1889" s="0" t="s">
        <v>6349</v>
      </c>
      <c r="I1889" s="0" t="s">
        <v>6350</v>
      </c>
      <c r="J1889" s="0" t="s">
        <v>6351</v>
      </c>
      <c r="M1889" s="0" t="s">
        <v>6352</v>
      </c>
      <c r="N1889" s="0" t="s">
        <v>333</v>
      </c>
      <c r="O1889" s="0" t="s">
        <v>6353</v>
      </c>
      <c r="P1889" s="0" t="n">
        <v>1968</v>
      </c>
      <c r="Q1889" s="0" t="s">
        <v>39</v>
      </c>
      <c r="R1889" s="0" t="s">
        <v>6354</v>
      </c>
      <c r="S1889" s="0" t="s">
        <v>6355</v>
      </c>
      <c r="V1889" s="0" t="n">
        <v>1</v>
      </c>
      <c r="W1889" s="0" t="n">
        <v>1</v>
      </c>
      <c r="X1889" s="0" t="str">
        <f aca="false">"31811010760315"</f>
        <v>31811010760315</v>
      </c>
      <c r="Y1889" s="0" t="s">
        <v>39</v>
      </c>
      <c r="Z1889" s="0" t="s">
        <v>42</v>
      </c>
      <c r="AA1889" s="0" t="s">
        <v>43</v>
      </c>
      <c r="AE1889" s="1" t="s">
        <v>52</v>
      </c>
    </row>
    <row r="1890" customFormat="false" ht="12.8" hidden="false" customHeight="false" outlineLevel="0" collapsed="false">
      <c r="A1890" s="0" t="n">
        <v>173563</v>
      </c>
      <c r="B1890" s="0" t="n">
        <v>189615</v>
      </c>
      <c r="C1890" s="0" t="n">
        <v>212841</v>
      </c>
      <c r="D1890" s="0" t="s">
        <v>35</v>
      </c>
      <c r="E1890" s="0" t="s">
        <v>35</v>
      </c>
      <c r="F1890" s="0" t="s">
        <v>36</v>
      </c>
      <c r="G1890" s="0" t="s">
        <v>37</v>
      </c>
      <c r="H1890" s="0" t="s">
        <v>6356</v>
      </c>
      <c r="I1890" s="0" t="s">
        <v>6357</v>
      </c>
      <c r="J1890" s="0" t="s">
        <v>6356</v>
      </c>
      <c r="M1890" s="0" t="s">
        <v>6358</v>
      </c>
      <c r="N1890" s="0" t="s">
        <v>282</v>
      </c>
      <c r="O1890" s="0" t="s">
        <v>3795</v>
      </c>
      <c r="P1890" s="0" t="n">
        <v>1963</v>
      </c>
      <c r="Q1890" s="0" t="s">
        <v>39</v>
      </c>
      <c r="R1890" s="0" t="s">
        <v>6359</v>
      </c>
      <c r="S1890" s="0" t="s">
        <v>6360</v>
      </c>
      <c r="V1890" s="0" t="n">
        <v>1</v>
      </c>
      <c r="W1890" s="0" t="n">
        <v>1</v>
      </c>
      <c r="X1890" s="0" t="str">
        <f aca="false">"31811010760273"</f>
        <v>31811010760273</v>
      </c>
      <c r="Y1890" s="0" t="s">
        <v>39</v>
      </c>
      <c r="Z1890" s="0" t="s">
        <v>42</v>
      </c>
      <c r="AA1890" s="0" t="s">
        <v>43</v>
      </c>
      <c r="AE1890" s="1" t="s">
        <v>52</v>
      </c>
      <c r="AH1890" s="1" t="s">
        <v>6361</v>
      </c>
    </row>
    <row r="1891" customFormat="false" ht="12.8" hidden="false" customHeight="false" outlineLevel="0" collapsed="false">
      <c r="A1891" s="0" t="n">
        <v>373980</v>
      </c>
      <c r="B1891" s="0" t="n">
        <v>404744</v>
      </c>
      <c r="C1891" s="0" t="n">
        <v>450866</v>
      </c>
      <c r="D1891" s="0" t="s">
        <v>35</v>
      </c>
      <c r="E1891" s="0" t="s">
        <v>35</v>
      </c>
      <c r="F1891" s="0" t="s">
        <v>36</v>
      </c>
      <c r="G1891" s="0" t="s">
        <v>37</v>
      </c>
      <c r="H1891" s="0" t="s">
        <v>6362</v>
      </c>
      <c r="I1891" s="0" t="s">
        <v>6363</v>
      </c>
      <c r="J1891" s="0" t="s">
        <v>6364</v>
      </c>
      <c r="M1891" s="0" t="s">
        <v>6365</v>
      </c>
      <c r="N1891" s="0" t="s">
        <v>6366</v>
      </c>
      <c r="O1891" s="0" t="s">
        <v>6367</v>
      </c>
      <c r="P1891" s="0" t="n">
        <v>1963</v>
      </c>
      <c r="Q1891" s="0" t="s">
        <v>39</v>
      </c>
      <c r="R1891" s="0" t="s">
        <v>6368</v>
      </c>
      <c r="S1891" s="0" t="s">
        <v>6369</v>
      </c>
      <c r="V1891" s="0" t="n">
        <v>1</v>
      </c>
      <c r="W1891" s="0" t="n">
        <v>1</v>
      </c>
      <c r="X1891" s="0" t="str">
        <f aca="false">"31811010106717"</f>
        <v>31811010106717</v>
      </c>
      <c r="Y1891" s="0" t="s">
        <v>39</v>
      </c>
      <c r="Z1891" s="0" t="s">
        <v>42</v>
      </c>
      <c r="AA1891" s="0" t="s">
        <v>43</v>
      </c>
      <c r="AE1891" s="1" t="s">
        <v>52</v>
      </c>
    </row>
    <row r="1892" customFormat="false" ht="12.8" hidden="false" customHeight="false" outlineLevel="0" collapsed="false">
      <c r="A1892" s="0" t="n">
        <v>10509</v>
      </c>
      <c r="B1892" s="0" t="n">
        <v>12146</v>
      </c>
      <c r="C1892" s="0" t="n">
        <v>14137</v>
      </c>
      <c r="D1892" s="0" t="s">
        <v>35</v>
      </c>
      <c r="E1892" s="0" t="s">
        <v>35</v>
      </c>
      <c r="F1892" s="0" t="s">
        <v>36</v>
      </c>
      <c r="G1892" s="0" t="s">
        <v>37</v>
      </c>
      <c r="H1892" s="0" t="s">
        <v>6370</v>
      </c>
      <c r="J1892" s="0" t="s">
        <v>6371</v>
      </c>
      <c r="M1892" s="0" t="s">
        <v>6372</v>
      </c>
      <c r="N1892" s="0" t="s">
        <v>860</v>
      </c>
      <c r="O1892" s="0" t="s">
        <v>6373</v>
      </c>
      <c r="P1892" s="0" t="n">
        <v>1967</v>
      </c>
      <c r="Q1892" s="0" t="s">
        <v>39</v>
      </c>
      <c r="R1892" s="0" t="s">
        <v>6374</v>
      </c>
      <c r="S1892" s="0" t="s">
        <v>6375</v>
      </c>
      <c r="V1892" s="0" t="n">
        <v>1</v>
      </c>
      <c r="W1892" s="0" t="n">
        <v>1</v>
      </c>
      <c r="X1892" s="0" t="str">
        <f aca="false">"31811010760232"</f>
        <v>31811010760232</v>
      </c>
      <c r="Y1892" s="0" t="s">
        <v>39</v>
      </c>
      <c r="Z1892" s="0" t="s">
        <v>42</v>
      </c>
      <c r="AA1892" s="0" t="s">
        <v>43</v>
      </c>
      <c r="AE1892" s="1" t="s">
        <v>52</v>
      </c>
      <c r="AH1892" s="1" t="s">
        <v>6376</v>
      </c>
    </row>
    <row r="1893" customFormat="false" ht="12.8" hidden="false" customHeight="false" outlineLevel="0" collapsed="false">
      <c r="A1893" s="0" t="n">
        <v>422603</v>
      </c>
      <c r="B1893" s="0" t="n">
        <v>455625</v>
      </c>
      <c r="C1893" s="0" t="n">
        <v>508710</v>
      </c>
      <c r="D1893" s="0" t="s">
        <v>35</v>
      </c>
      <c r="E1893" s="0" t="s">
        <v>35</v>
      </c>
      <c r="F1893" s="0" t="s">
        <v>36</v>
      </c>
      <c r="G1893" s="0" t="s">
        <v>37</v>
      </c>
      <c r="H1893" s="0" t="s">
        <v>6377</v>
      </c>
      <c r="I1893" s="0" t="s">
        <v>6378</v>
      </c>
      <c r="J1893" s="0" t="s">
        <v>6379</v>
      </c>
      <c r="K1893" s="0" t="s">
        <v>6380</v>
      </c>
      <c r="M1893" s="0" t="s">
        <v>6381</v>
      </c>
      <c r="N1893" s="0" t="s">
        <v>365</v>
      </c>
      <c r="O1893" s="0" t="s">
        <v>6382</v>
      </c>
      <c r="P1893" s="0" t="n">
        <v>1966</v>
      </c>
      <c r="Q1893" s="0" t="s">
        <v>39</v>
      </c>
      <c r="R1893" s="0" t="s">
        <v>6383</v>
      </c>
      <c r="S1893" s="0" t="s">
        <v>6384</v>
      </c>
      <c r="V1893" s="0" t="n">
        <v>1</v>
      </c>
      <c r="W1893" s="0" t="n">
        <v>1</v>
      </c>
      <c r="X1893" s="0" t="str">
        <f aca="false">"31811010760190"</f>
        <v>31811010760190</v>
      </c>
      <c r="Y1893" s="0" t="s">
        <v>39</v>
      </c>
      <c r="Z1893" s="0" t="s">
        <v>42</v>
      </c>
      <c r="AA1893" s="0" t="s">
        <v>43</v>
      </c>
      <c r="AE1893" s="1" t="s">
        <v>52</v>
      </c>
    </row>
    <row r="1894" customFormat="false" ht="12.8" hidden="false" customHeight="false" outlineLevel="0" collapsed="false">
      <c r="A1894" s="0" t="n">
        <v>51474</v>
      </c>
      <c r="B1894" s="0" t="n">
        <v>55744</v>
      </c>
      <c r="C1894" s="0" t="n">
        <v>61457</v>
      </c>
      <c r="D1894" s="0" t="s">
        <v>35</v>
      </c>
      <c r="E1894" s="0" t="s">
        <v>35</v>
      </c>
      <c r="F1894" s="0" t="s">
        <v>36</v>
      </c>
      <c r="G1894" s="0" t="s">
        <v>37</v>
      </c>
      <c r="H1894" s="0" t="s">
        <v>6385</v>
      </c>
      <c r="I1894" s="0" t="s">
        <v>6386</v>
      </c>
      <c r="J1894" s="0" t="s">
        <v>6385</v>
      </c>
      <c r="M1894" s="0" t="s">
        <v>6387</v>
      </c>
      <c r="N1894" s="0" t="n">
        <v>1965</v>
      </c>
      <c r="O1894" s="0" t="s">
        <v>6388</v>
      </c>
      <c r="P1894" s="0" t="n">
        <v>1965</v>
      </c>
      <c r="Q1894" s="0" t="s">
        <v>39</v>
      </c>
      <c r="R1894" s="0" t="s">
        <v>6389</v>
      </c>
      <c r="S1894" s="0" t="s">
        <v>6390</v>
      </c>
      <c r="V1894" s="0" t="n">
        <v>1</v>
      </c>
      <c r="W1894" s="0" t="n">
        <v>1</v>
      </c>
      <c r="X1894" s="0" t="str">
        <f aca="false">"31811010760158"</f>
        <v>31811010760158</v>
      </c>
      <c r="Y1894" s="0" t="s">
        <v>39</v>
      </c>
      <c r="Z1894" s="0" t="s">
        <v>42</v>
      </c>
      <c r="AA1894" s="0" t="s">
        <v>43</v>
      </c>
      <c r="AE1894" s="1" t="s">
        <v>52</v>
      </c>
    </row>
    <row r="1895" customFormat="false" ht="12.8" hidden="false" customHeight="false" outlineLevel="0" collapsed="false">
      <c r="A1895" s="0" t="n">
        <v>102255</v>
      </c>
      <c r="B1895" s="0" t="n">
        <v>110130</v>
      </c>
      <c r="C1895" s="0" t="n">
        <v>122989</v>
      </c>
      <c r="D1895" s="0" t="s">
        <v>35</v>
      </c>
      <c r="E1895" s="0" t="s">
        <v>35</v>
      </c>
      <c r="F1895" s="0" t="s">
        <v>36</v>
      </c>
      <c r="G1895" s="0" t="s">
        <v>37</v>
      </c>
      <c r="H1895" s="0" t="s">
        <v>6391</v>
      </c>
      <c r="I1895" s="0" t="s">
        <v>6392</v>
      </c>
      <c r="J1895" s="0" t="s">
        <v>6391</v>
      </c>
      <c r="M1895" s="0" t="s">
        <v>6393</v>
      </c>
      <c r="N1895" s="0" t="n">
        <v>1953</v>
      </c>
      <c r="O1895" s="0" t="s">
        <v>6394</v>
      </c>
      <c r="P1895" s="0" t="n">
        <v>1953</v>
      </c>
      <c r="Q1895" s="0" t="s">
        <v>39</v>
      </c>
      <c r="R1895" s="0" t="s">
        <v>6395</v>
      </c>
      <c r="S1895" s="0" t="s">
        <v>6396</v>
      </c>
      <c r="V1895" s="0" t="n">
        <v>1</v>
      </c>
      <c r="W1895" s="0" t="n">
        <v>1</v>
      </c>
      <c r="X1895" s="0" t="str">
        <f aca="false">"31811010760117"</f>
        <v>31811010760117</v>
      </c>
      <c r="Y1895" s="0" t="s">
        <v>39</v>
      </c>
      <c r="Z1895" s="0" t="s">
        <v>42</v>
      </c>
      <c r="AA1895" s="0" t="s">
        <v>43</v>
      </c>
      <c r="AE1895" s="1" t="s">
        <v>52</v>
      </c>
    </row>
    <row r="1896" customFormat="false" ht="12.8" hidden="false" customHeight="false" outlineLevel="0" collapsed="false">
      <c r="A1896" s="0" t="n">
        <v>271776</v>
      </c>
      <c r="B1896" s="0" t="n">
        <v>297450</v>
      </c>
      <c r="C1896" s="0" t="n">
        <v>333614</v>
      </c>
      <c r="D1896" s="0" t="s">
        <v>35</v>
      </c>
      <c r="E1896" s="0" t="s">
        <v>35</v>
      </c>
      <c r="F1896" s="0" t="s">
        <v>36</v>
      </c>
      <c r="G1896" s="0" t="s">
        <v>37</v>
      </c>
      <c r="H1896" s="0" t="s">
        <v>6397</v>
      </c>
      <c r="I1896" s="0" t="s">
        <v>6398</v>
      </c>
      <c r="J1896" s="0" t="s">
        <v>6397</v>
      </c>
      <c r="M1896" s="0" t="s">
        <v>6399</v>
      </c>
      <c r="N1896" s="0" t="n">
        <v>1969</v>
      </c>
      <c r="O1896" s="0" t="s">
        <v>6400</v>
      </c>
      <c r="P1896" s="0" t="n">
        <v>1969</v>
      </c>
      <c r="Q1896" s="0" t="s">
        <v>39</v>
      </c>
      <c r="R1896" s="0" t="s">
        <v>6401</v>
      </c>
      <c r="S1896" s="0" t="s">
        <v>6402</v>
      </c>
      <c r="V1896" s="0" t="n">
        <v>1</v>
      </c>
      <c r="W1896" s="0" t="n">
        <v>1</v>
      </c>
      <c r="X1896" s="0" t="str">
        <f aca="false">"31811010762642"</f>
        <v>31811010762642</v>
      </c>
      <c r="Y1896" s="0" t="s">
        <v>39</v>
      </c>
      <c r="Z1896" s="0" t="s">
        <v>42</v>
      </c>
      <c r="AA1896" s="0" t="s">
        <v>43</v>
      </c>
      <c r="AE1896" s="1" t="s">
        <v>52</v>
      </c>
    </row>
    <row r="1897" customFormat="false" ht="12.8" hidden="false" customHeight="false" outlineLevel="0" collapsed="false">
      <c r="A1897" s="0" t="n">
        <v>405265</v>
      </c>
      <c r="B1897" s="0" t="n">
        <v>437370</v>
      </c>
      <c r="C1897" s="0" t="n">
        <v>487687</v>
      </c>
      <c r="D1897" s="0" t="s">
        <v>35</v>
      </c>
      <c r="E1897" s="0" t="s">
        <v>35</v>
      </c>
      <c r="F1897" s="0" t="s">
        <v>36</v>
      </c>
      <c r="G1897" s="0" t="s">
        <v>412</v>
      </c>
      <c r="H1897" s="0" t="s">
        <v>6403</v>
      </c>
      <c r="I1897" s="0" t="s">
        <v>6404</v>
      </c>
      <c r="J1897" s="0" t="s">
        <v>6403</v>
      </c>
      <c r="M1897" s="0" t="s">
        <v>6405</v>
      </c>
      <c r="N1897" s="0" t="n">
        <v>1917</v>
      </c>
      <c r="P1897" s="0" t="n">
        <v>1917</v>
      </c>
      <c r="Q1897" s="0" t="s">
        <v>39</v>
      </c>
      <c r="R1897" s="0" t="s">
        <v>6406</v>
      </c>
      <c r="S1897" s="0" t="s">
        <v>6407</v>
      </c>
      <c r="V1897" s="0" t="n">
        <v>1</v>
      </c>
      <c r="W1897" s="0" t="n">
        <v>1</v>
      </c>
      <c r="X1897" s="0" t="str">
        <f aca="false">"31811010762600"</f>
        <v>31811010762600</v>
      </c>
      <c r="Y1897" s="0" t="s">
        <v>39</v>
      </c>
      <c r="Z1897" s="0" t="s">
        <v>42</v>
      </c>
      <c r="AA1897" s="0" t="s">
        <v>43</v>
      </c>
      <c r="AE1897" s="1" t="s">
        <v>52</v>
      </c>
    </row>
    <row r="1898" customFormat="false" ht="12.8" hidden="false" customHeight="false" outlineLevel="0" collapsed="false">
      <c r="A1898" s="0" t="n">
        <v>462587</v>
      </c>
      <c r="B1898" s="0" t="n">
        <v>494341</v>
      </c>
      <c r="C1898" s="0" t="n">
        <v>555222</v>
      </c>
      <c r="D1898" s="0" t="s">
        <v>35</v>
      </c>
      <c r="E1898" s="0" t="s">
        <v>35</v>
      </c>
      <c r="F1898" s="0" t="s">
        <v>36</v>
      </c>
      <c r="G1898" s="0" t="s">
        <v>37</v>
      </c>
      <c r="H1898" s="0" t="s">
        <v>6408</v>
      </c>
      <c r="I1898" s="0" t="s">
        <v>6409</v>
      </c>
      <c r="J1898" s="0" t="s">
        <v>6408</v>
      </c>
      <c r="M1898" s="0" t="s">
        <v>6410</v>
      </c>
      <c r="N1898" s="0" t="n">
        <v>1959</v>
      </c>
      <c r="O1898" s="0" t="s">
        <v>6411</v>
      </c>
      <c r="P1898" s="0" t="n">
        <v>1959</v>
      </c>
      <c r="Q1898" s="0" t="s">
        <v>39</v>
      </c>
      <c r="R1898" s="0" t="s">
        <v>6412</v>
      </c>
      <c r="S1898" s="0" t="s">
        <v>6413</v>
      </c>
      <c r="V1898" s="0" t="n">
        <v>1</v>
      </c>
      <c r="W1898" s="0" t="n">
        <v>1</v>
      </c>
      <c r="X1898" s="0" t="str">
        <f aca="false">"31811010762568"</f>
        <v>31811010762568</v>
      </c>
      <c r="Y1898" s="0" t="s">
        <v>39</v>
      </c>
      <c r="Z1898" s="0" t="s">
        <v>42</v>
      </c>
      <c r="AA1898" s="0" t="s">
        <v>43</v>
      </c>
      <c r="AE1898" s="1" t="s">
        <v>52</v>
      </c>
    </row>
    <row r="1899" customFormat="false" ht="12.8" hidden="false" customHeight="false" outlineLevel="0" collapsed="false">
      <c r="A1899" s="0" t="n">
        <v>462587</v>
      </c>
      <c r="B1899" s="0" t="n">
        <v>494342</v>
      </c>
      <c r="C1899" s="0" t="n">
        <v>555223</v>
      </c>
      <c r="D1899" s="0" t="s">
        <v>35</v>
      </c>
      <c r="E1899" s="0" t="s">
        <v>35</v>
      </c>
      <c r="F1899" s="0" t="s">
        <v>36</v>
      </c>
      <c r="G1899" s="0" t="s">
        <v>37</v>
      </c>
      <c r="H1899" s="0" t="s">
        <v>6408</v>
      </c>
      <c r="I1899" s="0" t="s">
        <v>6409</v>
      </c>
      <c r="J1899" s="0" t="s">
        <v>6408</v>
      </c>
      <c r="M1899" s="0" t="s">
        <v>6410</v>
      </c>
      <c r="N1899" s="0" t="n">
        <v>1959</v>
      </c>
      <c r="O1899" s="0" t="s">
        <v>6411</v>
      </c>
      <c r="P1899" s="0" t="n">
        <v>1959</v>
      </c>
      <c r="Q1899" s="0" t="s">
        <v>39</v>
      </c>
      <c r="R1899" s="0" t="s">
        <v>6412</v>
      </c>
      <c r="S1899" s="0" t="s">
        <v>6413</v>
      </c>
      <c r="V1899" s="0" t="n">
        <v>2</v>
      </c>
      <c r="W1899" s="0" t="n">
        <v>1</v>
      </c>
      <c r="X1899" s="0" t="str">
        <f aca="false">"31811010762527"</f>
        <v>31811010762527</v>
      </c>
      <c r="Y1899" s="0" t="s">
        <v>39</v>
      </c>
      <c r="Z1899" s="0" t="s">
        <v>42</v>
      </c>
      <c r="AA1899" s="0" t="s">
        <v>43</v>
      </c>
      <c r="AE1899" s="1" t="s">
        <v>52</v>
      </c>
    </row>
    <row r="1900" customFormat="false" ht="12.8" hidden="false" customHeight="false" outlineLevel="0" collapsed="false">
      <c r="A1900" s="0" t="n">
        <v>371311</v>
      </c>
      <c r="B1900" s="0" t="n">
        <v>401531</v>
      </c>
      <c r="C1900" s="0" t="n">
        <v>447082</v>
      </c>
      <c r="D1900" s="0" t="s">
        <v>35</v>
      </c>
      <c r="E1900" s="0" t="s">
        <v>35</v>
      </c>
      <c r="F1900" s="0" t="s">
        <v>36</v>
      </c>
      <c r="G1900" s="0" t="s">
        <v>37</v>
      </c>
      <c r="H1900" s="0" t="s">
        <v>6414</v>
      </c>
      <c r="I1900" s="0" t="s">
        <v>6415</v>
      </c>
      <c r="J1900" s="0" t="s">
        <v>6416</v>
      </c>
      <c r="K1900" s="0" t="s">
        <v>6417</v>
      </c>
      <c r="M1900" s="0" t="s">
        <v>6418</v>
      </c>
      <c r="N1900" s="0" t="s">
        <v>6419</v>
      </c>
      <c r="O1900" s="0" t="s">
        <v>6420</v>
      </c>
      <c r="P1900" s="0" t="n">
        <v>1965</v>
      </c>
      <c r="Q1900" s="0" t="s">
        <v>39</v>
      </c>
      <c r="R1900" s="0" t="s">
        <v>6421</v>
      </c>
      <c r="S1900" s="0" t="s">
        <v>6422</v>
      </c>
      <c r="V1900" s="0" t="n">
        <v>1</v>
      </c>
      <c r="W1900" s="0" t="n">
        <v>1</v>
      </c>
      <c r="X1900" s="0" t="str">
        <f aca="false">"31811010762485"</f>
        <v>31811010762485</v>
      </c>
      <c r="Y1900" s="0" t="s">
        <v>39</v>
      </c>
      <c r="Z1900" s="0" t="s">
        <v>42</v>
      </c>
      <c r="AA1900" s="0" t="s">
        <v>43</v>
      </c>
      <c r="AE1900" s="1" t="s">
        <v>52</v>
      </c>
    </row>
    <row r="1901" customFormat="false" ht="12.8" hidden="false" customHeight="false" outlineLevel="0" collapsed="false">
      <c r="A1901" s="0" t="n">
        <v>412833</v>
      </c>
      <c r="B1901" s="0" t="n">
        <v>445364</v>
      </c>
      <c r="C1901" s="0" t="n">
        <v>496508</v>
      </c>
      <c r="D1901" s="0" t="s">
        <v>35</v>
      </c>
      <c r="E1901" s="0" t="s">
        <v>35</v>
      </c>
      <c r="F1901" s="0" t="s">
        <v>36</v>
      </c>
      <c r="G1901" s="0" t="s">
        <v>412</v>
      </c>
      <c r="H1901" s="0" t="s">
        <v>6423</v>
      </c>
      <c r="I1901" s="0" t="s">
        <v>6424</v>
      </c>
      <c r="J1901" s="0" t="s">
        <v>6423</v>
      </c>
      <c r="M1901" s="0" t="s">
        <v>6425</v>
      </c>
      <c r="N1901" s="0" t="n">
        <v>1967</v>
      </c>
      <c r="P1901" s="0" t="n">
        <v>1967</v>
      </c>
      <c r="Q1901" s="0" t="s">
        <v>39</v>
      </c>
      <c r="R1901" s="0" t="s">
        <v>6426</v>
      </c>
      <c r="S1901" s="0" t="s">
        <v>6427</v>
      </c>
      <c r="V1901" s="0" t="n">
        <v>1</v>
      </c>
      <c r="W1901" s="0" t="n">
        <v>1</v>
      </c>
      <c r="X1901" s="0" t="str">
        <f aca="false">"31811010762444"</f>
        <v>31811010762444</v>
      </c>
      <c r="Y1901" s="0" t="s">
        <v>39</v>
      </c>
      <c r="Z1901" s="0" t="s">
        <v>42</v>
      </c>
      <c r="AA1901" s="0" t="s">
        <v>43</v>
      </c>
      <c r="AE1901" s="1" t="s">
        <v>52</v>
      </c>
    </row>
    <row r="1902" customFormat="false" ht="12.8" hidden="false" customHeight="false" outlineLevel="0" collapsed="false">
      <c r="A1902" s="0" t="n">
        <v>496081</v>
      </c>
      <c r="B1902" s="0" t="n">
        <v>477203</v>
      </c>
      <c r="C1902" s="0" t="n">
        <v>534865</v>
      </c>
      <c r="D1902" s="0" t="s">
        <v>35</v>
      </c>
      <c r="E1902" s="0" t="s">
        <v>35</v>
      </c>
      <c r="F1902" s="0" t="s">
        <v>36</v>
      </c>
      <c r="G1902" s="0" t="s">
        <v>37</v>
      </c>
      <c r="H1902" s="0" t="s">
        <v>6428</v>
      </c>
      <c r="I1902" s="0" t="s">
        <v>6429</v>
      </c>
      <c r="J1902" s="0" t="s">
        <v>6428</v>
      </c>
      <c r="M1902" s="0" t="s">
        <v>6430</v>
      </c>
      <c r="N1902" s="0" t="s">
        <v>6431</v>
      </c>
      <c r="O1902" s="0" t="s">
        <v>2542</v>
      </c>
      <c r="P1902" s="0" t="n">
        <v>1921</v>
      </c>
      <c r="Q1902" s="0" t="s">
        <v>39</v>
      </c>
      <c r="R1902" s="0" t="s">
        <v>6432</v>
      </c>
      <c r="S1902" s="0" t="s">
        <v>6433</v>
      </c>
      <c r="V1902" s="0" t="n">
        <v>1</v>
      </c>
      <c r="W1902" s="0" t="n">
        <v>1</v>
      </c>
      <c r="X1902" s="0" t="str">
        <f aca="false">"31811010762402"</f>
        <v>31811010762402</v>
      </c>
      <c r="Y1902" s="0" t="s">
        <v>39</v>
      </c>
      <c r="Z1902" s="0" t="s">
        <v>42</v>
      </c>
      <c r="AA1902" s="0" t="s">
        <v>43</v>
      </c>
      <c r="AE1902" s="1" t="s">
        <v>52</v>
      </c>
    </row>
    <row r="1903" customFormat="false" ht="12.8" hidden="false" customHeight="false" outlineLevel="0" collapsed="false">
      <c r="A1903" s="0" t="n">
        <v>103171</v>
      </c>
      <c r="B1903" s="0" t="n">
        <v>111108</v>
      </c>
      <c r="C1903" s="0" t="n">
        <v>124188</v>
      </c>
      <c r="D1903" s="0" t="s">
        <v>35</v>
      </c>
      <c r="E1903" s="0" t="s">
        <v>35</v>
      </c>
      <c r="F1903" s="0" t="s">
        <v>36</v>
      </c>
      <c r="G1903" s="0" t="s">
        <v>37</v>
      </c>
      <c r="H1903" s="0" t="s">
        <v>6434</v>
      </c>
      <c r="I1903" s="0" t="s">
        <v>6435</v>
      </c>
      <c r="J1903" s="0" t="s">
        <v>6434</v>
      </c>
      <c r="L1903" s="0" t="n">
        <v>253139155</v>
      </c>
      <c r="M1903" s="0" t="s">
        <v>6436</v>
      </c>
      <c r="N1903" s="0" t="s">
        <v>296</v>
      </c>
      <c r="O1903" s="0" t="s">
        <v>3918</v>
      </c>
      <c r="P1903" s="0" t="n">
        <v>1970</v>
      </c>
      <c r="Q1903" s="0" t="s">
        <v>39</v>
      </c>
      <c r="R1903" s="0" t="s">
        <v>6437</v>
      </c>
      <c r="S1903" s="0" t="s">
        <v>6438</v>
      </c>
      <c r="V1903" s="0" t="n">
        <v>1</v>
      </c>
      <c r="W1903" s="0" t="n">
        <v>1</v>
      </c>
      <c r="X1903" s="0" t="str">
        <f aca="false">"31811010762360"</f>
        <v>31811010762360</v>
      </c>
      <c r="Y1903" s="0" t="s">
        <v>39</v>
      </c>
      <c r="Z1903" s="0" t="s">
        <v>42</v>
      </c>
      <c r="AA1903" s="0" t="s">
        <v>43</v>
      </c>
      <c r="AE1903" s="1" t="s">
        <v>52</v>
      </c>
    </row>
    <row r="1904" customFormat="false" ht="12.8" hidden="false" customHeight="false" outlineLevel="0" collapsed="false">
      <c r="A1904" s="0" t="n">
        <v>80554</v>
      </c>
      <c r="B1904" s="0" t="n">
        <v>87266</v>
      </c>
      <c r="C1904" s="0" t="n">
        <v>98192</v>
      </c>
      <c r="D1904" s="0" t="s">
        <v>35</v>
      </c>
      <c r="E1904" s="0" t="s">
        <v>35</v>
      </c>
      <c r="F1904" s="0" t="s">
        <v>36</v>
      </c>
      <c r="G1904" s="0" t="s">
        <v>37</v>
      </c>
      <c r="H1904" s="0" t="s">
        <v>6439</v>
      </c>
      <c r="I1904" s="0" t="s">
        <v>6440</v>
      </c>
      <c r="J1904" s="0" t="s">
        <v>6441</v>
      </c>
      <c r="L1904" s="0" t="n">
        <v>684125706</v>
      </c>
      <c r="M1904" s="0" t="s">
        <v>6442</v>
      </c>
      <c r="N1904" s="0" t="s">
        <v>3357</v>
      </c>
      <c r="O1904" s="0" t="s">
        <v>2180</v>
      </c>
      <c r="P1904" s="0" t="n">
        <v>1971</v>
      </c>
      <c r="Q1904" s="0" t="s">
        <v>39</v>
      </c>
      <c r="R1904" s="0" t="s">
        <v>6443</v>
      </c>
      <c r="S1904" s="0" t="s">
        <v>6444</v>
      </c>
      <c r="V1904" s="0" t="n">
        <v>1</v>
      </c>
      <c r="W1904" s="0" t="n">
        <v>1</v>
      </c>
      <c r="X1904" s="0" t="str">
        <f aca="false">"31811010762634"</f>
        <v>31811010762634</v>
      </c>
      <c r="Y1904" s="0" t="s">
        <v>39</v>
      </c>
      <c r="Z1904" s="0" t="s">
        <v>42</v>
      </c>
      <c r="AA1904" s="0" t="s">
        <v>43</v>
      </c>
      <c r="AE1904" s="1" t="s">
        <v>52</v>
      </c>
    </row>
    <row r="1905" customFormat="false" ht="12.8" hidden="false" customHeight="false" outlineLevel="0" collapsed="false">
      <c r="A1905" s="0" t="n">
        <v>466605</v>
      </c>
      <c r="B1905" s="0" t="n">
        <v>498498</v>
      </c>
      <c r="C1905" s="0" t="n">
        <v>559812</v>
      </c>
      <c r="D1905" s="0" t="s">
        <v>35</v>
      </c>
      <c r="E1905" s="0" t="s">
        <v>35</v>
      </c>
      <c r="F1905" s="0" t="s">
        <v>36</v>
      </c>
      <c r="G1905" s="0" t="s">
        <v>37</v>
      </c>
      <c r="H1905" s="0" t="s">
        <v>6445</v>
      </c>
      <c r="I1905" s="0" t="s">
        <v>6440</v>
      </c>
      <c r="J1905" s="0" t="s">
        <v>6445</v>
      </c>
      <c r="M1905" s="0" t="s">
        <v>6446</v>
      </c>
      <c r="N1905" s="0" t="n">
        <v>1960</v>
      </c>
      <c r="O1905" s="0" t="s">
        <v>6447</v>
      </c>
      <c r="P1905" s="0" t="n">
        <v>1960</v>
      </c>
      <c r="Q1905" s="0" t="s">
        <v>39</v>
      </c>
      <c r="R1905" s="0" t="s">
        <v>6448</v>
      </c>
      <c r="S1905" s="0" t="s">
        <v>6449</v>
      </c>
      <c r="V1905" s="0" t="n">
        <v>1</v>
      </c>
      <c r="W1905" s="0" t="n">
        <v>1</v>
      </c>
      <c r="X1905" s="0" t="str">
        <f aca="false">"31811010762592"</f>
        <v>31811010762592</v>
      </c>
      <c r="Y1905" s="0" t="s">
        <v>39</v>
      </c>
      <c r="Z1905" s="0" t="s">
        <v>42</v>
      </c>
      <c r="AA1905" s="0" t="s">
        <v>43</v>
      </c>
      <c r="AE1905" s="1" t="s">
        <v>52</v>
      </c>
      <c r="AH1905" s="1" t="s">
        <v>6450</v>
      </c>
    </row>
    <row r="1906" customFormat="false" ht="12.8" hidden="false" customHeight="false" outlineLevel="0" collapsed="false">
      <c r="A1906" s="0" t="n">
        <v>466605</v>
      </c>
      <c r="B1906" s="0" t="n">
        <v>498499</v>
      </c>
      <c r="C1906" s="0" t="n">
        <v>559813</v>
      </c>
      <c r="D1906" s="0" t="s">
        <v>35</v>
      </c>
      <c r="E1906" s="0" t="s">
        <v>35</v>
      </c>
      <c r="F1906" s="0" t="s">
        <v>36</v>
      </c>
      <c r="G1906" s="0" t="s">
        <v>37</v>
      </c>
      <c r="H1906" s="0" t="s">
        <v>6445</v>
      </c>
      <c r="I1906" s="0" t="s">
        <v>6440</v>
      </c>
      <c r="J1906" s="0" t="s">
        <v>6445</v>
      </c>
      <c r="M1906" s="0" t="s">
        <v>6446</v>
      </c>
      <c r="N1906" s="0" t="n">
        <v>1960</v>
      </c>
      <c r="O1906" s="0" t="s">
        <v>6447</v>
      </c>
      <c r="P1906" s="0" t="n">
        <v>1960</v>
      </c>
      <c r="Q1906" s="0" t="s">
        <v>39</v>
      </c>
      <c r="R1906" s="0" t="s">
        <v>6448</v>
      </c>
      <c r="S1906" s="0" t="s">
        <v>6449</v>
      </c>
      <c r="V1906" s="0" t="n">
        <v>2</v>
      </c>
      <c r="W1906" s="0" t="n">
        <v>1</v>
      </c>
      <c r="X1906" s="0" t="str">
        <f aca="false">"31811010762550"</f>
        <v>31811010762550</v>
      </c>
      <c r="Y1906" s="0" t="s">
        <v>39</v>
      </c>
      <c r="Z1906" s="0" t="s">
        <v>42</v>
      </c>
      <c r="AA1906" s="0" t="s">
        <v>43</v>
      </c>
      <c r="AE1906" s="1" t="s">
        <v>52</v>
      </c>
    </row>
    <row r="1907" customFormat="false" ht="12.8" hidden="false" customHeight="false" outlineLevel="0" collapsed="false">
      <c r="A1907" s="0" t="n">
        <v>10390</v>
      </c>
      <c r="B1907" s="0" t="n">
        <v>12014</v>
      </c>
      <c r="C1907" s="0" t="n">
        <v>13941</v>
      </c>
      <c r="D1907" s="0" t="s">
        <v>35</v>
      </c>
      <c r="E1907" s="0" t="s">
        <v>35</v>
      </c>
      <c r="F1907" s="0" t="s">
        <v>36</v>
      </c>
      <c r="G1907" s="0" t="s">
        <v>37</v>
      </c>
      <c r="H1907" s="0" t="s">
        <v>6451</v>
      </c>
      <c r="I1907" s="0" t="s">
        <v>6440</v>
      </c>
      <c r="J1907" s="0" t="s">
        <v>6451</v>
      </c>
      <c r="K1907" s="0" t="s">
        <v>858</v>
      </c>
      <c r="M1907" s="0" t="s">
        <v>6452</v>
      </c>
      <c r="N1907" s="0" t="n">
        <v>1965</v>
      </c>
      <c r="O1907" s="0" t="s">
        <v>6447</v>
      </c>
      <c r="P1907" s="0" t="n">
        <v>1964</v>
      </c>
      <c r="Q1907" s="0" t="s">
        <v>39</v>
      </c>
      <c r="R1907" s="0" t="s">
        <v>6453</v>
      </c>
      <c r="S1907" s="0" t="s">
        <v>6454</v>
      </c>
      <c r="V1907" s="0" t="n">
        <v>1</v>
      </c>
      <c r="W1907" s="0" t="n">
        <v>1</v>
      </c>
      <c r="X1907" s="0" t="str">
        <f aca="false">"31811010762519"</f>
        <v>31811010762519</v>
      </c>
      <c r="Y1907" s="0" t="s">
        <v>39</v>
      </c>
      <c r="Z1907" s="0" t="s">
        <v>42</v>
      </c>
      <c r="AA1907" s="0" t="s">
        <v>43</v>
      </c>
      <c r="AE1907" s="1" t="s">
        <v>52</v>
      </c>
    </row>
    <row r="1908" customFormat="false" ht="12.8" hidden="false" customHeight="false" outlineLevel="0" collapsed="false">
      <c r="A1908" s="0" t="n">
        <v>273221</v>
      </c>
      <c r="B1908" s="0" t="n">
        <v>298988</v>
      </c>
      <c r="C1908" s="0" t="n">
        <v>335264</v>
      </c>
      <c r="D1908" s="0" t="s">
        <v>35</v>
      </c>
      <c r="E1908" s="0" t="s">
        <v>35</v>
      </c>
      <c r="F1908" s="0" t="s">
        <v>36</v>
      </c>
      <c r="G1908" s="0" t="s">
        <v>37</v>
      </c>
      <c r="H1908" s="0" t="s">
        <v>6455</v>
      </c>
      <c r="I1908" s="0" t="s">
        <v>6440</v>
      </c>
      <c r="J1908" s="0" t="s">
        <v>6456</v>
      </c>
      <c r="L1908" s="0" t="s">
        <v>6457</v>
      </c>
      <c r="M1908" s="0" t="s">
        <v>6458</v>
      </c>
      <c r="N1908" s="0" t="n">
        <v>1969</v>
      </c>
      <c r="O1908" s="0" t="s">
        <v>6459</v>
      </c>
      <c r="P1908" s="0" t="n">
        <v>1969</v>
      </c>
      <c r="Q1908" s="0" t="s">
        <v>39</v>
      </c>
      <c r="R1908" s="0" t="s">
        <v>6460</v>
      </c>
      <c r="S1908" s="0" t="s">
        <v>6461</v>
      </c>
      <c r="V1908" s="0" t="n">
        <v>2</v>
      </c>
      <c r="W1908" s="0" t="n">
        <v>1</v>
      </c>
      <c r="X1908" s="0" t="str">
        <f aca="false">"31811010762436"</f>
        <v>31811010762436</v>
      </c>
      <c r="Y1908" s="0" t="s">
        <v>39</v>
      </c>
      <c r="Z1908" s="0" t="s">
        <v>42</v>
      </c>
      <c r="AA1908" s="0" t="s">
        <v>43</v>
      </c>
      <c r="AE1908" s="1" t="s">
        <v>52</v>
      </c>
    </row>
    <row r="1909" customFormat="false" ht="12.8" hidden="false" customHeight="false" outlineLevel="0" collapsed="false">
      <c r="A1909" s="0" t="n">
        <v>53500</v>
      </c>
      <c r="B1909" s="0" t="n">
        <v>58031</v>
      </c>
      <c r="C1909" s="0" t="n">
        <v>64052</v>
      </c>
      <c r="D1909" s="0" t="s">
        <v>35</v>
      </c>
      <c r="E1909" s="0" t="s">
        <v>35</v>
      </c>
      <c r="F1909" s="0" t="s">
        <v>480</v>
      </c>
      <c r="G1909" s="0" t="s">
        <v>37</v>
      </c>
      <c r="H1909" s="0" t="s">
        <v>6462</v>
      </c>
      <c r="J1909" s="0" t="s">
        <v>6463</v>
      </c>
      <c r="M1909" s="0" t="s">
        <v>6464</v>
      </c>
      <c r="N1909" s="1" t="s">
        <v>6465</v>
      </c>
      <c r="O1909" s="0" t="s">
        <v>6466</v>
      </c>
      <c r="P1909" s="0" t="n">
        <v>1963</v>
      </c>
      <c r="Q1909" s="0" t="s">
        <v>39</v>
      </c>
      <c r="R1909" s="0" t="s">
        <v>6467</v>
      </c>
      <c r="S1909" s="0" t="s">
        <v>6468</v>
      </c>
      <c r="T1909" s="0" t="n">
        <v>1998</v>
      </c>
      <c r="V1909" s="0" t="n">
        <v>1</v>
      </c>
      <c r="W1909" s="0" t="n">
        <v>1</v>
      </c>
      <c r="X1909" s="0" t="str">
        <f aca="false">"31811010548454"</f>
        <v>31811010548454</v>
      </c>
      <c r="Y1909" s="0" t="s">
        <v>39</v>
      </c>
      <c r="Z1909" s="0" t="s">
        <v>42</v>
      </c>
      <c r="AA1909" s="0" t="s">
        <v>622</v>
      </c>
      <c r="AE1909" s="1" t="s">
        <v>52</v>
      </c>
      <c r="AF1909" s="1" t="s">
        <v>6469</v>
      </c>
      <c r="AG1909" s="0" t="n">
        <v>3825</v>
      </c>
    </row>
    <row r="1910" customFormat="false" ht="12.8" hidden="false" customHeight="false" outlineLevel="0" collapsed="false">
      <c r="A1910" s="0" t="n">
        <v>53500</v>
      </c>
      <c r="B1910" s="0" t="n">
        <v>58031</v>
      </c>
      <c r="C1910" s="0" t="n">
        <v>64053</v>
      </c>
      <c r="D1910" s="0" t="s">
        <v>35</v>
      </c>
      <c r="E1910" s="0" t="s">
        <v>35</v>
      </c>
      <c r="F1910" s="0" t="s">
        <v>480</v>
      </c>
      <c r="G1910" s="0" t="s">
        <v>37</v>
      </c>
      <c r="H1910" s="0" t="s">
        <v>6462</v>
      </c>
      <c r="J1910" s="0" t="s">
        <v>6463</v>
      </c>
      <c r="M1910" s="0" t="s">
        <v>6464</v>
      </c>
      <c r="N1910" s="1" t="s">
        <v>6465</v>
      </c>
      <c r="O1910" s="0" t="s">
        <v>6466</v>
      </c>
      <c r="P1910" s="0" t="n">
        <v>1963</v>
      </c>
      <c r="Q1910" s="0" t="s">
        <v>39</v>
      </c>
      <c r="R1910" s="0" t="s">
        <v>6467</v>
      </c>
      <c r="S1910" s="0" t="s">
        <v>6468</v>
      </c>
      <c r="T1910" s="0" t="n">
        <v>1997</v>
      </c>
      <c r="V1910" s="0" t="n">
        <v>1</v>
      </c>
      <c r="W1910" s="0" t="n">
        <v>1</v>
      </c>
      <c r="X1910" s="0" t="str">
        <f aca="false">"31811011269670"</f>
        <v>31811011269670</v>
      </c>
      <c r="Y1910" s="0" t="s">
        <v>39</v>
      </c>
      <c r="Z1910" s="0" t="s">
        <v>42</v>
      </c>
      <c r="AA1910" s="0" t="s">
        <v>622</v>
      </c>
      <c r="AE1910" s="1" t="s">
        <v>52</v>
      </c>
      <c r="AF1910" s="1" t="s">
        <v>6469</v>
      </c>
      <c r="AG1910" s="0" t="n">
        <v>3825</v>
      </c>
    </row>
    <row r="1911" customFormat="false" ht="12.8" hidden="false" customHeight="false" outlineLevel="0" collapsed="false">
      <c r="A1911" s="0" t="n">
        <v>53500</v>
      </c>
      <c r="B1911" s="0" t="n">
        <v>58031</v>
      </c>
      <c r="C1911" s="0" t="n">
        <v>64054</v>
      </c>
      <c r="D1911" s="0" t="s">
        <v>35</v>
      </c>
      <c r="E1911" s="0" t="s">
        <v>35</v>
      </c>
      <c r="F1911" s="0" t="s">
        <v>480</v>
      </c>
      <c r="G1911" s="0" t="s">
        <v>37</v>
      </c>
      <c r="H1911" s="0" t="s">
        <v>6462</v>
      </c>
      <c r="J1911" s="0" t="s">
        <v>6463</v>
      </c>
      <c r="M1911" s="0" t="s">
        <v>6464</v>
      </c>
      <c r="N1911" s="1" t="s">
        <v>6465</v>
      </c>
      <c r="O1911" s="0" t="s">
        <v>6466</v>
      </c>
      <c r="P1911" s="0" t="n">
        <v>1963</v>
      </c>
      <c r="Q1911" s="0" t="s">
        <v>39</v>
      </c>
      <c r="R1911" s="0" t="s">
        <v>6467</v>
      </c>
      <c r="S1911" s="0" t="s">
        <v>6468</v>
      </c>
      <c r="T1911" s="0" t="n">
        <v>1996</v>
      </c>
      <c r="V1911" s="0" t="n">
        <v>1</v>
      </c>
      <c r="W1911" s="0" t="n">
        <v>1</v>
      </c>
      <c r="X1911" s="0" t="str">
        <f aca="false">"31811011295642"</f>
        <v>31811011295642</v>
      </c>
      <c r="Y1911" s="0" t="s">
        <v>39</v>
      </c>
      <c r="Z1911" s="0" t="s">
        <v>42</v>
      </c>
      <c r="AA1911" s="0" t="s">
        <v>622</v>
      </c>
      <c r="AE1911" s="1" t="s">
        <v>52</v>
      </c>
      <c r="AF1911" s="1" t="s">
        <v>6469</v>
      </c>
      <c r="AG1911" s="0" t="n">
        <v>3825</v>
      </c>
    </row>
    <row r="1912" customFormat="false" ht="12.8" hidden="false" customHeight="false" outlineLevel="0" collapsed="false">
      <c r="A1912" s="0" t="n">
        <v>53500</v>
      </c>
      <c r="B1912" s="0" t="n">
        <v>58031</v>
      </c>
      <c r="C1912" s="0" t="n">
        <v>64055</v>
      </c>
      <c r="D1912" s="0" t="s">
        <v>35</v>
      </c>
      <c r="E1912" s="0" t="s">
        <v>35</v>
      </c>
      <c r="F1912" s="0" t="s">
        <v>480</v>
      </c>
      <c r="G1912" s="0" t="s">
        <v>37</v>
      </c>
      <c r="H1912" s="0" t="s">
        <v>6462</v>
      </c>
      <c r="J1912" s="0" t="s">
        <v>6463</v>
      </c>
      <c r="M1912" s="0" t="s">
        <v>6464</v>
      </c>
      <c r="N1912" s="1" t="s">
        <v>6465</v>
      </c>
      <c r="O1912" s="0" t="s">
        <v>6466</v>
      </c>
      <c r="P1912" s="0" t="n">
        <v>1963</v>
      </c>
      <c r="Q1912" s="0" t="s">
        <v>39</v>
      </c>
      <c r="R1912" s="0" t="s">
        <v>6467</v>
      </c>
      <c r="S1912" s="0" t="s">
        <v>6468</v>
      </c>
      <c r="T1912" s="0" t="n">
        <v>1995</v>
      </c>
      <c r="V1912" s="0" t="n">
        <v>1</v>
      </c>
      <c r="W1912" s="0" t="n">
        <v>1</v>
      </c>
      <c r="X1912" s="0" t="str">
        <f aca="false">"31811011630400"</f>
        <v>31811011630400</v>
      </c>
      <c r="Y1912" s="0" t="s">
        <v>39</v>
      </c>
      <c r="Z1912" s="0" t="s">
        <v>42</v>
      </c>
      <c r="AA1912" s="0" t="s">
        <v>622</v>
      </c>
      <c r="AE1912" s="1" t="s">
        <v>52</v>
      </c>
      <c r="AF1912" s="1" t="s">
        <v>6469</v>
      </c>
      <c r="AG1912" s="0" t="n">
        <v>3825</v>
      </c>
    </row>
    <row r="1913" customFormat="false" ht="12.8" hidden="false" customHeight="false" outlineLevel="0" collapsed="false">
      <c r="A1913" s="0" t="n">
        <v>53500</v>
      </c>
      <c r="B1913" s="0" t="n">
        <v>58031</v>
      </c>
      <c r="C1913" s="0" t="n">
        <v>64056</v>
      </c>
      <c r="D1913" s="0" t="s">
        <v>35</v>
      </c>
      <c r="E1913" s="0" t="s">
        <v>35</v>
      </c>
      <c r="F1913" s="0" t="s">
        <v>480</v>
      </c>
      <c r="G1913" s="0" t="s">
        <v>37</v>
      </c>
      <c r="H1913" s="0" t="s">
        <v>6462</v>
      </c>
      <c r="J1913" s="0" t="s">
        <v>6463</v>
      </c>
      <c r="M1913" s="0" t="s">
        <v>6464</v>
      </c>
      <c r="N1913" s="1" t="s">
        <v>6465</v>
      </c>
      <c r="O1913" s="0" t="s">
        <v>6466</v>
      </c>
      <c r="P1913" s="0" t="n">
        <v>1963</v>
      </c>
      <c r="Q1913" s="0" t="s">
        <v>39</v>
      </c>
      <c r="R1913" s="0" t="s">
        <v>6467</v>
      </c>
      <c r="S1913" s="0" t="s">
        <v>6468</v>
      </c>
      <c r="T1913" s="0" t="n">
        <v>1981</v>
      </c>
      <c r="V1913" s="0" t="n">
        <v>1</v>
      </c>
      <c r="W1913" s="0" t="n">
        <v>1</v>
      </c>
      <c r="X1913" s="0" t="str">
        <f aca="false">"31811003180919"</f>
        <v>31811003180919</v>
      </c>
      <c r="Y1913" s="0" t="s">
        <v>39</v>
      </c>
      <c r="Z1913" s="0" t="s">
        <v>42</v>
      </c>
      <c r="AA1913" s="0" t="s">
        <v>622</v>
      </c>
      <c r="AE1913" s="1" t="s">
        <v>52</v>
      </c>
      <c r="AF1913" s="1" t="s">
        <v>6469</v>
      </c>
      <c r="AG1913" s="0" t="n">
        <v>3825</v>
      </c>
    </row>
    <row r="1914" customFormat="false" ht="12.8" hidden="false" customHeight="false" outlineLevel="0" collapsed="false">
      <c r="A1914" s="0" t="n">
        <v>53500</v>
      </c>
      <c r="B1914" s="0" t="n">
        <v>58031</v>
      </c>
      <c r="C1914" s="0" t="n">
        <v>64057</v>
      </c>
      <c r="D1914" s="0" t="s">
        <v>35</v>
      </c>
      <c r="E1914" s="0" t="s">
        <v>35</v>
      </c>
      <c r="F1914" s="0" t="s">
        <v>480</v>
      </c>
      <c r="G1914" s="0" t="s">
        <v>37</v>
      </c>
      <c r="H1914" s="0" t="s">
        <v>6462</v>
      </c>
      <c r="J1914" s="0" t="s">
        <v>6463</v>
      </c>
      <c r="M1914" s="0" t="s">
        <v>6464</v>
      </c>
      <c r="N1914" s="1" t="s">
        <v>6465</v>
      </c>
      <c r="O1914" s="0" t="s">
        <v>6466</v>
      </c>
      <c r="P1914" s="0" t="n">
        <v>1963</v>
      </c>
      <c r="Q1914" s="0" t="s">
        <v>39</v>
      </c>
      <c r="R1914" s="0" t="s">
        <v>6467</v>
      </c>
      <c r="S1914" s="0" t="s">
        <v>6468</v>
      </c>
      <c r="T1914" s="0" t="n">
        <v>1980</v>
      </c>
      <c r="V1914" s="0" t="n">
        <v>1</v>
      </c>
      <c r="W1914" s="0" t="n">
        <v>1</v>
      </c>
      <c r="X1914" s="0" t="str">
        <f aca="false">"31811003180901"</f>
        <v>31811003180901</v>
      </c>
      <c r="Y1914" s="0" t="s">
        <v>39</v>
      </c>
      <c r="Z1914" s="0" t="s">
        <v>42</v>
      </c>
      <c r="AA1914" s="0" t="s">
        <v>622</v>
      </c>
      <c r="AE1914" s="1" t="s">
        <v>52</v>
      </c>
      <c r="AF1914" s="1" t="s">
        <v>6469</v>
      </c>
      <c r="AG1914" s="0" t="n">
        <v>3825</v>
      </c>
    </row>
    <row r="1915" customFormat="false" ht="12.8" hidden="false" customHeight="false" outlineLevel="0" collapsed="false">
      <c r="A1915" s="0" t="n">
        <v>53500</v>
      </c>
      <c r="B1915" s="0" t="n">
        <v>58031</v>
      </c>
      <c r="C1915" s="0" t="n">
        <v>64058</v>
      </c>
      <c r="D1915" s="0" t="s">
        <v>35</v>
      </c>
      <c r="E1915" s="0" t="s">
        <v>35</v>
      </c>
      <c r="F1915" s="0" t="s">
        <v>480</v>
      </c>
      <c r="G1915" s="0" t="s">
        <v>37</v>
      </c>
      <c r="H1915" s="0" t="s">
        <v>6462</v>
      </c>
      <c r="J1915" s="0" t="s">
        <v>6463</v>
      </c>
      <c r="M1915" s="0" t="s">
        <v>6464</v>
      </c>
      <c r="N1915" s="1" t="s">
        <v>6465</v>
      </c>
      <c r="O1915" s="0" t="s">
        <v>6466</v>
      </c>
      <c r="P1915" s="0" t="n">
        <v>1963</v>
      </c>
      <c r="Q1915" s="0" t="s">
        <v>39</v>
      </c>
      <c r="R1915" s="0" t="s">
        <v>6467</v>
      </c>
      <c r="S1915" s="0" t="s">
        <v>6468</v>
      </c>
      <c r="T1915" s="0" t="s">
        <v>6470</v>
      </c>
      <c r="V1915" s="0" t="n">
        <v>1</v>
      </c>
      <c r="W1915" s="0" t="n">
        <v>1</v>
      </c>
      <c r="X1915" s="0" t="str">
        <f aca="false">"31811003180893"</f>
        <v>31811003180893</v>
      </c>
      <c r="Y1915" s="0" t="s">
        <v>39</v>
      </c>
      <c r="Z1915" s="0" t="s">
        <v>42</v>
      </c>
      <c r="AA1915" s="0" t="s">
        <v>622</v>
      </c>
      <c r="AE1915" s="1" t="s">
        <v>52</v>
      </c>
      <c r="AF1915" s="1" t="s">
        <v>6469</v>
      </c>
      <c r="AG1915" s="0" t="n">
        <v>3825</v>
      </c>
    </row>
    <row r="1916" customFormat="false" ht="12.8" hidden="false" customHeight="false" outlineLevel="0" collapsed="false">
      <c r="A1916" s="0" t="n">
        <v>53500</v>
      </c>
      <c r="B1916" s="0" t="n">
        <v>58031</v>
      </c>
      <c r="C1916" s="0" t="n">
        <v>64059</v>
      </c>
      <c r="D1916" s="0" t="s">
        <v>35</v>
      </c>
      <c r="E1916" s="0" t="s">
        <v>35</v>
      </c>
      <c r="F1916" s="0" t="s">
        <v>480</v>
      </c>
      <c r="G1916" s="0" t="s">
        <v>37</v>
      </c>
      <c r="H1916" s="0" t="s">
        <v>6462</v>
      </c>
      <c r="J1916" s="0" t="s">
        <v>6463</v>
      </c>
      <c r="M1916" s="0" t="s">
        <v>6464</v>
      </c>
      <c r="N1916" s="1" t="s">
        <v>6465</v>
      </c>
      <c r="O1916" s="0" t="s">
        <v>6466</v>
      </c>
      <c r="P1916" s="0" t="n">
        <v>1963</v>
      </c>
      <c r="Q1916" s="0" t="s">
        <v>39</v>
      </c>
      <c r="R1916" s="0" t="s">
        <v>6467</v>
      </c>
      <c r="S1916" s="0" t="s">
        <v>6468</v>
      </c>
      <c r="T1916" s="0" t="n">
        <v>1977</v>
      </c>
      <c r="V1916" s="0" t="n">
        <v>1</v>
      </c>
      <c r="W1916" s="0" t="n">
        <v>1</v>
      </c>
      <c r="X1916" s="0" t="str">
        <f aca="false">"31811010200189"</f>
        <v>31811010200189</v>
      </c>
      <c r="Y1916" s="0" t="s">
        <v>39</v>
      </c>
      <c r="Z1916" s="0" t="s">
        <v>42</v>
      </c>
      <c r="AA1916" s="0" t="s">
        <v>622</v>
      </c>
      <c r="AE1916" s="1" t="s">
        <v>52</v>
      </c>
      <c r="AF1916" s="1" t="s">
        <v>6469</v>
      </c>
      <c r="AG1916" s="0" t="n">
        <v>3825</v>
      </c>
    </row>
    <row r="1917" customFormat="false" ht="12.8" hidden="false" customHeight="false" outlineLevel="0" collapsed="false">
      <c r="A1917" s="0" t="n">
        <v>53500</v>
      </c>
      <c r="B1917" s="0" t="n">
        <v>58031</v>
      </c>
      <c r="C1917" s="0" t="n">
        <v>64060</v>
      </c>
      <c r="D1917" s="0" t="s">
        <v>35</v>
      </c>
      <c r="E1917" s="0" t="s">
        <v>35</v>
      </c>
      <c r="F1917" s="0" t="s">
        <v>480</v>
      </c>
      <c r="G1917" s="0" t="s">
        <v>37</v>
      </c>
      <c r="H1917" s="0" t="s">
        <v>6462</v>
      </c>
      <c r="J1917" s="0" t="s">
        <v>6463</v>
      </c>
      <c r="M1917" s="0" t="s">
        <v>6464</v>
      </c>
      <c r="N1917" s="1" t="s">
        <v>6465</v>
      </c>
      <c r="O1917" s="0" t="s">
        <v>6466</v>
      </c>
      <c r="P1917" s="0" t="n">
        <v>1963</v>
      </c>
      <c r="Q1917" s="0" t="s">
        <v>39</v>
      </c>
      <c r="R1917" s="0" t="s">
        <v>6467</v>
      </c>
      <c r="S1917" s="0" t="s">
        <v>6468</v>
      </c>
      <c r="T1917" s="0" t="n">
        <v>1976</v>
      </c>
      <c r="V1917" s="0" t="n">
        <v>1</v>
      </c>
      <c r="W1917" s="0" t="n">
        <v>1</v>
      </c>
      <c r="X1917" s="0" t="str">
        <f aca="false">"31811003180885"</f>
        <v>31811003180885</v>
      </c>
      <c r="Y1917" s="0" t="s">
        <v>39</v>
      </c>
      <c r="Z1917" s="0" t="s">
        <v>42</v>
      </c>
      <c r="AA1917" s="0" t="s">
        <v>622</v>
      </c>
      <c r="AE1917" s="1" t="s">
        <v>52</v>
      </c>
      <c r="AF1917" s="1" t="s">
        <v>6469</v>
      </c>
      <c r="AG1917" s="0" t="n">
        <v>3825</v>
      </c>
    </row>
    <row r="1918" customFormat="false" ht="12.8" hidden="false" customHeight="false" outlineLevel="0" collapsed="false">
      <c r="A1918" s="0" t="n">
        <v>53500</v>
      </c>
      <c r="B1918" s="0" t="n">
        <v>58031</v>
      </c>
      <c r="C1918" s="0" t="n">
        <v>64061</v>
      </c>
      <c r="D1918" s="0" t="s">
        <v>35</v>
      </c>
      <c r="E1918" s="0" t="s">
        <v>35</v>
      </c>
      <c r="F1918" s="0" t="s">
        <v>480</v>
      </c>
      <c r="G1918" s="0" t="s">
        <v>37</v>
      </c>
      <c r="H1918" s="0" t="s">
        <v>6462</v>
      </c>
      <c r="J1918" s="0" t="s">
        <v>6463</v>
      </c>
      <c r="M1918" s="0" t="s">
        <v>6464</v>
      </c>
      <c r="N1918" s="1" t="s">
        <v>6465</v>
      </c>
      <c r="O1918" s="0" t="s">
        <v>6466</v>
      </c>
      <c r="P1918" s="0" t="n">
        <v>1963</v>
      </c>
      <c r="Q1918" s="0" t="s">
        <v>39</v>
      </c>
      <c r="R1918" s="0" t="s">
        <v>6467</v>
      </c>
      <c r="S1918" s="0" t="s">
        <v>6468</v>
      </c>
      <c r="T1918" s="0" t="n">
        <v>1975</v>
      </c>
      <c r="V1918" s="0" t="n">
        <v>1</v>
      </c>
      <c r="W1918" s="0" t="n">
        <v>1</v>
      </c>
      <c r="X1918" s="0" t="str">
        <f aca="false">"31811003180877"</f>
        <v>31811003180877</v>
      </c>
      <c r="Y1918" s="0" t="s">
        <v>39</v>
      </c>
      <c r="Z1918" s="0" t="s">
        <v>42</v>
      </c>
      <c r="AA1918" s="0" t="s">
        <v>622</v>
      </c>
      <c r="AE1918" s="1" t="s">
        <v>52</v>
      </c>
      <c r="AF1918" s="1" t="s">
        <v>6469</v>
      </c>
      <c r="AG1918" s="0" t="n">
        <v>3825</v>
      </c>
    </row>
    <row r="1919" customFormat="false" ht="12.8" hidden="false" customHeight="false" outlineLevel="0" collapsed="false">
      <c r="A1919" s="0" t="n">
        <v>53500</v>
      </c>
      <c r="B1919" s="0" t="n">
        <v>58031</v>
      </c>
      <c r="C1919" s="0" t="n">
        <v>64062</v>
      </c>
      <c r="D1919" s="0" t="s">
        <v>35</v>
      </c>
      <c r="E1919" s="0" t="s">
        <v>35</v>
      </c>
      <c r="F1919" s="0" t="s">
        <v>480</v>
      </c>
      <c r="G1919" s="0" t="s">
        <v>37</v>
      </c>
      <c r="H1919" s="0" t="s">
        <v>6462</v>
      </c>
      <c r="J1919" s="0" t="s">
        <v>6463</v>
      </c>
      <c r="M1919" s="0" t="s">
        <v>6464</v>
      </c>
      <c r="N1919" s="1" t="s">
        <v>6465</v>
      </c>
      <c r="O1919" s="0" t="s">
        <v>6466</v>
      </c>
      <c r="P1919" s="0" t="n">
        <v>1963</v>
      </c>
      <c r="Q1919" s="0" t="s">
        <v>39</v>
      </c>
      <c r="R1919" s="0" t="s">
        <v>6467</v>
      </c>
      <c r="S1919" s="0" t="s">
        <v>6468</v>
      </c>
      <c r="T1919" s="0" t="n">
        <v>1974</v>
      </c>
      <c r="V1919" s="0" t="n">
        <v>1</v>
      </c>
      <c r="W1919" s="0" t="n">
        <v>1</v>
      </c>
      <c r="X1919" s="0" t="str">
        <f aca="false">"31811003180869"</f>
        <v>31811003180869</v>
      </c>
      <c r="Y1919" s="0" t="s">
        <v>39</v>
      </c>
      <c r="Z1919" s="0" t="s">
        <v>42</v>
      </c>
      <c r="AA1919" s="0" t="s">
        <v>622</v>
      </c>
      <c r="AE1919" s="1" t="s">
        <v>52</v>
      </c>
      <c r="AF1919" s="1" t="s">
        <v>6469</v>
      </c>
      <c r="AG1919" s="0" t="n">
        <v>3825</v>
      </c>
    </row>
    <row r="1920" customFormat="false" ht="12.8" hidden="false" customHeight="false" outlineLevel="0" collapsed="false">
      <c r="A1920" s="0" t="n">
        <v>53500</v>
      </c>
      <c r="B1920" s="0" t="n">
        <v>58031</v>
      </c>
      <c r="C1920" s="0" t="n">
        <v>64063</v>
      </c>
      <c r="D1920" s="0" t="s">
        <v>35</v>
      </c>
      <c r="E1920" s="0" t="s">
        <v>35</v>
      </c>
      <c r="F1920" s="0" t="s">
        <v>480</v>
      </c>
      <c r="G1920" s="0" t="s">
        <v>37</v>
      </c>
      <c r="H1920" s="0" t="s">
        <v>6462</v>
      </c>
      <c r="J1920" s="0" t="s">
        <v>6463</v>
      </c>
      <c r="M1920" s="0" t="s">
        <v>6464</v>
      </c>
      <c r="N1920" s="1" t="s">
        <v>6465</v>
      </c>
      <c r="O1920" s="0" t="s">
        <v>6466</v>
      </c>
      <c r="P1920" s="0" t="n">
        <v>1963</v>
      </c>
      <c r="Q1920" s="0" t="s">
        <v>39</v>
      </c>
      <c r="R1920" s="0" t="s">
        <v>6467</v>
      </c>
      <c r="S1920" s="0" t="s">
        <v>6468</v>
      </c>
      <c r="T1920" s="0" t="n">
        <v>1973</v>
      </c>
      <c r="V1920" s="0" t="n">
        <v>1</v>
      </c>
      <c r="W1920" s="0" t="n">
        <v>1</v>
      </c>
      <c r="X1920" s="0" t="str">
        <f aca="false">"31811003180851"</f>
        <v>31811003180851</v>
      </c>
      <c r="Y1920" s="0" t="s">
        <v>39</v>
      </c>
      <c r="Z1920" s="0" t="s">
        <v>42</v>
      </c>
      <c r="AA1920" s="0" t="s">
        <v>622</v>
      </c>
      <c r="AE1920" s="1" t="s">
        <v>52</v>
      </c>
      <c r="AF1920" s="1" t="s">
        <v>6469</v>
      </c>
      <c r="AG1920" s="0" t="n">
        <v>3825</v>
      </c>
    </row>
    <row r="1921" customFormat="false" ht="12.8" hidden="false" customHeight="false" outlineLevel="0" collapsed="false">
      <c r="A1921" s="0" t="n">
        <v>53500</v>
      </c>
      <c r="B1921" s="0" t="n">
        <v>58031</v>
      </c>
      <c r="C1921" s="0" t="n">
        <v>64064</v>
      </c>
      <c r="D1921" s="0" t="s">
        <v>35</v>
      </c>
      <c r="E1921" s="0" t="s">
        <v>35</v>
      </c>
      <c r="F1921" s="0" t="s">
        <v>480</v>
      </c>
      <c r="G1921" s="0" t="s">
        <v>37</v>
      </c>
      <c r="H1921" s="0" t="s">
        <v>6462</v>
      </c>
      <c r="J1921" s="0" t="s">
        <v>6463</v>
      </c>
      <c r="M1921" s="0" t="s">
        <v>6464</v>
      </c>
      <c r="N1921" s="1" t="s">
        <v>6465</v>
      </c>
      <c r="O1921" s="0" t="s">
        <v>6466</v>
      </c>
      <c r="P1921" s="0" t="n">
        <v>1963</v>
      </c>
      <c r="Q1921" s="0" t="s">
        <v>39</v>
      </c>
      <c r="R1921" s="0" t="s">
        <v>6467</v>
      </c>
      <c r="S1921" s="0" t="s">
        <v>6468</v>
      </c>
      <c r="T1921" s="0" t="n">
        <v>1972</v>
      </c>
      <c r="V1921" s="0" t="n">
        <v>1</v>
      </c>
      <c r="W1921" s="0" t="n">
        <v>1</v>
      </c>
      <c r="X1921" s="0" t="str">
        <f aca="false">"31811003180844"</f>
        <v>31811003180844</v>
      </c>
      <c r="Y1921" s="0" t="s">
        <v>39</v>
      </c>
      <c r="Z1921" s="0" t="s">
        <v>42</v>
      </c>
      <c r="AA1921" s="0" t="s">
        <v>622</v>
      </c>
      <c r="AE1921" s="1" t="s">
        <v>52</v>
      </c>
      <c r="AF1921" s="1" t="s">
        <v>6469</v>
      </c>
      <c r="AG1921" s="0" t="n">
        <v>3825</v>
      </c>
    </row>
    <row r="1922" customFormat="false" ht="12.8" hidden="false" customHeight="false" outlineLevel="0" collapsed="false">
      <c r="A1922" s="0" t="n">
        <v>53500</v>
      </c>
      <c r="B1922" s="0" t="n">
        <v>58031</v>
      </c>
      <c r="C1922" s="0" t="n">
        <v>64065</v>
      </c>
      <c r="D1922" s="0" t="s">
        <v>35</v>
      </c>
      <c r="E1922" s="0" t="s">
        <v>35</v>
      </c>
      <c r="F1922" s="0" t="s">
        <v>480</v>
      </c>
      <c r="G1922" s="0" t="s">
        <v>37</v>
      </c>
      <c r="H1922" s="0" t="s">
        <v>6462</v>
      </c>
      <c r="J1922" s="0" t="s">
        <v>6463</v>
      </c>
      <c r="M1922" s="0" t="s">
        <v>6464</v>
      </c>
      <c r="N1922" s="1" t="s">
        <v>6465</v>
      </c>
      <c r="O1922" s="0" t="s">
        <v>6466</v>
      </c>
      <c r="P1922" s="0" t="n">
        <v>1963</v>
      </c>
      <c r="Q1922" s="0" t="s">
        <v>39</v>
      </c>
      <c r="R1922" s="0" t="s">
        <v>6467</v>
      </c>
      <c r="S1922" s="0" t="s">
        <v>6468</v>
      </c>
      <c r="T1922" s="0" t="n">
        <v>1971</v>
      </c>
      <c r="V1922" s="0" t="n">
        <v>1</v>
      </c>
      <c r="W1922" s="0" t="n">
        <v>1</v>
      </c>
      <c r="X1922" s="0" t="str">
        <f aca="false">"31811003180836"</f>
        <v>31811003180836</v>
      </c>
      <c r="Y1922" s="0" t="s">
        <v>39</v>
      </c>
      <c r="Z1922" s="0" t="s">
        <v>42</v>
      </c>
      <c r="AA1922" s="0" t="s">
        <v>622</v>
      </c>
      <c r="AE1922" s="1" t="s">
        <v>52</v>
      </c>
      <c r="AF1922" s="1" t="s">
        <v>6469</v>
      </c>
      <c r="AG1922" s="0" t="n">
        <v>3825</v>
      </c>
    </row>
    <row r="1923" customFormat="false" ht="12.8" hidden="false" customHeight="false" outlineLevel="0" collapsed="false">
      <c r="A1923" s="0" t="n">
        <v>53500</v>
      </c>
      <c r="B1923" s="0" t="n">
        <v>58031</v>
      </c>
      <c r="C1923" s="0" t="n">
        <v>64066</v>
      </c>
      <c r="D1923" s="0" t="s">
        <v>35</v>
      </c>
      <c r="E1923" s="0" t="s">
        <v>35</v>
      </c>
      <c r="F1923" s="0" t="s">
        <v>480</v>
      </c>
      <c r="G1923" s="0" t="s">
        <v>37</v>
      </c>
      <c r="H1923" s="0" t="s">
        <v>6462</v>
      </c>
      <c r="J1923" s="0" t="s">
        <v>6463</v>
      </c>
      <c r="M1923" s="0" t="s">
        <v>6464</v>
      </c>
      <c r="N1923" s="1" t="s">
        <v>6465</v>
      </c>
      <c r="O1923" s="0" t="s">
        <v>6466</v>
      </c>
      <c r="P1923" s="0" t="n">
        <v>1963</v>
      </c>
      <c r="Q1923" s="0" t="s">
        <v>39</v>
      </c>
      <c r="R1923" s="0" t="s">
        <v>6467</v>
      </c>
      <c r="S1923" s="0" t="s">
        <v>6468</v>
      </c>
      <c r="T1923" s="0" t="n">
        <v>1970</v>
      </c>
      <c r="V1923" s="0" t="n">
        <v>1</v>
      </c>
      <c r="W1923" s="0" t="n">
        <v>1</v>
      </c>
      <c r="X1923" s="0" t="str">
        <f aca="false">"31811003180828"</f>
        <v>31811003180828</v>
      </c>
      <c r="Y1923" s="0" t="s">
        <v>39</v>
      </c>
      <c r="Z1923" s="0" t="s">
        <v>42</v>
      </c>
      <c r="AA1923" s="0" t="s">
        <v>622</v>
      </c>
      <c r="AE1923" s="1" t="s">
        <v>52</v>
      </c>
      <c r="AF1923" s="1" t="s">
        <v>6469</v>
      </c>
      <c r="AG1923" s="0" t="n">
        <v>3825</v>
      </c>
    </row>
    <row r="1924" customFormat="false" ht="12.8" hidden="false" customHeight="false" outlineLevel="0" collapsed="false">
      <c r="A1924" s="0" t="n">
        <v>53500</v>
      </c>
      <c r="B1924" s="0" t="n">
        <v>58031</v>
      </c>
      <c r="C1924" s="0" t="n">
        <v>64067</v>
      </c>
      <c r="D1924" s="0" t="s">
        <v>35</v>
      </c>
      <c r="E1924" s="0" t="s">
        <v>35</v>
      </c>
      <c r="F1924" s="0" t="s">
        <v>480</v>
      </c>
      <c r="G1924" s="0" t="s">
        <v>37</v>
      </c>
      <c r="H1924" s="0" t="s">
        <v>6462</v>
      </c>
      <c r="J1924" s="0" t="s">
        <v>6463</v>
      </c>
      <c r="M1924" s="0" t="s">
        <v>6464</v>
      </c>
      <c r="N1924" s="1" t="s">
        <v>6465</v>
      </c>
      <c r="O1924" s="0" t="s">
        <v>6466</v>
      </c>
      <c r="P1924" s="0" t="n">
        <v>1963</v>
      </c>
      <c r="Q1924" s="0" t="s">
        <v>39</v>
      </c>
      <c r="R1924" s="0" t="s">
        <v>6467</v>
      </c>
      <c r="S1924" s="0" t="s">
        <v>6468</v>
      </c>
      <c r="T1924" s="0" t="n">
        <v>1969</v>
      </c>
      <c r="V1924" s="0" t="n">
        <v>1</v>
      </c>
      <c r="W1924" s="0" t="n">
        <v>1</v>
      </c>
      <c r="X1924" s="0" t="str">
        <f aca="false">"31811003180810"</f>
        <v>31811003180810</v>
      </c>
      <c r="Y1924" s="0" t="s">
        <v>39</v>
      </c>
      <c r="Z1924" s="0" t="s">
        <v>42</v>
      </c>
      <c r="AA1924" s="0" t="s">
        <v>622</v>
      </c>
      <c r="AE1924" s="1" t="s">
        <v>52</v>
      </c>
      <c r="AF1924" s="1" t="s">
        <v>6469</v>
      </c>
      <c r="AG1924" s="0" t="n">
        <v>3825</v>
      </c>
    </row>
    <row r="1925" customFormat="false" ht="12.8" hidden="false" customHeight="false" outlineLevel="0" collapsed="false">
      <c r="A1925" s="0" t="n">
        <v>53500</v>
      </c>
      <c r="B1925" s="0" t="n">
        <v>58031</v>
      </c>
      <c r="C1925" s="0" t="n">
        <v>64068</v>
      </c>
      <c r="D1925" s="0" t="s">
        <v>35</v>
      </c>
      <c r="E1925" s="0" t="s">
        <v>35</v>
      </c>
      <c r="F1925" s="0" t="s">
        <v>480</v>
      </c>
      <c r="G1925" s="0" t="s">
        <v>37</v>
      </c>
      <c r="H1925" s="0" t="s">
        <v>6462</v>
      </c>
      <c r="J1925" s="0" t="s">
        <v>6463</v>
      </c>
      <c r="M1925" s="0" t="s">
        <v>6464</v>
      </c>
      <c r="N1925" s="1" t="s">
        <v>6465</v>
      </c>
      <c r="O1925" s="0" t="s">
        <v>6466</v>
      </c>
      <c r="P1925" s="0" t="n">
        <v>1963</v>
      </c>
      <c r="Q1925" s="0" t="s">
        <v>39</v>
      </c>
      <c r="R1925" s="0" t="s">
        <v>6467</v>
      </c>
      <c r="S1925" s="0" t="s">
        <v>6468</v>
      </c>
      <c r="T1925" s="0" t="n">
        <v>1968</v>
      </c>
      <c r="V1925" s="0" t="n">
        <v>1</v>
      </c>
      <c r="W1925" s="0" t="n">
        <v>1</v>
      </c>
      <c r="X1925" s="0" t="str">
        <f aca="false">"31811003180802"</f>
        <v>31811003180802</v>
      </c>
      <c r="Y1925" s="0" t="s">
        <v>39</v>
      </c>
      <c r="Z1925" s="0" t="s">
        <v>42</v>
      </c>
      <c r="AA1925" s="0" t="s">
        <v>622</v>
      </c>
      <c r="AE1925" s="1" t="s">
        <v>52</v>
      </c>
      <c r="AF1925" s="1" t="s">
        <v>6469</v>
      </c>
      <c r="AG1925" s="0" t="n">
        <v>3825</v>
      </c>
    </row>
    <row r="1926" customFormat="false" ht="12.8" hidden="false" customHeight="false" outlineLevel="0" collapsed="false">
      <c r="A1926" s="0" t="n">
        <v>53500</v>
      </c>
      <c r="B1926" s="0" t="n">
        <v>58031</v>
      </c>
      <c r="C1926" s="0" t="n">
        <v>64069</v>
      </c>
      <c r="D1926" s="0" t="s">
        <v>35</v>
      </c>
      <c r="E1926" s="0" t="s">
        <v>35</v>
      </c>
      <c r="F1926" s="0" t="s">
        <v>480</v>
      </c>
      <c r="G1926" s="0" t="s">
        <v>37</v>
      </c>
      <c r="H1926" s="0" t="s">
        <v>6462</v>
      </c>
      <c r="J1926" s="0" t="s">
        <v>6463</v>
      </c>
      <c r="M1926" s="0" t="s">
        <v>6464</v>
      </c>
      <c r="N1926" s="1" t="s">
        <v>6465</v>
      </c>
      <c r="O1926" s="0" t="s">
        <v>6466</v>
      </c>
      <c r="P1926" s="0" t="n">
        <v>1963</v>
      </c>
      <c r="Q1926" s="0" t="s">
        <v>39</v>
      </c>
      <c r="R1926" s="0" t="s">
        <v>6467</v>
      </c>
      <c r="S1926" s="0" t="s">
        <v>6468</v>
      </c>
      <c r="T1926" s="0" t="n">
        <v>1967</v>
      </c>
      <c r="V1926" s="0" t="n">
        <v>1</v>
      </c>
      <c r="W1926" s="0" t="n">
        <v>1</v>
      </c>
      <c r="X1926" s="0" t="str">
        <f aca="false">"31811003180794"</f>
        <v>31811003180794</v>
      </c>
      <c r="Y1926" s="0" t="s">
        <v>39</v>
      </c>
      <c r="Z1926" s="0" t="s">
        <v>42</v>
      </c>
      <c r="AA1926" s="0" t="s">
        <v>622</v>
      </c>
      <c r="AE1926" s="1" t="s">
        <v>52</v>
      </c>
      <c r="AF1926" s="1" t="s">
        <v>6469</v>
      </c>
      <c r="AG1926" s="0" t="n">
        <v>3825</v>
      </c>
    </row>
    <row r="1927" customFormat="false" ht="12.8" hidden="false" customHeight="false" outlineLevel="0" collapsed="false">
      <c r="A1927" s="0" t="n">
        <v>53500</v>
      </c>
      <c r="B1927" s="0" t="n">
        <v>58031</v>
      </c>
      <c r="C1927" s="0" t="n">
        <v>64070</v>
      </c>
      <c r="D1927" s="0" t="s">
        <v>35</v>
      </c>
      <c r="E1927" s="0" t="s">
        <v>35</v>
      </c>
      <c r="F1927" s="0" t="s">
        <v>480</v>
      </c>
      <c r="G1927" s="0" t="s">
        <v>37</v>
      </c>
      <c r="H1927" s="0" t="s">
        <v>6462</v>
      </c>
      <c r="J1927" s="0" t="s">
        <v>6463</v>
      </c>
      <c r="M1927" s="0" t="s">
        <v>6464</v>
      </c>
      <c r="N1927" s="1" t="s">
        <v>6465</v>
      </c>
      <c r="O1927" s="0" t="s">
        <v>6466</v>
      </c>
      <c r="P1927" s="0" t="n">
        <v>1963</v>
      </c>
      <c r="Q1927" s="0" t="s">
        <v>39</v>
      </c>
      <c r="R1927" s="0" t="s">
        <v>6467</v>
      </c>
      <c r="S1927" s="0" t="s">
        <v>6468</v>
      </c>
      <c r="T1927" s="0" t="n">
        <v>1966</v>
      </c>
      <c r="V1927" s="0" t="n">
        <v>1</v>
      </c>
      <c r="W1927" s="0" t="n">
        <v>1</v>
      </c>
      <c r="X1927" s="0" t="str">
        <f aca="false">"31811003180786"</f>
        <v>31811003180786</v>
      </c>
      <c r="Y1927" s="0" t="s">
        <v>39</v>
      </c>
      <c r="Z1927" s="0" t="s">
        <v>42</v>
      </c>
      <c r="AA1927" s="0" t="s">
        <v>622</v>
      </c>
      <c r="AE1927" s="1" t="s">
        <v>52</v>
      </c>
      <c r="AF1927" s="1" t="s">
        <v>6469</v>
      </c>
      <c r="AG1927" s="0" t="n">
        <v>3825</v>
      </c>
    </row>
    <row r="1928" customFormat="false" ht="12.8" hidden="false" customHeight="false" outlineLevel="0" collapsed="false">
      <c r="A1928" s="0" t="n">
        <v>53500</v>
      </c>
      <c r="B1928" s="0" t="n">
        <v>58031</v>
      </c>
      <c r="C1928" s="0" t="n">
        <v>64071</v>
      </c>
      <c r="D1928" s="0" t="s">
        <v>35</v>
      </c>
      <c r="E1928" s="0" t="s">
        <v>35</v>
      </c>
      <c r="F1928" s="0" t="s">
        <v>480</v>
      </c>
      <c r="G1928" s="0" t="s">
        <v>37</v>
      </c>
      <c r="H1928" s="0" t="s">
        <v>6462</v>
      </c>
      <c r="J1928" s="0" t="s">
        <v>6463</v>
      </c>
      <c r="M1928" s="0" t="s">
        <v>6464</v>
      </c>
      <c r="N1928" s="1" t="s">
        <v>6465</v>
      </c>
      <c r="O1928" s="0" t="s">
        <v>6466</v>
      </c>
      <c r="P1928" s="0" t="n">
        <v>1963</v>
      </c>
      <c r="Q1928" s="0" t="s">
        <v>39</v>
      </c>
      <c r="R1928" s="0" t="s">
        <v>6467</v>
      </c>
      <c r="S1928" s="0" t="s">
        <v>6468</v>
      </c>
      <c r="T1928" s="0" t="n">
        <v>1999</v>
      </c>
      <c r="V1928" s="0" t="n">
        <v>1</v>
      </c>
      <c r="W1928" s="0" t="n">
        <v>1</v>
      </c>
      <c r="X1928" s="0" t="str">
        <f aca="false">"31811011782326"</f>
        <v>31811011782326</v>
      </c>
      <c r="Y1928" s="0" t="s">
        <v>39</v>
      </c>
      <c r="Z1928" s="0" t="s">
        <v>42</v>
      </c>
      <c r="AA1928" s="0" t="s">
        <v>622</v>
      </c>
      <c r="AE1928" s="1" t="s">
        <v>52</v>
      </c>
      <c r="AF1928" s="1" t="s">
        <v>6469</v>
      </c>
      <c r="AG1928" s="0" t="n">
        <v>3825</v>
      </c>
    </row>
    <row r="1929" customFormat="false" ht="12.8" hidden="false" customHeight="false" outlineLevel="0" collapsed="false">
      <c r="A1929" s="0" t="n">
        <v>10532</v>
      </c>
      <c r="B1929" s="0" t="n">
        <v>12177</v>
      </c>
      <c r="C1929" s="0" t="n">
        <v>14168</v>
      </c>
      <c r="D1929" s="0" t="s">
        <v>35</v>
      </c>
      <c r="E1929" s="0" t="s">
        <v>35</v>
      </c>
      <c r="F1929" s="0" t="s">
        <v>36</v>
      </c>
      <c r="G1929" s="0" t="s">
        <v>37</v>
      </c>
      <c r="H1929" s="0" t="s">
        <v>6471</v>
      </c>
      <c r="I1929" s="0" t="s">
        <v>6472</v>
      </c>
      <c r="J1929" s="0" t="s">
        <v>6473</v>
      </c>
      <c r="M1929" s="0" t="s">
        <v>6474</v>
      </c>
      <c r="N1929" s="0" t="s">
        <v>282</v>
      </c>
      <c r="O1929" s="0" t="s">
        <v>6475</v>
      </c>
      <c r="P1929" s="0" t="n">
        <v>1963</v>
      </c>
      <c r="Q1929" s="0" t="s">
        <v>39</v>
      </c>
      <c r="R1929" s="0" t="s">
        <v>6476</v>
      </c>
      <c r="S1929" s="0" t="s">
        <v>6477</v>
      </c>
      <c r="V1929" s="0" t="n">
        <v>1</v>
      </c>
      <c r="W1929" s="0" t="n">
        <v>1</v>
      </c>
      <c r="X1929" s="0" t="str">
        <f aca="false">"31811010762394"</f>
        <v>31811010762394</v>
      </c>
      <c r="Y1929" s="0" t="s">
        <v>39</v>
      </c>
      <c r="Z1929" s="0" t="s">
        <v>42</v>
      </c>
      <c r="AA1929" s="0" t="s">
        <v>43</v>
      </c>
      <c r="AE1929" s="1" t="s">
        <v>52</v>
      </c>
      <c r="AH1929" s="1" t="s">
        <v>6478</v>
      </c>
    </row>
    <row r="1930" customFormat="false" ht="12.8" hidden="false" customHeight="false" outlineLevel="0" collapsed="false">
      <c r="A1930" s="0" t="n">
        <v>305642</v>
      </c>
      <c r="B1930" s="0" t="n">
        <v>333273</v>
      </c>
      <c r="C1930" s="0" t="n">
        <v>372063</v>
      </c>
      <c r="D1930" s="0" t="s">
        <v>35</v>
      </c>
      <c r="E1930" s="0" t="s">
        <v>35</v>
      </c>
      <c r="F1930" s="0" t="s">
        <v>36</v>
      </c>
      <c r="G1930" s="0" t="s">
        <v>37</v>
      </c>
      <c r="H1930" s="0" t="s">
        <v>6479</v>
      </c>
      <c r="J1930" s="0" t="s">
        <v>6480</v>
      </c>
      <c r="M1930" s="0" t="s">
        <v>6481</v>
      </c>
      <c r="N1930" s="0" t="s">
        <v>148</v>
      </c>
      <c r="O1930" s="0" t="s">
        <v>6482</v>
      </c>
      <c r="P1930" s="0" t="n">
        <v>1969</v>
      </c>
      <c r="Q1930" s="0" t="s">
        <v>39</v>
      </c>
      <c r="R1930" s="0" t="s">
        <v>6483</v>
      </c>
      <c r="S1930" s="0" t="s">
        <v>6484</v>
      </c>
      <c r="V1930" s="0" t="n">
        <v>1</v>
      </c>
      <c r="W1930" s="0" t="n">
        <v>1</v>
      </c>
      <c r="X1930" s="0" t="str">
        <f aca="false">"31811010762121"</f>
        <v>31811010762121</v>
      </c>
      <c r="Y1930" s="0" t="s">
        <v>39</v>
      </c>
      <c r="Z1930" s="0" t="s">
        <v>42</v>
      </c>
      <c r="AA1930" s="0" t="s">
        <v>43</v>
      </c>
      <c r="AE1930" s="1" t="s">
        <v>52</v>
      </c>
    </row>
    <row r="1931" customFormat="false" ht="12.8" hidden="false" customHeight="false" outlineLevel="0" collapsed="false">
      <c r="A1931" s="0" t="n">
        <v>455999</v>
      </c>
      <c r="B1931" s="0" t="n">
        <v>542415</v>
      </c>
      <c r="C1931" s="0" t="n">
        <v>611374</v>
      </c>
      <c r="D1931" s="0" t="s">
        <v>35</v>
      </c>
      <c r="E1931" s="0" t="s">
        <v>35</v>
      </c>
      <c r="F1931" s="0" t="s">
        <v>36</v>
      </c>
      <c r="G1931" s="0" t="s">
        <v>412</v>
      </c>
      <c r="H1931" s="0" t="s">
        <v>6485</v>
      </c>
      <c r="I1931" s="0" t="s">
        <v>6486</v>
      </c>
      <c r="J1931" s="0" t="s">
        <v>6485</v>
      </c>
      <c r="M1931" s="0" t="s">
        <v>6487</v>
      </c>
      <c r="N1931" s="0" t="n">
        <v>1953</v>
      </c>
      <c r="P1931" s="0" t="n">
        <v>1953</v>
      </c>
      <c r="Q1931" s="0" t="s">
        <v>39</v>
      </c>
      <c r="R1931" s="0" t="s">
        <v>6488</v>
      </c>
      <c r="S1931" s="0" t="s">
        <v>6489</v>
      </c>
      <c r="V1931" s="0" t="n">
        <v>1</v>
      </c>
      <c r="W1931" s="0" t="n">
        <v>1</v>
      </c>
      <c r="X1931" s="0" t="str">
        <f aca="false">"31811010762089"</f>
        <v>31811010762089</v>
      </c>
      <c r="Y1931" s="0" t="s">
        <v>39</v>
      </c>
      <c r="Z1931" s="0" t="s">
        <v>42</v>
      </c>
      <c r="AA1931" s="0" t="s">
        <v>43</v>
      </c>
      <c r="AE1931" s="1" t="s">
        <v>52</v>
      </c>
    </row>
    <row r="1932" customFormat="false" ht="12.8" hidden="false" customHeight="false" outlineLevel="0" collapsed="false">
      <c r="A1932" s="0" t="n">
        <v>484449</v>
      </c>
      <c r="B1932" s="0" t="n">
        <v>516900</v>
      </c>
      <c r="C1932" s="0" t="n">
        <v>580113</v>
      </c>
      <c r="D1932" s="0" t="s">
        <v>35</v>
      </c>
      <c r="E1932" s="0" t="s">
        <v>35</v>
      </c>
      <c r="F1932" s="0" t="s">
        <v>36</v>
      </c>
      <c r="G1932" s="0" t="s">
        <v>37</v>
      </c>
      <c r="H1932" s="0" t="s">
        <v>6490</v>
      </c>
      <c r="I1932" s="0" t="s">
        <v>6491</v>
      </c>
      <c r="J1932" s="0" t="s">
        <v>6492</v>
      </c>
      <c r="M1932" s="0" t="s">
        <v>6493</v>
      </c>
      <c r="N1932" s="0" t="s">
        <v>1477</v>
      </c>
      <c r="O1932" s="0" t="s">
        <v>3366</v>
      </c>
      <c r="P1932" s="0" t="n">
        <v>1994</v>
      </c>
      <c r="Q1932" s="0" t="s">
        <v>39</v>
      </c>
      <c r="R1932" s="0" t="s">
        <v>6494</v>
      </c>
      <c r="S1932" s="0" t="s">
        <v>6495</v>
      </c>
      <c r="V1932" s="0" t="n">
        <v>1</v>
      </c>
      <c r="W1932" s="0" t="n">
        <v>1</v>
      </c>
      <c r="X1932" s="0" t="str">
        <f aca="false">"31811010846395"</f>
        <v>31811010846395</v>
      </c>
      <c r="Y1932" s="0" t="s">
        <v>39</v>
      </c>
      <c r="Z1932" s="0" t="s">
        <v>42</v>
      </c>
      <c r="AA1932" s="0" t="s">
        <v>43</v>
      </c>
      <c r="AE1932" s="1" t="s">
        <v>52</v>
      </c>
    </row>
    <row r="1933" customFormat="false" ht="12.8" hidden="false" customHeight="false" outlineLevel="0" collapsed="false">
      <c r="A1933" s="0" t="n">
        <v>373850</v>
      </c>
      <c r="B1933" s="0" t="n">
        <v>404570</v>
      </c>
      <c r="C1933" s="0" t="n">
        <v>450669</v>
      </c>
      <c r="D1933" s="0" t="s">
        <v>35</v>
      </c>
      <c r="E1933" s="0" t="s">
        <v>35</v>
      </c>
      <c r="F1933" s="0" t="s">
        <v>36</v>
      </c>
      <c r="G1933" s="0" t="s">
        <v>37</v>
      </c>
      <c r="H1933" s="0" t="s">
        <v>6496</v>
      </c>
      <c r="I1933" s="0" t="s">
        <v>6497</v>
      </c>
      <c r="J1933" s="0" t="s">
        <v>6496</v>
      </c>
      <c r="M1933" s="0" t="s">
        <v>6498</v>
      </c>
      <c r="N1933" s="0" t="n">
        <v>1962</v>
      </c>
      <c r="O1933" s="0" t="s">
        <v>5525</v>
      </c>
      <c r="P1933" s="0" t="n">
        <v>1962</v>
      </c>
      <c r="Q1933" s="0" t="s">
        <v>39</v>
      </c>
      <c r="R1933" s="0" t="s">
        <v>6499</v>
      </c>
      <c r="S1933" s="0" t="s">
        <v>6500</v>
      </c>
      <c r="V1933" s="0" t="n">
        <v>1</v>
      </c>
      <c r="W1933" s="0" t="n">
        <v>1</v>
      </c>
      <c r="X1933" s="0" t="str">
        <f aca="false">"31811010762287"</f>
        <v>31811010762287</v>
      </c>
      <c r="Y1933" s="0" t="s">
        <v>39</v>
      </c>
      <c r="Z1933" s="0" t="s">
        <v>42</v>
      </c>
      <c r="AA1933" s="0" t="s">
        <v>43</v>
      </c>
      <c r="AE1933" s="1" t="s">
        <v>52</v>
      </c>
    </row>
    <row r="1934" customFormat="false" ht="12.8" hidden="false" customHeight="false" outlineLevel="0" collapsed="false">
      <c r="A1934" s="0" t="n">
        <v>120599</v>
      </c>
      <c r="B1934" s="0" t="n">
        <v>129745</v>
      </c>
      <c r="C1934" s="0" t="n">
        <v>144490</v>
      </c>
      <c r="D1934" s="0" t="s">
        <v>35</v>
      </c>
      <c r="E1934" s="0" t="s">
        <v>35</v>
      </c>
      <c r="F1934" s="0" t="s">
        <v>36</v>
      </c>
      <c r="G1934" s="0" t="s">
        <v>37</v>
      </c>
      <c r="H1934" s="0" t="s">
        <v>6501</v>
      </c>
      <c r="I1934" s="0" t="s">
        <v>6502</v>
      </c>
      <c r="J1934" s="0" t="s">
        <v>6503</v>
      </c>
      <c r="L1934" s="0" t="s">
        <v>6504</v>
      </c>
      <c r="M1934" s="0" t="s">
        <v>6505</v>
      </c>
      <c r="N1934" s="0" t="s">
        <v>6261</v>
      </c>
      <c r="O1934" s="0" t="s">
        <v>5525</v>
      </c>
      <c r="P1934" s="0" t="n">
        <v>1986</v>
      </c>
      <c r="Q1934" s="0" t="s">
        <v>39</v>
      </c>
      <c r="R1934" s="0" t="s">
        <v>6506</v>
      </c>
      <c r="S1934" s="0" t="s">
        <v>6507</v>
      </c>
      <c r="V1934" s="0" t="n">
        <v>1</v>
      </c>
      <c r="W1934" s="0" t="n">
        <v>1</v>
      </c>
      <c r="X1934" s="0" t="str">
        <f aca="false">"31811003180927"</f>
        <v>31811003180927</v>
      </c>
      <c r="Y1934" s="0" t="s">
        <v>39</v>
      </c>
      <c r="Z1934" s="0" t="s">
        <v>42</v>
      </c>
      <c r="AA1934" s="0" t="s">
        <v>43</v>
      </c>
      <c r="AE1934" s="1" t="s">
        <v>52</v>
      </c>
    </row>
    <row r="1935" customFormat="false" ht="12.8" hidden="false" customHeight="false" outlineLevel="0" collapsed="false">
      <c r="A1935" s="0" t="n">
        <v>116227</v>
      </c>
      <c r="B1935" s="0" t="n">
        <v>125036</v>
      </c>
      <c r="C1935" s="0" t="n">
        <v>139252</v>
      </c>
      <c r="D1935" s="0" t="s">
        <v>35</v>
      </c>
      <c r="E1935" s="0" t="s">
        <v>35</v>
      </c>
      <c r="F1935" s="0" t="s">
        <v>36</v>
      </c>
      <c r="G1935" s="0" t="s">
        <v>37</v>
      </c>
      <c r="H1935" s="0" t="s">
        <v>6508</v>
      </c>
      <c r="I1935" s="0" t="s">
        <v>6509</v>
      </c>
      <c r="J1935" s="0" t="s">
        <v>6510</v>
      </c>
      <c r="L1935" s="0" t="s">
        <v>6511</v>
      </c>
      <c r="M1935" s="0" t="s">
        <v>6512</v>
      </c>
      <c r="N1935" s="0" t="s">
        <v>6261</v>
      </c>
      <c r="O1935" s="0" t="s">
        <v>3459</v>
      </c>
      <c r="P1935" s="0" t="n">
        <v>1986</v>
      </c>
      <c r="Q1935" s="0" t="s">
        <v>39</v>
      </c>
      <c r="R1935" s="0" t="s">
        <v>6513</v>
      </c>
      <c r="S1935" s="0" t="s">
        <v>6514</v>
      </c>
      <c r="V1935" s="0" t="n">
        <v>1</v>
      </c>
      <c r="W1935" s="0" t="n">
        <v>1</v>
      </c>
      <c r="X1935" s="0" t="str">
        <f aca="false">"31811003180935"</f>
        <v>31811003180935</v>
      </c>
      <c r="Y1935" s="0" t="s">
        <v>39</v>
      </c>
      <c r="Z1935" s="0" t="s">
        <v>42</v>
      </c>
      <c r="AA1935" s="0" t="s">
        <v>43</v>
      </c>
      <c r="AE1935" s="1" t="s">
        <v>52</v>
      </c>
      <c r="AH1935" s="1" t="s">
        <v>6515</v>
      </c>
    </row>
    <row r="1936" customFormat="false" ht="12.8" hidden="false" customHeight="false" outlineLevel="0" collapsed="false">
      <c r="A1936" s="0" t="n">
        <v>10533</v>
      </c>
      <c r="B1936" s="0" t="n">
        <v>12178</v>
      </c>
      <c r="C1936" s="0" t="n">
        <v>14169</v>
      </c>
      <c r="D1936" s="0" t="s">
        <v>35</v>
      </c>
      <c r="E1936" s="0" t="s">
        <v>35</v>
      </c>
      <c r="F1936" s="0" t="s">
        <v>36</v>
      </c>
      <c r="G1936" s="0" t="s">
        <v>37</v>
      </c>
      <c r="H1936" s="0" t="s">
        <v>6516</v>
      </c>
      <c r="I1936" s="0" t="s">
        <v>6517</v>
      </c>
      <c r="J1936" s="0" t="s">
        <v>6516</v>
      </c>
      <c r="M1936" s="0" t="s">
        <v>6518</v>
      </c>
      <c r="N1936" s="0" t="s">
        <v>1642</v>
      </c>
      <c r="P1936" s="0" t="n">
        <v>1964</v>
      </c>
      <c r="Q1936" s="0" t="s">
        <v>39</v>
      </c>
      <c r="R1936" s="0" t="s">
        <v>6519</v>
      </c>
      <c r="S1936" s="0" t="s">
        <v>6520</v>
      </c>
      <c r="V1936" s="0" t="n">
        <v>1</v>
      </c>
      <c r="W1936" s="0" t="n">
        <v>1</v>
      </c>
      <c r="X1936" s="0" t="str">
        <f aca="false">"31811010762071"</f>
        <v>31811010762071</v>
      </c>
      <c r="Y1936" s="0" t="s">
        <v>39</v>
      </c>
      <c r="Z1936" s="0" t="s">
        <v>42</v>
      </c>
      <c r="AA1936" s="0" t="s">
        <v>43</v>
      </c>
      <c r="AE1936" s="1" t="s">
        <v>52</v>
      </c>
    </row>
    <row r="1937" customFormat="false" ht="12.8" hidden="false" customHeight="false" outlineLevel="0" collapsed="false">
      <c r="A1937" s="0" t="n">
        <v>102123</v>
      </c>
      <c r="B1937" s="0" t="n">
        <v>109994</v>
      </c>
      <c r="C1937" s="0" t="n">
        <v>122851</v>
      </c>
      <c r="D1937" s="0" t="s">
        <v>35</v>
      </c>
      <c r="E1937" s="0" t="s">
        <v>35</v>
      </c>
      <c r="F1937" s="0" t="s">
        <v>36</v>
      </c>
      <c r="G1937" s="0" t="s">
        <v>37</v>
      </c>
      <c r="H1937" s="0" t="s">
        <v>6521</v>
      </c>
      <c r="I1937" s="0" t="s">
        <v>6522</v>
      </c>
      <c r="J1937" s="0" t="s">
        <v>6521</v>
      </c>
      <c r="K1937" s="0" t="s">
        <v>108</v>
      </c>
      <c r="M1937" s="0" t="s">
        <v>6523</v>
      </c>
      <c r="N1937" s="0" t="s">
        <v>4146</v>
      </c>
      <c r="O1937" s="0" t="s">
        <v>6524</v>
      </c>
      <c r="P1937" s="0" t="n">
        <v>1959</v>
      </c>
      <c r="Q1937" s="0" t="s">
        <v>39</v>
      </c>
      <c r="R1937" s="0" t="s">
        <v>6525</v>
      </c>
      <c r="S1937" s="0" t="s">
        <v>6526</v>
      </c>
      <c r="V1937" s="0" t="n">
        <v>1</v>
      </c>
      <c r="W1937" s="0" t="n">
        <v>1</v>
      </c>
      <c r="X1937" s="0" t="str">
        <f aca="false">"31811010762030"</f>
        <v>31811010762030</v>
      </c>
      <c r="Y1937" s="0" t="s">
        <v>39</v>
      </c>
      <c r="Z1937" s="0" t="s">
        <v>42</v>
      </c>
      <c r="AA1937" s="0" t="s">
        <v>43</v>
      </c>
      <c r="AE1937" s="1" t="s">
        <v>52</v>
      </c>
    </row>
    <row r="1938" customFormat="false" ht="12.8" hidden="false" customHeight="false" outlineLevel="0" collapsed="false">
      <c r="A1938" s="0" t="n">
        <v>264135</v>
      </c>
      <c r="B1938" s="0" t="n">
        <v>289269</v>
      </c>
      <c r="C1938" s="0" t="n">
        <v>324888</v>
      </c>
      <c r="D1938" s="0" t="s">
        <v>35</v>
      </c>
      <c r="E1938" s="0" t="s">
        <v>35</v>
      </c>
      <c r="F1938" s="0" t="s">
        <v>36</v>
      </c>
      <c r="G1938" s="0" t="s">
        <v>37</v>
      </c>
      <c r="H1938" s="0" t="s">
        <v>6527</v>
      </c>
      <c r="I1938" s="0" t="s">
        <v>6528</v>
      </c>
      <c r="J1938" s="0" t="s">
        <v>6529</v>
      </c>
      <c r="M1938" s="0" t="s">
        <v>6530</v>
      </c>
      <c r="N1938" s="0" t="s">
        <v>333</v>
      </c>
      <c r="O1938" s="0" t="s">
        <v>6531</v>
      </c>
      <c r="P1938" s="0" t="n">
        <v>1968</v>
      </c>
      <c r="Q1938" s="0" t="s">
        <v>39</v>
      </c>
      <c r="R1938" s="0" t="s">
        <v>6532</v>
      </c>
      <c r="S1938" s="0" t="s">
        <v>6533</v>
      </c>
      <c r="V1938" s="0" t="n">
        <v>1</v>
      </c>
      <c r="W1938" s="0" t="n">
        <v>1</v>
      </c>
      <c r="X1938" s="0" t="str">
        <f aca="false">"31811010762196"</f>
        <v>31811010762196</v>
      </c>
      <c r="Y1938" s="0" t="s">
        <v>39</v>
      </c>
      <c r="Z1938" s="0" t="s">
        <v>42</v>
      </c>
      <c r="AA1938" s="0" t="s">
        <v>43</v>
      </c>
      <c r="AE1938" s="1" t="s">
        <v>52</v>
      </c>
    </row>
    <row r="1939" customFormat="false" ht="12.8" hidden="false" customHeight="false" outlineLevel="0" collapsed="false">
      <c r="A1939" s="0" t="n">
        <v>148269</v>
      </c>
      <c r="B1939" s="0" t="n">
        <v>160676</v>
      </c>
      <c r="C1939" s="0" t="n">
        <v>180332</v>
      </c>
      <c r="D1939" s="0" t="s">
        <v>35</v>
      </c>
      <c r="E1939" s="0" t="s">
        <v>35</v>
      </c>
      <c r="F1939" s="0" t="s">
        <v>36</v>
      </c>
      <c r="G1939" s="0" t="s">
        <v>37</v>
      </c>
      <c r="H1939" s="0" t="s">
        <v>6534</v>
      </c>
      <c r="I1939" s="0" t="s">
        <v>6535</v>
      </c>
      <c r="J1939" s="0" t="s">
        <v>6536</v>
      </c>
      <c r="M1939" s="0" t="s">
        <v>6537</v>
      </c>
      <c r="N1939" s="0" t="n">
        <v>1967</v>
      </c>
      <c r="O1939" s="0" t="s">
        <v>6538</v>
      </c>
      <c r="P1939" s="0" t="n">
        <v>1967</v>
      </c>
      <c r="Q1939" s="0" t="s">
        <v>39</v>
      </c>
      <c r="R1939" s="0" t="s">
        <v>6539</v>
      </c>
      <c r="S1939" s="0" t="s">
        <v>6540</v>
      </c>
      <c r="V1939" s="0" t="n">
        <v>1</v>
      </c>
      <c r="W1939" s="0" t="n">
        <v>1</v>
      </c>
      <c r="X1939" s="0" t="str">
        <f aca="false">"31811010762329"</f>
        <v>31811010762329</v>
      </c>
      <c r="Y1939" s="0" t="s">
        <v>39</v>
      </c>
      <c r="Z1939" s="0" t="s">
        <v>42</v>
      </c>
      <c r="AA1939" s="0" t="s">
        <v>43</v>
      </c>
      <c r="AE1939" s="1" t="s">
        <v>52</v>
      </c>
    </row>
    <row r="1940" customFormat="false" ht="12.8" hidden="false" customHeight="false" outlineLevel="0" collapsed="false">
      <c r="A1940" s="0" t="n">
        <v>310192</v>
      </c>
      <c r="B1940" s="0" t="n">
        <v>338052</v>
      </c>
      <c r="C1940" s="0" t="n">
        <v>377224</v>
      </c>
      <c r="D1940" s="0" t="s">
        <v>35</v>
      </c>
      <c r="E1940" s="0" t="s">
        <v>35</v>
      </c>
      <c r="F1940" s="0" t="s">
        <v>36</v>
      </c>
      <c r="G1940" s="0" t="s">
        <v>37</v>
      </c>
      <c r="H1940" s="0" t="s">
        <v>6541</v>
      </c>
      <c r="I1940" s="0" t="s">
        <v>6542</v>
      </c>
      <c r="J1940" s="0" t="s">
        <v>6543</v>
      </c>
      <c r="M1940" s="0" t="s">
        <v>6544</v>
      </c>
      <c r="N1940" s="0" t="s">
        <v>6545</v>
      </c>
      <c r="O1940" s="0" t="s">
        <v>381</v>
      </c>
      <c r="P1940" s="0" t="n">
        <v>1965</v>
      </c>
      <c r="Q1940" s="0" t="s">
        <v>39</v>
      </c>
      <c r="R1940" s="0" t="s">
        <v>6546</v>
      </c>
      <c r="S1940" s="0" t="s">
        <v>6547</v>
      </c>
      <c r="V1940" s="0" t="n">
        <v>1</v>
      </c>
      <c r="W1940" s="0" t="n">
        <v>1</v>
      </c>
      <c r="X1940" s="0" t="str">
        <f aca="false">"31811010762154"</f>
        <v>31811010762154</v>
      </c>
      <c r="Y1940" s="0" t="s">
        <v>39</v>
      </c>
      <c r="Z1940" s="0" t="s">
        <v>42</v>
      </c>
      <c r="AA1940" s="0" t="s">
        <v>43</v>
      </c>
      <c r="AE1940" s="1" t="s">
        <v>52</v>
      </c>
    </row>
    <row r="1941" customFormat="false" ht="12.8" hidden="false" customHeight="false" outlineLevel="0" collapsed="false">
      <c r="A1941" s="0" t="n">
        <v>322450</v>
      </c>
      <c r="B1941" s="0" t="n">
        <v>350769</v>
      </c>
      <c r="C1941" s="0" t="n">
        <v>391471</v>
      </c>
      <c r="D1941" s="0" t="s">
        <v>35</v>
      </c>
      <c r="E1941" s="0" t="s">
        <v>35</v>
      </c>
      <c r="F1941" s="0" t="s">
        <v>36</v>
      </c>
      <c r="G1941" s="0" t="s">
        <v>37</v>
      </c>
      <c r="H1941" s="0" t="s">
        <v>6548</v>
      </c>
      <c r="I1941" s="0" t="s">
        <v>6549</v>
      </c>
      <c r="J1941" s="0" t="s">
        <v>6550</v>
      </c>
      <c r="M1941" s="0" t="s">
        <v>6551</v>
      </c>
      <c r="N1941" s="0" t="n">
        <v>1968</v>
      </c>
      <c r="O1941" s="0" t="s">
        <v>6552</v>
      </c>
      <c r="P1941" s="0" t="n">
        <v>1968</v>
      </c>
      <c r="Q1941" s="0" t="s">
        <v>39</v>
      </c>
      <c r="R1941" s="0" t="s">
        <v>6553</v>
      </c>
      <c r="S1941" s="0" t="s">
        <v>6554</v>
      </c>
      <c r="V1941" s="0" t="n">
        <v>1</v>
      </c>
      <c r="W1941" s="0" t="n">
        <v>1</v>
      </c>
      <c r="X1941" s="0" t="str">
        <f aca="false">"31811010762279"</f>
        <v>31811010762279</v>
      </c>
      <c r="Y1941" s="0" t="s">
        <v>39</v>
      </c>
      <c r="Z1941" s="0" t="s">
        <v>42</v>
      </c>
      <c r="AA1941" s="0" t="s">
        <v>43</v>
      </c>
      <c r="AE1941" s="1" t="s">
        <v>52</v>
      </c>
    </row>
    <row r="1942" customFormat="false" ht="12.8" hidden="false" customHeight="false" outlineLevel="0" collapsed="false">
      <c r="A1942" s="0" t="n">
        <v>197454</v>
      </c>
      <c r="B1942" s="0" t="n">
        <v>216498</v>
      </c>
      <c r="C1942" s="0" t="n">
        <v>243380</v>
      </c>
      <c r="D1942" s="0" t="s">
        <v>35</v>
      </c>
      <c r="E1942" s="0" t="s">
        <v>35</v>
      </c>
      <c r="F1942" s="0" t="s">
        <v>36</v>
      </c>
      <c r="G1942" s="0" t="s">
        <v>37</v>
      </c>
      <c r="H1942" s="0" t="s">
        <v>6555</v>
      </c>
      <c r="I1942" s="0" t="s">
        <v>6556</v>
      </c>
      <c r="J1942" s="0" t="s">
        <v>6557</v>
      </c>
      <c r="M1942" s="0" t="s">
        <v>6558</v>
      </c>
      <c r="N1942" s="0" t="n">
        <v>1969</v>
      </c>
      <c r="O1942" s="0" t="s">
        <v>6559</v>
      </c>
      <c r="P1942" s="0" t="n">
        <v>1969</v>
      </c>
      <c r="Q1942" s="0" t="s">
        <v>39</v>
      </c>
      <c r="R1942" s="0" t="s">
        <v>6560</v>
      </c>
      <c r="S1942" s="0" t="s">
        <v>6561</v>
      </c>
      <c r="V1942" s="0" t="n">
        <v>1</v>
      </c>
      <c r="W1942" s="0" t="n">
        <v>1</v>
      </c>
      <c r="X1942" s="0" t="str">
        <f aca="false">"31811010762238"</f>
        <v>31811010762238</v>
      </c>
      <c r="Y1942" s="0" t="s">
        <v>39</v>
      </c>
      <c r="Z1942" s="0" t="s">
        <v>42</v>
      </c>
      <c r="AA1942" s="0" t="s">
        <v>43</v>
      </c>
      <c r="AE1942" s="1" t="s">
        <v>52</v>
      </c>
    </row>
    <row r="1943" customFormat="false" ht="12.8" hidden="false" customHeight="false" outlineLevel="0" collapsed="false">
      <c r="A1943" s="0" t="n">
        <v>507539</v>
      </c>
      <c r="B1943" s="0" t="n">
        <v>489226</v>
      </c>
      <c r="C1943" s="0" t="n">
        <v>548938</v>
      </c>
      <c r="D1943" s="0" t="s">
        <v>35</v>
      </c>
      <c r="E1943" s="0" t="s">
        <v>35</v>
      </c>
      <c r="F1943" s="0" t="s">
        <v>36</v>
      </c>
      <c r="G1943" s="0" t="s">
        <v>37</v>
      </c>
      <c r="H1943" s="0" t="s">
        <v>6562</v>
      </c>
      <c r="I1943" s="0" t="s">
        <v>6563</v>
      </c>
      <c r="J1943" s="0" t="s">
        <v>6564</v>
      </c>
      <c r="M1943" s="0" t="s">
        <v>6565</v>
      </c>
      <c r="N1943" s="0" t="s">
        <v>6566</v>
      </c>
      <c r="O1943" s="0" t="s">
        <v>6567</v>
      </c>
      <c r="P1943" s="0" t="n">
        <v>1969</v>
      </c>
      <c r="Q1943" s="0" t="s">
        <v>39</v>
      </c>
      <c r="R1943" s="0" t="s">
        <v>6568</v>
      </c>
      <c r="S1943" s="0" t="s">
        <v>6569</v>
      </c>
      <c r="V1943" s="0" t="n">
        <v>1</v>
      </c>
      <c r="W1943" s="0" t="n">
        <v>1</v>
      </c>
      <c r="X1943" s="0" t="str">
        <f aca="false">"31811010762311"</f>
        <v>31811010762311</v>
      </c>
      <c r="Y1943" s="0" t="s">
        <v>39</v>
      </c>
      <c r="Z1943" s="0" t="s">
        <v>42</v>
      </c>
      <c r="AA1943" s="0" t="s">
        <v>43</v>
      </c>
      <c r="AE1943" s="1" t="s">
        <v>52</v>
      </c>
    </row>
    <row r="1944" customFormat="false" ht="12.8" hidden="false" customHeight="false" outlineLevel="0" collapsed="false">
      <c r="A1944" s="0" t="n">
        <v>194228</v>
      </c>
      <c r="B1944" s="0" t="n">
        <v>212926</v>
      </c>
      <c r="C1944" s="0" t="n">
        <v>239347</v>
      </c>
      <c r="D1944" s="0" t="s">
        <v>35</v>
      </c>
      <c r="E1944" s="0" t="s">
        <v>35</v>
      </c>
      <c r="F1944" s="0" t="s">
        <v>36</v>
      </c>
      <c r="G1944" s="0" t="s">
        <v>37</v>
      </c>
      <c r="H1944" s="0" t="s">
        <v>6570</v>
      </c>
      <c r="I1944" s="0" t="s">
        <v>6571</v>
      </c>
      <c r="J1944" s="0" t="s">
        <v>6572</v>
      </c>
      <c r="M1944" s="0" t="s">
        <v>6573</v>
      </c>
      <c r="N1944" s="0" t="s">
        <v>1397</v>
      </c>
      <c r="O1944" s="0" t="s">
        <v>6574</v>
      </c>
      <c r="P1944" s="0" t="n">
        <v>1964</v>
      </c>
      <c r="Q1944" s="0" t="s">
        <v>39</v>
      </c>
      <c r="R1944" s="0" t="s">
        <v>6575</v>
      </c>
      <c r="S1944" s="0" t="s">
        <v>6576</v>
      </c>
      <c r="V1944" s="0" t="n">
        <v>1</v>
      </c>
      <c r="W1944" s="0" t="n">
        <v>1</v>
      </c>
      <c r="X1944" s="0" t="str">
        <f aca="false">"31811010762352"</f>
        <v>31811010762352</v>
      </c>
      <c r="Y1944" s="0" t="s">
        <v>39</v>
      </c>
      <c r="Z1944" s="0" t="s">
        <v>42</v>
      </c>
      <c r="AA1944" s="0" t="s">
        <v>43</v>
      </c>
      <c r="AE1944" s="1" t="s">
        <v>52</v>
      </c>
      <c r="AH1944" s="1" t="s">
        <v>6577</v>
      </c>
    </row>
    <row r="1945" customFormat="false" ht="12.8" hidden="false" customHeight="false" outlineLevel="0" collapsed="false">
      <c r="A1945" s="0" t="n">
        <v>194228</v>
      </c>
      <c r="B1945" s="0" t="n">
        <v>212927</v>
      </c>
      <c r="C1945" s="0" t="n">
        <v>239348</v>
      </c>
      <c r="D1945" s="0" t="s">
        <v>35</v>
      </c>
      <c r="E1945" s="0" t="s">
        <v>35</v>
      </c>
      <c r="F1945" s="0" t="s">
        <v>36</v>
      </c>
      <c r="G1945" s="0" t="s">
        <v>37</v>
      </c>
      <c r="H1945" s="0" t="s">
        <v>6570</v>
      </c>
      <c r="I1945" s="0" t="s">
        <v>6571</v>
      </c>
      <c r="J1945" s="0" t="s">
        <v>6572</v>
      </c>
      <c r="M1945" s="0" t="s">
        <v>6573</v>
      </c>
      <c r="N1945" s="0" t="s">
        <v>1397</v>
      </c>
      <c r="O1945" s="0" t="s">
        <v>6574</v>
      </c>
      <c r="P1945" s="0" t="n">
        <v>1964</v>
      </c>
      <c r="Q1945" s="0" t="s">
        <v>39</v>
      </c>
      <c r="R1945" s="0" t="s">
        <v>6575</v>
      </c>
      <c r="S1945" s="0" t="s">
        <v>6576</v>
      </c>
      <c r="V1945" s="0" t="n">
        <v>2</v>
      </c>
      <c r="W1945" s="0" t="n">
        <v>1</v>
      </c>
      <c r="X1945" s="0" t="str">
        <f aca="false">"31811010938101"</f>
        <v>31811010938101</v>
      </c>
      <c r="Y1945" s="0" t="s">
        <v>39</v>
      </c>
      <c r="Z1945" s="0" t="s">
        <v>42</v>
      </c>
      <c r="AA1945" s="0" t="s">
        <v>43</v>
      </c>
      <c r="AE1945" s="1" t="s">
        <v>52</v>
      </c>
    </row>
    <row r="1946" customFormat="false" ht="12.8" hidden="false" customHeight="false" outlineLevel="0" collapsed="false">
      <c r="A1946" s="0" t="n">
        <v>86871</v>
      </c>
      <c r="B1946" s="0" t="n">
        <v>93999</v>
      </c>
      <c r="C1946" s="0" t="n">
        <v>105559</v>
      </c>
      <c r="D1946" s="0" t="s">
        <v>35</v>
      </c>
      <c r="E1946" s="0" t="s">
        <v>35</v>
      </c>
      <c r="F1946" s="0" t="s">
        <v>36</v>
      </c>
      <c r="G1946" s="0" t="s">
        <v>37</v>
      </c>
      <c r="H1946" s="0" t="s">
        <v>6578</v>
      </c>
      <c r="I1946" s="0" t="s">
        <v>6579</v>
      </c>
      <c r="J1946" s="0" t="s">
        <v>6580</v>
      </c>
      <c r="L1946" s="1" t="s">
        <v>6581</v>
      </c>
      <c r="M1946" s="0" t="s">
        <v>6582</v>
      </c>
      <c r="N1946" s="0" t="n">
        <v>1981</v>
      </c>
      <c r="O1946" s="0" t="s">
        <v>6583</v>
      </c>
      <c r="P1946" s="0" t="n">
        <v>1981</v>
      </c>
      <c r="Q1946" s="0" t="s">
        <v>39</v>
      </c>
      <c r="R1946" s="0" t="s">
        <v>6584</v>
      </c>
      <c r="S1946" s="0" t="s">
        <v>6585</v>
      </c>
      <c r="V1946" s="0" t="n">
        <v>1</v>
      </c>
      <c r="W1946" s="0" t="n">
        <v>1</v>
      </c>
      <c r="X1946" s="0" t="str">
        <f aca="false">"31811011630376"</f>
        <v>31811011630376</v>
      </c>
      <c r="Y1946" s="0" t="s">
        <v>39</v>
      </c>
      <c r="Z1946" s="0" t="s">
        <v>42</v>
      </c>
      <c r="AA1946" s="0" t="s">
        <v>43</v>
      </c>
      <c r="AE1946" s="1" t="s">
        <v>52</v>
      </c>
    </row>
    <row r="1947" customFormat="false" ht="12.8" hidden="false" customHeight="false" outlineLevel="0" collapsed="false">
      <c r="A1947" s="0" t="n">
        <v>210850</v>
      </c>
      <c r="B1947" s="0" t="n">
        <v>231322</v>
      </c>
      <c r="C1947" s="0" t="n">
        <v>260344</v>
      </c>
      <c r="D1947" s="0" t="s">
        <v>35</v>
      </c>
      <c r="E1947" s="0" t="s">
        <v>35</v>
      </c>
      <c r="F1947" s="0" t="s">
        <v>36</v>
      </c>
      <c r="G1947" s="0" t="s">
        <v>37</v>
      </c>
      <c r="H1947" s="0" t="s">
        <v>6586</v>
      </c>
      <c r="I1947" s="0" t="s">
        <v>6587</v>
      </c>
      <c r="J1947" s="0" t="s">
        <v>6588</v>
      </c>
      <c r="M1947" s="0" t="s">
        <v>6589</v>
      </c>
      <c r="N1947" s="0" t="n">
        <v>1966</v>
      </c>
      <c r="O1947" s="0" t="s">
        <v>6590</v>
      </c>
      <c r="P1947" s="0" t="n">
        <v>1966</v>
      </c>
      <c r="Q1947" s="0" t="s">
        <v>39</v>
      </c>
      <c r="R1947" s="0" t="s">
        <v>6591</v>
      </c>
      <c r="S1947" s="0" t="s">
        <v>6592</v>
      </c>
      <c r="V1947" s="0" t="n">
        <v>1</v>
      </c>
      <c r="W1947" s="0" t="n">
        <v>1</v>
      </c>
      <c r="X1947" s="0" t="str">
        <f aca="false">"31811010762584"</f>
        <v>31811010762584</v>
      </c>
      <c r="Y1947" s="0" t="s">
        <v>39</v>
      </c>
      <c r="Z1947" s="0" t="s">
        <v>42</v>
      </c>
      <c r="AA1947" s="0" t="s">
        <v>43</v>
      </c>
      <c r="AE1947" s="1" t="s">
        <v>52</v>
      </c>
      <c r="AH1947" s="1" t="s">
        <v>6593</v>
      </c>
    </row>
    <row r="1948" customFormat="false" ht="12.8" hidden="false" customHeight="false" outlineLevel="0" collapsed="false">
      <c r="A1948" s="0" t="n">
        <v>173630</v>
      </c>
      <c r="B1948" s="0" t="n">
        <v>189697</v>
      </c>
      <c r="C1948" s="0" t="n">
        <v>212924</v>
      </c>
      <c r="D1948" s="0" t="s">
        <v>35</v>
      </c>
      <c r="E1948" s="0" t="s">
        <v>35</v>
      </c>
      <c r="F1948" s="0" t="s">
        <v>36</v>
      </c>
      <c r="G1948" s="0" t="s">
        <v>37</v>
      </c>
      <c r="H1948" s="0" t="s">
        <v>6594</v>
      </c>
      <c r="I1948" s="0" t="s">
        <v>6595</v>
      </c>
      <c r="J1948" s="0" t="s">
        <v>6594</v>
      </c>
      <c r="K1948" s="0" t="s">
        <v>4842</v>
      </c>
      <c r="M1948" s="0" t="s">
        <v>6596</v>
      </c>
      <c r="N1948" s="0" t="n">
        <v>1967</v>
      </c>
      <c r="O1948" s="0" t="s">
        <v>6597</v>
      </c>
      <c r="P1948" s="0" t="n">
        <v>1967</v>
      </c>
      <c r="Q1948" s="0" t="s">
        <v>39</v>
      </c>
      <c r="R1948" s="0" t="s">
        <v>6598</v>
      </c>
      <c r="S1948" s="0" t="s">
        <v>6599</v>
      </c>
      <c r="V1948" s="0" t="n">
        <v>1</v>
      </c>
      <c r="W1948" s="0" t="n">
        <v>1</v>
      </c>
      <c r="X1948" s="0" t="str">
        <f aca="false">"31811010762543"</f>
        <v>31811010762543</v>
      </c>
      <c r="Y1948" s="0" t="s">
        <v>39</v>
      </c>
      <c r="Z1948" s="0" t="s">
        <v>42</v>
      </c>
      <c r="AA1948" s="0" t="s">
        <v>43</v>
      </c>
      <c r="AE1948" s="1" t="s">
        <v>52</v>
      </c>
    </row>
    <row r="1949" customFormat="false" ht="12.8" hidden="false" customHeight="false" outlineLevel="0" collapsed="false">
      <c r="A1949" s="0" t="n">
        <v>260429</v>
      </c>
      <c r="B1949" s="0" t="n">
        <v>285242</v>
      </c>
      <c r="C1949" s="0" t="n">
        <v>320371</v>
      </c>
      <c r="D1949" s="0" t="s">
        <v>35</v>
      </c>
      <c r="E1949" s="0" t="s">
        <v>35</v>
      </c>
      <c r="F1949" s="0" t="s">
        <v>36</v>
      </c>
      <c r="G1949" s="0" t="s">
        <v>37</v>
      </c>
      <c r="H1949" s="0" t="s">
        <v>6600</v>
      </c>
      <c r="I1949" s="0" t="s">
        <v>6601</v>
      </c>
      <c r="J1949" s="0" t="s">
        <v>6600</v>
      </c>
      <c r="M1949" s="0" t="s">
        <v>6602</v>
      </c>
      <c r="N1949" s="0" t="n">
        <v>1961</v>
      </c>
      <c r="O1949" s="0" t="s">
        <v>2504</v>
      </c>
      <c r="P1949" s="0" t="n">
        <v>1961</v>
      </c>
      <c r="Q1949" s="0" t="s">
        <v>39</v>
      </c>
      <c r="R1949" s="0" t="s">
        <v>6603</v>
      </c>
      <c r="S1949" s="0" t="s">
        <v>6604</v>
      </c>
      <c r="V1949" s="0" t="n">
        <v>1</v>
      </c>
      <c r="W1949" s="0" t="n">
        <v>1</v>
      </c>
      <c r="X1949" s="0" t="str">
        <f aca="false">"31811010762501"</f>
        <v>31811010762501</v>
      </c>
      <c r="Y1949" s="0" t="s">
        <v>39</v>
      </c>
      <c r="Z1949" s="0" t="s">
        <v>42</v>
      </c>
      <c r="AA1949" s="0" t="s">
        <v>43</v>
      </c>
      <c r="AE1949" s="1" t="s">
        <v>52</v>
      </c>
    </row>
    <row r="1950" customFormat="false" ht="12.8" hidden="false" customHeight="false" outlineLevel="0" collapsed="false">
      <c r="A1950" s="0" t="n">
        <v>470181</v>
      </c>
      <c r="B1950" s="0" t="n">
        <v>502207</v>
      </c>
      <c r="C1950" s="0" t="n">
        <v>563912</v>
      </c>
      <c r="D1950" s="0" t="s">
        <v>35</v>
      </c>
      <c r="E1950" s="0" t="s">
        <v>35</v>
      </c>
      <c r="F1950" s="0" t="s">
        <v>36</v>
      </c>
      <c r="G1950" s="0" t="s">
        <v>37</v>
      </c>
      <c r="H1950" s="0" t="s">
        <v>6605</v>
      </c>
      <c r="I1950" s="0" t="s">
        <v>6606</v>
      </c>
      <c r="J1950" s="0" t="s">
        <v>6607</v>
      </c>
      <c r="M1950" s="0" t="s">
        <v>6608</v>
      </c>
      <c r="N1950" s="0" t="n">
        <v>1933</v>
      </c>
      <c r="O1950" s="0" t="s">
        <v>6609</v>
      </c>
      <c r="P1950" s="0" t="n">
        <v>1933</v>
      </c>
      <c r="Q1950" s="0" t="s">
        <v>39</v>
      </c>
      <c r="R1950" s="0" t="s">
        <v>6610</v>
      </c>
      <c r="S1950" s="0" t="s">
        <v>6611</v>
      </c>
      <c r="V1950" s="0" t="n">
        <v>1</v>
      </c>
      <c r="W1950" s="0" t="n">
        <v>1</v>
      </c>
      <c r="X1950" s="0" t="str">
        <f aca="false">"31811003180950"</f>
        <v>31811003180950</v>
      </c>
      <c r="Y1950" s="0" t="s">
        <v>39</v>
      </c>
      <c r="Z1950" s="0" t="s">
        <v>42</v>
      </c>
      <c r="AA1950" s="0" t="s">
        <v>43</v>
      </c>
      <c r="AE1950" s="1" t="s">
        <v>52</v>
      </c>
    </row>
    <row r="1951" customFormat="false" ht="12.8" hidden="false" customHeight="false" outlineLevel="0" collapsed="false">
      <c r="A1951" s="0" t="n">
        <v>52489</v>
      </c>
      <c r="B1951" s="0" t="n">
        <v>56849</v>
      </c>
      <c r="C1951" s="0" t="n">
        <v>62601</v>
      </c>
      <c r="D1951" s="0" t="s">
        <v>35</v>
      </c>
      <c r="E1951" s="0" t="s">
        <v>35</v>
      </c>
      <c r="F1951" s="0" t="s">
        <v>36</v>
      </c>
      <c r="G1951" s="0" t="s">
        <v>37</v>
      </c>
      <c r="H1951" s="0" t="s">
        <v>6612</v>
      </c>
      <c r="J1951" s="0" t="s">
        <v>6612</v>
      </c>
      <c r="M1951" s="0" t="s">
        <v>6613</v>
      </c>
      <c r="N1951" s="0" t="n">
        <v>1917</v>
      </c>
      <c r="O1951" s="0" t="s">
        <v>6614</v>
      </c>
      <c r="P1951" s="0" t="n">
        <v>1917</v>
      </c>
      <c r="Q1951" s="0" t="s">
        <v>39</v>
      </c>
      <c r="R1951" s="0" t="s">
        <v>6615</v>
      </c>
      <c r="S1951" s="0" t="s">
        <v>6616</v>
      </c>
      <c r="V1951" s="0" t="n">
        <v>1</v>
      </c>
      <c r="W1951" s="0" t="n">
        <v>1</v>
      </c>
      <c r="X1951" s="0" t="str">
        <f aca="false">"31811010762428"</f>
        <v>31811010762428</v>
      </c>
      <c r="Y1951" s="0" t="s">
        <v>39</v>
      </c>
      <c r="Z1951" s="0" t="s">
        <v>42</v>
      </c>
      <c r="AA1951" s="0" t="s">
        <v>43</v>
      </c>
      <c r="AE1951" s="1" t="s">
        <v>52</v>
      </c>
    </row>
    <row r="1952" customFormat="false" ht="12.8" hidden="false" customHeight="false" outlineLevel="0" collapsed="false">
      <c r="A1952" s="0" t="n">
        <v>338822</v>
      </c>
      <c r="B1952" s="0" t="n">
        <v>367651</v>
      </c>
      <c r="C1952" s="0" t="n">
        <v>409600</v>
      </c>
      <c r="D1952" s="0" t="s">
        <v>35</v>
      </c>
      <c r="E1952" s="0" t="s">
        <v>35</v>
      </c>
      <c r="F1952" s="0" t="s">
        <v>36</v>
      </c>
      <c r="G1952" s="0" t="s">
        <v>481</v>
      </c>
      <c r="H1952" s="0" t="s">
        <v>6617</v>
      </c>
      <c r="I1952" s="0" t="s">
        <v>6618</v>
      </c>
      <c r="J1952" s="0" t="s">
        <v>6619</v>
      </c>
      <c r="M1952" s="0" t="s">
        <v>6620</v>
      </c>
      <c r="N1952" s="0" t="s">
        <v>6621</v>
      </c>
      <c r="O1952" s="0" t="s">
        <v>6622</v>
      </c>
      <c r="P1952" s="0" t="n">
        <v>1925</v>
      </c>
      <c r="Q1952" s="0" t="s">
        <v>39</v>
      </c>
      <c r="R1952" s="0" t="s">
        <v>6623</v>
      </c>
      <c r="S1952" s="0" t="s">
        <v>6624</v>
      </c>
      <c r="V1952" s="0" t="n">
        <v>1</v>
      </c>
      <c r="W1952" s="0" t="n">
        <v>1</v>
      </c>
      <c r="X1952" s="0" t="str">
        <f aca="false">"31811010762386"</f>
        <v>31811010762386</v>
      </c>
      <c r="Y1952" s="0" t="s">
        <v>39</v>
      </c>
      <c r="Z1952" s="0" t="s">
        <v>42</v>
      </c>
      <c r="AA1952" s="0" t="s">
        <v>43</v>
      </c>
      <c r="AE1952" s="1" t="s">
        <v>52</v>
      </c>
    </row>
    <row r="1953" customFormat="false" ht="12.8" hidden="false" customHeight="false" outlineLevel="0" collapsed="false">
      <c r="A1953" s="0" t="n">
        <v>128198</v>
      </c>
      <c r="B1953" s="0" t="n">
        <v>137997</v>
      </c>
      <c r="C1953" s="0" t="n">
        <v>153370</v>
      </c>
      <c r="D1953" s="0" t="s">
        <v>35</v>
      </c>
      <c r="E1953" s="0" t="s">
        <v>35</v>
      </c>
      <c r="F1953" s="0" t="s">
        <v>36</v>
      </c>
      <c r="G1953" s="0" t="s">
        <v>37</v>
      </c>
      <c r="H1953" s="0" t="s">
        <v>6625</v>
      </c>
      <c r="J1953" s="0" t="s">
        <v>6626</v>
      </c>
      <c r="K1953" s="0" t="s">
        <v>108</v>
      </c>
      <c r="M1953" s="0" t="s">
        <v>6627</v>
      </c>
      <c r="N1953" s="0" t="n">
        <v>1967</v>
      </c>
      <c r="O1953" s="0" t="s">
        <v>6628</v>
      </c>
      <c r="P1953" s="0" t="n">
        <v>1967</v>
      </c>
      <c r="Q1953" s="0" t="s">
        <v>39</v>
      </c>
      <c r="R1953" s="0" t="s">
        <v>6629</v>
      </c>
      <c r="S1953" s="0" t="s">
        <v>6630</v>
      </c>
      <c r="V1953" s="0" t="n">
        <v>1</v>
      </c>
      <c r="W1953" s="0" t="n">
        <v>1</v>
      </c>
      <c r="X1953" s="0" t="str">
        <f aca="false">"31811010762618"</f>
        <v>31811010762618</v>
      </c>
      <c r="Y1953" s="0" t="s">
        <v>39</v>
      </c>
      <c r="Z1953" s="0" t="s">
        <v>42</v>
      </c>
      <c r="AA1953" s="0" t="s">
        <v>43</v>
      </c>
      <c r="AE1953" s="1" t="s">
        <v>52</v>
      </c>
    </row>
    <row r="1954" customFormat="false" ht="12.8" hidden="false" customHeight="false" outlineLevel="0" collapsed="false">
      <c r="A1954" s="0" t="n">
        <v>94298</v>
      </c>
      <c r="B1954" s="0" t="n">
        <v>101863</v>
      </c>
      <c r="C1954" s="0" t="n">
        <v>114172</v>
      </c>
      <c r="D1954" s="0" t="s">
        <v>35</v>
      </c>
      <c r="E1954" s="0" t="s">
        <v>35</v>
      </c>
      <c r="F1954" s="0" t="s">
        <v>36</v>
      </c>
      <c r="G1954" s="0" t="s">
        <v>37</v>
      </c>
      <c r="H1954" s="0" t="s">
        <v>6631</v>
      </c>
      <c r="I1954" s="0" t="s">
        <v>6632</v>
      </c>
      <c r="J1954" s="0" t="s">
        <v>6631</v>
      </c>
      <c r="M1954" s="0" t="s">
        <v>6633</v>
      </c>
      <c r="N1954" s="0" t="n">
        <v>1961</v>
      </c>
      <c r="P1954" s="0" t="n">
        <v>1961</v>
      </c>
      <c r="Q1954" s="0" t="s">
        <v>39</v>
      </c>
      <c r="R1954" s="0" t="s">
        <v>6634</v>
      </c>
      <c r="S1954" s="0" t="s">
        <v>6635</v>
      </c>
      <c r="V1954" s="0" t="n">
        <v>1</v>
      </c>
      <c r="W1954" s="0" t="n">
        <v>1</v>
      </c>
      <c r="X1954" s="0" t="str">
        <f aca="false">"31811010762576"</f>
        <v>31811010762576</v>
      </c>
      <c r="Y1954" s="0" t="s">
        <v>39</v>
      </c>
      <c r="Z1954" s="0" t="s">
        <v>42</v>
      </c>
      <c r="AA1954" s="0" t="s">
        <v>43</v>
      </c>
      <c r="AE1954" s="1" t="s">
        <v>52</v>
      </c>
    </row>
    <row r="1955" customFormat="false" ht="12.8" hidden="false" customHeight="false" outlineLevel="0" collapsed="false">
      <c r="A1955" s="0" t="n">
        <v>458693</v>
      </c>
      <c r="B1955" s="0" t="n">
        <v>545304</v>
      </c>
      <c r="C1955" s="0" t="n">
        <v>614785</v>
      </c>
      <c r="D1955" s="0" t="s">
        <v>35</v>
      </c>
      <c r="E1955" s="0" t="s">
        <v>35</v>
      </c>
      <c r="F1955" s="0" t="s">
        <v>36</v>
      </c>
      <c r="G1955" s="0" t="s">
        <v>37</v>
      </c>
      <c r="H1955" s="0" t="s">
        <v>6636</v>
      </c>
      <c r="I1955" s="0" t="s">
        <v>6637</v>
      </c>
      <c r="J1955" s="0" t="s">
        <v>6638</v>
      </c>
      <c r="M1955" s="0" t="s">
        <v>6639</v>
      </c>
      <c r="N1955" s="0" t="s">
        <v>6640</v>
      </c>
      <c r="O1955" s="0" t="s">
        <v>6641</v>
      </c>
      <c r="P1955" s="0" t="n">
        <v>1961</v>
      </c>
      <c r="Q1955" s="0" t="s">
        <v>39</v>
      </c>
      <c r="R1955" s="0" t="s">
        <v>6642</v>
      </c>
      <c r="S1955" s="0" t="s">
        <v>6643</v>
      </c>
      <c r="V1955" s="0" t="n">
        <v>1</v>
      </c>
      <c r="W1955" s="0" t="n">
        <v>1</v>
      </c>
      <c r="X1955" s="0" t="str">
        <f aca="false">"31811010762493"</f>
        <v>31811010762493</v>
      </c>
      <c r="Y1955" s="0" t="s">
        <v>39</v>
      </c>
      <c r="Z1955" s="0" t="s">
        <v>42</v>
      </c>
      <c r="AA1955" s="0" t="s">
        <v>43</v>
      </c>
      <c r="AE1955" s="1" t="s">
        <v>52</v>
      </c>
    </row>
    <row r="1956" customFormat="false" ht="12.8" hidden="false" customHeight="false" outlineLevel="0" collapsed="false">
      <c r="A1956" s="0" t="n">
        <v>351119</v>
      </c>
      <c r="B1956" s="0" t="n">
        <v>380368</v>
      </c>
      <c r="C1956" s="0" t="n">
        <v>423289</v>
      </c>
      <c r="D1956" s="0" t="s">
        <v>35</v>
      </c>
      <c r="E1956" s="0" t="s">
        <v>35</v>
      </c>
      <c r="F1956" s="0" t="s">
        <v>36</v>
      </c>
      <c r="G1956" s="0" t="s">
        <v>37</v>
      </c>
      <c r="H1956" s="0" t="s">
        <v>6644</v>
      </c>
      <c r="I1956" s="0" t="s">
        <v>6645</v>
      </c>
      <c r="J1956" s="0" t="s">
        <v>6646</v>
      </c>
      <c r="M1956" s="0" t="s">
        <v>6647</v>
      </c>
      <c r="N1956" s="0" t="s">
        <v>4189</v>
      </c>
      <c r="O1956" s="0" t="s">
        <v>6648</v>
      </c>
      <c r="P1956" s="0" t="n">
        <v>1962</v>
      </c>
      <c r="Q1956" s="0" t="s">
        <v>39</v>
      </c>
      <c r="R1956" s="0" t="s">
        <v>6649</v>
      </c>
      <c r="S1956" s="0" t="s">
        <v>6650</v>
      </c>
      <c r="V1956" s="0" t="n">
        <v>1</v>
      </c>
      <c r="W1956" s="0" t="n">
        <v>1</v>
      </c>
      <c r="X1956" s="0" t="str">
        <f aca="false">"31811010762410"</f>
        <v>31811010762410</v>
      </c>
      <c r="Y1956" s="0" t="s">
        <v>39</v>
      </c>
      <c r="Z1956" s="0" t="s">
        <v>42</v>
      </c>
      <c r="AA1956" s="0" t="s">
        <v>43</v>
      </c>
      <c r="AE1956" s="1" t="s">
        <v>52</v>
      </c>
    </row>
    <row r="1957" customFormat="false" ht="12.8" hidden="false" customHeight="false" outlineLevel="0" collapsed="false">
      <c r="A1957" s="0" t="n">
        <v>459052</v>
      </c>
      <c r="B1957" s="0" t="n">
        <v>545694</v>
      </c>
      <c r="C1957" s="0" t="n">
        <v>615225</v>
      </c>
      <c r="D1957" s="0" t="s">
        <v>35</v>
      </c>
      <c r="E1957" s="0" t="s">
        <v>35</v>
      </c>
      <c r="F1957" s="0" t="s">
        <v>36</v>
      </c>
      <c r="G1957" s="0" t="s">
        <v>37</v>
      </c>
      <c r="H1957" s="0" t="s">
        <v>6651</v>
      </c>
      <c r="I1957" s="0" t="s">
        <v>6652</v>
      </c>
      <c r="J1957" s="0" t="s">
        <v>6651</v>
      </c>
      <c r="M1957" s="0" t="s">
        <v>6653</v>
      </c>
      <c r="N1957" s="0" t="s">
        <v>6654</v>
      </c>
      <c r="O1957" s="0" t="s">
        <v>6655</v>
      </c>
      <c r="P1957" s="0" t="n">
        <v>1963</v>
      </c>
      <c r="Q1957" s="0" t="s">
        <v>39</v>
      </c>
      <c r="R1957" s="0" t="s">
        <v>6656</v>
      </c>
      <c r="S1957" s="0" t="s">
        <v>6657</v>
      </c>
      <c r="V1957" s="0" t="n">
        <v>1</v>
      </c>
      <c r="W1957" s="0" t="n">
        <v>1</v>
      </c>
      <c r="X1957" s="0" t="str">
        <f aca="false">"31811010762451"</f>
        <v>31811010762451</v>
      </c>
      <c r="Y1957" s="0" t="s">
        <v>39</v>
      </c>
      <c r="Z1957" s="0" t="s">
        <v>42</v>
      </c>
      <c r="AA1957" s="0" t="s">
        <v>43</v>
      </c>
      <c r="AE1957" s="1" t="s">
        <v>52</v>
      </c>
    </row>
    <row r="1958" customFormat="false" ht="12.8" hidden="false" customHeight="false" outlineLevel="0" collapsed="false">
      <c r="A1958" s="0" t="n">
        <v>188423</v>
      </c>
      <c r="B1958" s="0" t="n">
        <v>206305</v>
      </c>
      <c r="C1958" s="0" t="n">
        <v>231956</v>
      </c>
      <c r="D1958" s="0" t="s">
        <v>35</v>
      </c>
      <c r="E1958" s="0" t="s">
        <v>35</v>
      </c>
      <c r="F1958" s="0" t="s">
        <v>36</v>
      </c>
      <c r="G1958" s="0" t="s">
        <v>37</v>
      </c>
      <c r="H1958" s="0" t="s">
        <v>6658</v>
      </c>
      <c r="I1958" s="0" t="s">
        <v>6659</v>
      </c>
      <c r="J1958" s="0" t="s">
        <v>6660</v>
      </c>
      <c r="M1958" s="0" t="s">
        <v>6661</v>
      </c>
      <c r="N1958" s="0" t="n">
        <v>1946</v>
      </c>
      <c r="O1958" s="0" t="s">
        <v>6662</v>
      </c>
      <c r="P1958" s="0" t="n">
        <v>1946</v>
      </c>
      <c r="Q1958" s="0" t="s">
        <v>39</v>
      </c>
      <c r="R1958" s="0" t="s">
        <v>6663</v>
      </c>
      <c r="S1958" s="0" t="s">
        <v>6664</v>
      </c>
      <c r="V1958" s="0" t="n">
        <v>1</v>
      </c>
      <c r="W1958" s="0" t="n">
        <v>1</v>
      </c>
      <c r="X1958" s="0" t="str">
        <f aca="false">"31811010762378"</f>
        <v>31811010762378</v>
      </c>
      <c r="Y1958" s="0" t="s">
        <v>39</v>
      </c>
      <c r="Z1958" s="0" t="s">
        <v>42</v>
      </c>
      <c r="AA1958" s="0" t="s">
        <v>43</v>
      </c>
      <c r="AE1958" s="1" t="s">
        <v>52</v>
      </c>
    </row>
    <row r="1959" customFormat="false" ht="12.8" hidden="false" customHeight="false" outlineLevel="0" collapsed="false">
      <c r="A1959" s="0" t="n">
        <v>6306</v>
      </c>
      <c r="B1959" s="0" t="n">
        <v>7179</v>
      </c>
      <c r="C1959" s="0" t="n">
        <v>8327</v>
      </c>
      <c r="D1959" s="0" t="s">
        <v>35</v>
      </c>
      <c r="E1959" s="0" t="s">
        <v>35</v>
      </c>
      <c r="F1959" s="0" t="s">
        <v>36</v>
      </c>
      <c r="G1959" s="0" t="s">
        <v>37</v>
      </c>
      <c r="H1959" s="0" t="s">
        <v>6665</v>
      </c>
      <c r="I1959" s="0" t="s">
        <v>6659</v>
      </c>
      <c r="J1959" s="0" t="s">
        <v>6665</v>
      </c>
      <c r="K1959" s="0" t="s">
        <v>108</v>
      </c>
      <c r="M1959" s="0" t="s">
        <v>6666</v>
      </c>
      <c r="N1959" s="0" t="n">
        <v>1954</v>
      </c>
      <c r="O1959" s="0" t="s">
        <v>387</v>
      </c>
      <c r="P1959" s="0" t="n">
        <v>1954</v>
      </c>
      <c r="Q1959" s="0" t="s">
        <v>39</v>
      </c>
      <c r="R1959" s="0" t="s">
        <v>6667</v>
      </c>
      <c r="S1959" s="0" t="s">
        <v>6668</v>
      </c>
      <c r="V1959" s="0" t="n">
        <v>1</v>
      </c>
      <c r="W1959" s="0" t="n">
        <v>1</v>
      </c>
      <c r="X1959" s="0" t="str">
        <f aca="false">"31811010762337"</f>
        <v>31811010762337</v>
      </c>
      <c r="Y1959" s="0" t="s">
        <v>39</v>
      </c>
      <c r="Z1959" s="0" t="s">
        <v>42</v>
      </c>
      <c r="AA1959" s="0" t="s">
        <v>43</v>
      </c>
      <c r="AE1959" s="1" t="s">
        <v>52</v>
      </c>
    </row>
    <row r="1960" customFormat="false" ht="12.8" hidden="false" customHeight="false" outlineLevel="0" collapsed="false">
      <c r="A1960" s="0" t="n">
        <v>94458</v>
      </c>
      <c r="B1960" s="0" t="n">
        <v>102032</v>
      </c>
      <c r="C1960" s="0" t="n">
        <v>114402</v>
      </c>
      <c r="D1960" s="0" t="s">
        <v>35</v>
      </c>
      <c r="E1960" s="0" t="s">
        <v>35</v>
      </c>
      <c r="F1960" s="0" t="s">
        <v>36</v>
      </c>
      <c r="G1960" s="0" t="s">
        <v>37</v>
      </c>
      <c r="H1960" s="0" t="s">
        <v>6669</v>
      </c>
      <c r="I1960" s="0" t="s">
        <v>6670</v>
      </c>
      <c r="J1960" s="0" t="s">
        <v>6671</v>
      </c>
      <c r="K1960" s="0" t="s">
        <v>154</v>
      </c>
      <c r="L1960" s="0" t="n">
        <v>688036392</v>
      </c>
      <c r="M1960" s="0" t="s">
        <v>6672</v>
      </c>
      <c r="N1960" s="0" t="n">
        <v>1984</v>
      </c>
      <c r="O1960" s="0" t="s">
        <v>310</v>
      </c>
      <c r="P1960" s="0" t="n">
        <v>1984</v>
      </c>
      <c r="Q1960" s="0" t="s">
        <v>39</v>
      </c>
      <c r="R1960" s="0" t="s">
        <v>6673</v>
      </c>
      <c r="S1960" s="0" t="s">
        <v>6674</v>
      </c>
      <c r="V1960" s="0" t="n">
        <v>1</v>
      </c>
      <c r="W1960" s="0" t="n">
        <v>1</v>
      </c>
      <c r="X1960" s="0" t="str">
        <f aca="false">"31811010763574"</f>
        <v>31811010763574</v>
      </c>
      <c r="Y1960" s="0" t="s">
        <v>39</v>
      </c>
      <c r="Z1960" s="0" t="s">
        <v>42</v>
      </c>
      <c r="AA1960" s="0" t="s">
        <v>43</v>
      </c>
      <c r="AE1960" s="1" t="s">
        <v>52</v>
      </c>
    </row>
    <row r="1961" customFormat="false" ht="12.8" hidden="false" customHeight="false" outlineLevel="0" collapsed="false">
      <c r="A1961" s="0" t="n">
        <v>256513</v>
      </c>
      <c r="B1961" s="0" t="n">
        <v>281032</v>
      </c>
      <c r="C1961" s="0" t="n">
        <v>315630</v>
      </c>
      <c r="D1961" s="0" t="s">
        <v>35</v>
      </c>
      <c r="E1961" s="0" t="s">
        <v>35</v>
      </c>
      <c r="F1961" s="0" t="s">
        <v>36</v>
      </c>
      <c r="G1961" s="0" t="s">
        <v>37</v>
      </c>
      <c r="H1961" s="0" t="s">
        <v>6675</v>
      </c>
      <c r="I1961" s="0" t="s">
        <v>6676</v>
      </c>
      <c r="J1961" s="0" t="s">
        <v>6677</v>
      </c>
      <c r="M1961" s="0" t="s">
        <v>6678</v>
      </c>
      <c r="N1961" s="0" t="n">
        <v>1932</v>
      </c>
      <c r="O1961" s="0" t="s">
        <v>6679</v>
      </c>
      <c r="P1961" s="0" t="n">
        <v>1932</v>
      </c>
      <c r="Q1961" s="0" t="s">
        <v>39</v>
      </c>
      <c r="R1961" s="0" t="s">
        <v>6680</v>
      </c>
      <c r="S1961" s="0" t="s">
        <v>6681</v>
      </c>
      <c r="V1961" s="0" t="n">
        <v>1</v>
      </c>
      <c r="W1961" s="0" t="n">
        <v>1</v>
      </c>
      <c r="X1961" s="0" t="str">
        <f aca="false">"31811010763533"</f>
        <v>31811010763533</v>
      </c>
      <c r="Y1961" s="0" t="s">
        <v>39</v>
      </c>
      <c r="Z1961" s="0" t="s">
        <v>42</v>
      </c>
      <c r="AA1961" s="0" t="s">
        <v>43</v>
      </c>
      <c r="AE1961" s="1" t="s">
        <v>52</v>
      </c>
      <c r="AH1961" s="1" t="s">
        <v>6682</v>
      </c>
    </row>
    <row r="1962" customFormat="false" ht="12.8" hidden="false" customHeight="false" outlineLevel="0" collapsed="false">
      <c r="A1962" s="0" t="n">
        <v>303348</v>
      </c>
      <c r="B1962" s="0" t="n">
        <v>330830</v>
      </c>
      <c r="C1962" s="0" t="n">
        <v>369442</v>
      </c>
      <c r="D1962" s="0" t="s">
        <v>35</v>
      </c>
      <c r="E1962" s="0" t="s">
        <v>35</v>
      </c>
      <c r="F1962" s="0" t="s">
        <v>36</v>
      </c>
      <c r="G1962" s="0" t="s">
        <v>37</v>
      </c>
      <c r="H1962" s="0" t="s">
        <v>6683</v>
      </c>
      <c r="I1962" s="0" t="s">
        <v>6684</v>
      </c>
      <c r="J1962" s="0" t="s">
        <v>6685</v>
      </c>
      <c r="M1962" s="0" t="s">
        <v>6686</v>
      </c>
      <c r="N1962" s="0" t="n">
        <v>1924</v>
      </c>
      <c r="O1962" s="0" t="s">
        <v>6687</v>
      </c>
      <c r="P1962" s="0" t="n">
        <v>1924</v>
      </c>
      <c r="Q1962" s="0" t="s">
        <v>39</v>
      </c>
      <c r="R1962" s="0" t="s">
        <v>6688</v>
      </c>
      <c r="S1962" s="0" t="s">
        <v>6689</v>
      </c>
      <c r="V1962" s="0" t="n">
        <v>1</v>
      </c>
      <c r="W1962" s="0" t="n">
        <v>1</v>
      </c>
      <c r="X1962" s="0" t="str">
        <f aca="false">"31811010763491"</f>
        <v>31811010763491</v>
      </c>
      <c r="Y1962" s="0" t="s">
        <v>39</v>
      </c>
      <c r="Z1962" s="0" t="s">
        <v>42</v>
      </c>
      <c r="AA1962" s="0" t="s">
        <v>43</v>
      </c>
      <c r="AE1962" s="1" t="s">
        <v>52</v>
      </c>
    </row>
    <row r="1963" customFormat="false" ht="12.8" hidden="false" customHeight="false" outlineLevel="0" collapsed="false">
      <c r="A1963" s="0" t="n">
        <v>463196</v>
      </c>
      <c r="B1963" s="0" t="n">
        <v>494983</v>
      </c>
      <c r="C1963" s="0" t="n">
        <v>555933</v>
      </c>
      <c r="D1963" s="0" t="s">
        <v>35</v>
      </c>
      <c r="E1963" s="0" t="s">
        <v>35</v>
      </c>
      <c r="F1963" s="0" t="s">
        <v>36</v>
      </c>
      <c r="G1963" s="0" t="s">
        <v>37</v>
      </c>
      <c r="H1963" s="0" t="s">
        <v>6690</v>
      </c>
      <c r="I1963" s="0" t="s">
        <v>6691</v>
      </c>
      <c r="J1963" s="0" t="s">
        <v>6692</v>
      </c>
      <c r="M1963" s="0" t="s">
        <v>6693</v>
      </c>
      <c r="N1963" s="0" t="s">
        <v>6694</v>
      </c>
      <c r="O1963" s="0" t="s">
        <v>6695</v>
      </c>
      <c r="P1963" s="0" t="n">
        <v>1963</v>
      </c>
      <c r="Q1963" s="0" t="s">
        <v>39</v>
      </c>
      <c r="R1963" s="0" t="s">
        <v>6696</v>
      </c>
      <c r="S1963" s="0" t="s">
        <v>6697</v>
      </c>
      <c r="V1963" s="0" t="n">
        <v>1</v>
      </c>
      <c r="W1963" s="0" t="n">
        <v>1</v>
      </c>
      <c r="X1963" s="0" t="str">
        <f aca="false">"31811010763459"</f>
        <v>31811010763459</v>
      </c>
      <c r="Y1963" s="0" t="s">
        <v>39</v>
      </c>
      <c r="Z1963" s="0" t="s">
        <v>42</v>
      </c>
      <c r="AA1963" s="0" t="s">
        <v>43</v>
      </c>
      <c r="AE1963" s="1" t="s">
        <v>52</v>
      </c>
      <c r="AH1963" s="1" t="s">
        <v>6698</v>
      </c>
    </row>
    <row r="1964" customFormat="false" ht="12.8" hidden="false" customHeight="false" outlineLevel="0" collapsed="false">
      <c r="A1964" s="0" t="n">
        <v>374605</v>
      </c>
      <c r="B1964" s="0" t="n">
        <v>405525</v>
      </c>
      <c r="C1964" s="0" t="n">
        <v>451728</v>
      </c>
      <c r="D1964" s="0" t="s">
        <v>35</v>
      </c>
      <c r="E1964" s="0" t="s">
        <v>35</v>
      </c>
      <c r="F1964" s="0" t="s">
        <v>36</v>
      </c>
      <c r="G1964" s="0" t="s">
        <v>37</v>
      </c>
      <c r="H1964" s="0" t="s">
        <v>6699</v>
      </c>
      <c r="I1964" s="0" t="s">
        <v>6700</v>
      </c>
      <c r="J1964" s="0" t="s">
        <v>6701</v>
      </c>
      <c r="K1964" s="0" t="s">
        <v>108</v>
      </c>
      <c r="M1964" s="0" t="s">
        <v>6702</v>
      </c>
      <c r="N1964" s="0" t="s">
        <v>860</v>
      </c>
      <c r="O1964" s="0" t="s">
        <v>6703</v>
      </c>
      <c r="P1964" s="0" t="n">
        <v>1967</v>
      </c>
      <c r="Q1964" s="0" t="s">
        <v>39</v>
      </c>
      <c r="R1964" s="0" t="s">
        <v>6704</v>
      </c>
      <c r="S1964" s="0" t="s">
        <v>6705</v>
      </c>
      <c r="V1964" s="0" t="n">
        <v>1</v>
      </c>
      <c r="W1964" s="0" t="n">
        <v>1</v>
      </c>
      <c r="X1964" s="0" t="str">
        <f aca="false">"31811010763632"</f>
        <v>31811010763632</v>
      </c>
      <c r="Y1964" s="0" t="s">
        <v>39</v>
      </c>
      <c r="Z1964" s="0" t="s">
        <v>42</v>
      </c>
      <c r="AA1964" s="0" t="s">
        <v>43</v>
      </c>
      <c r="AE1964" s="1" t="s">
        <v>52</v>
      </c>
      <c r="AH1964" s="1" t="s">
        <v>6706</v>
      </c>
    </row>
    <row r="1965" customFormat="false" ht="12.8" hidden="false" customHeight="false" outlineLevel="0" collapsed="false">
      <c r="A1965" s="0" t="n">
        <v>69935</v>
      </c>
      <c r="B1965" s="0" t="n">
        <v>75821</v>
      </c>
      <c r="C1965" s="0" t="n">
        <v>83936</v>
      </c>
      <c r="D1965" s="0" t="s">
        <v>35</v>
      </c>
      <c r="E1965" s="0" t="s">
        <v>35</v>
      </c>
      <c r="F1965" s="0" t="s">
        <v>36</v>
      </c>
      <c r="G1965" s="0" t="s">
        <v>37</v>
      </c>
      <c r="H1965" s="0" t="s">
        <v>6707</v>
      </c>
      <c r="I1965" s="0" t="s">
        <v>6708</v>
      </c>
      <c r="J1965" s="0" t="s">
        <v>6709</v>
      </c>
      <c r="M1965" s="0" t="s">
        <v>6710</v>
      </c>
      <c r="N1965" s="0" t="s">
        <v>6711</v>
      </c>
      <c r="O1965" s="0" t="s">
        <v>6712</v>
      </c>
      <c r="P1965" s="0" t="n">
        <v>1970</v>
      </c>
      <c r="Q1965" s="0" t="s">
        <v>39</v>
      </c>
      <c r="R1965" s="0" t="s">
        <v>6713</v>
      </c>
      <c r="S1965" s="0" t="s">
        <v>6714</v>
      </c>
      <c r="V1965" s="0" t="n">
        <v>1</v>
      </c>
      <c r="W1965" s="0" t="n">
        <v>1</v>
      </c>
      <c r="X1965" s="0" t="str">
        <f aca="false">"31811013694289"</f>
        <v>31811013694289</v>
      </c>
      <c r="Y1965" s="0" t="s">
        <v>39</v>
      </c>
      <c r="Z1965" s="0" t="s">
        <v>42</v>
      </c>
      <c r="AA1965" s="0" t="s">
        <v>43</v>
      </c>
      <c r="AE1965" s="1" t="s">
        <v>52</v>
      </c>
      <c r="AH1965" s="1" t="s">
        <v>6715</v>
      </c>
    </row>
    <row r="1966" customFormat="false" ht="12.8" hidden="false" customHeight="false" outlineLevel="0" collapsed="false">
      <c r="A1966" s="0" t="n">
        <v>635253</v>
      </c>
      <c r="B1966" s="0" t="n">
        <v>677681</v>
      </c>
      <c r="C1966" s="0" t="n">
        <v>752016</v>
      </c>
      <c r="D1966" s="0" t="s">
        <v>35</v>
      </c>
      <c r="E1966" s="0" t="s">
        <v>35</v>
      </c>
      <c r="F1966" s="0" t="s">
        <v>36</v>
      </c>
      <c r="G1966" s="0" t="s">
        <v>37</v>
      </c>
      <c r="H1966" s="0" t="s">
        <v>6716</v>
      </c>
      <c r="I1966" s="0" t="s">
        <v>6717</v>
      </c>
      <c r="J1966" s="0" t="s">
        <v>6718</v>
      </c>
      <c r="K1966" s="0" t="s">
        <v>154</v>
      </c>
      <c r="L1966" s="0" t="n">
        <v>1401302548</v>
      </c>
      <c r="M1966" s="0" t="s">
        <v>6719</v>
      </c>
      <c r="N1966" s="0" t="s">
        <v>6720</v>
      </c>
      <c r="O1966" s="0" t="s">
        <v>6721</v>
      </c>
      <c r="P1966" s="0" t="n">
        <v>2006</v>
      </c>
      <c r="Q1966" s="0" t="s">
        <v>39</v>
      </c>
      <c r="R1966" s="0" t="s">
        <v>6722</v>
      </c>
      <c r="S1966" s="0" t="s">
        <v>6723</v>
      </c>
      <c r="V1966" s="0" t="n">
        <v>1</v>
      </c>
      <c r="W1966" s="0" t="n">
        <v>1</v>
      </c>
      <c r="X1966" s="0" t="str">
        <f aca="false">"31811012688787"</f>
        <v>31811012688787</v>
      </c>
      <c r="Y1966" s="0" t="s">
        <v>39</v>
      </c>
      <c r="Z1966" s="0" t="s">
        <v>42</v>
      </c>
      <c r="AA1966" s="0" t="s">
        <v>43</v>
      </c>
      <c r="AE1966" s="1" t="s">
        <v>6724</v>
      </c>
      <c r="AF1966" s="1" t="s">
        <v>6725</v>
      </c>
      <c r="AG1966" s="0" t="n">
        <v>10548</v>
      </c>
      <c r="AH1966" s="1" t="s">
        <v>6706</v>
      </c>
    </row>
    <row r="1967" customFormat="false" ht="12.8" hidden="false" customHeight="false" outlineLevel="0" collapsed="false">
      <c r="A1967" s="0" t="n">
        <v>635253</v>
      </c>
      <c r="B1967" s="0" t="n">
        <v>677681</v>
      </c>
      <c r="C1967" s="0" t="n">
        <v>752016</v>
      </c>
      <c r="D1967" s="0" t="s">
        <v>35</v>
      </c>
      <c r="E1967" s="0" t="s">
        <v>35</v>
      </c>
      <c r="F1967" s="0" t="s">
        <v>36</v>
      </c>
      <c r="G1967" s="0" t="s">
        <v>37</v>
      </c>
      <c r="H1967" s="0" t="s">
        <v>6716</v>
      </c>
      <c r="I1967" s="0" t="s">
        <v>6717</v>
      </c>
      <c r="J1967" s="0" t="s">
        <v>6718</v>
      </c>
      <c r="K1967" s="0" t="s">
        <v>154</v>
      </c>
      <c r="L1967" s="0" t="n">
        <v>1401302548</v>
      </c>
      <c r="M1967" s="0" t="s">
        <v>6719</v>
      </c>
      <c r="N1967" s="0" t="s">
        <v>6720</v>
      </c>
      <c r="O1967" s="0" t="s">
        <v>6721</v>
      </c>
      <c r="P1967" s="0" t="n">
        <v>2006</v>
      </c>
      <c r="Q1967" s="0" t="s">
        <v>39</v>
      </c>
      <c r="R1967" s="0" t="s">
        <v>6722</v>
      </c>
      <c r="S1967" s="0" t="s">
        <v>6723</v>
      </c>
      <c r="V1967" s="0" t="n">
        <v>1</v>
      </c>
      <c r="W1967" s="0" t="n">
        <v>1</v>
      </c>
      <c r="X1967" s="0" t="str">
        <f aca="false">"31811012688787"</f>
        <v>31811012688787</v>
      </c>
      <c r="Y1967" s="0" t="s">
        <v>39</v>
      </c>
      <c r="Z1967" s="0" t="s">
        <v>42</v>
      </c>
      <c r="AA1967" s="0" t="s">
        <v>43</v>
      </c>
      <c r="AE1967" s="1" t="s">
        <v>6724</v>
      </c>
      <c r="AF1967" s="1" t="s">
        <v>6725</v>
      </c>
      <c r="AG1967" s="0" t="n">
        <v>11313</v>
      </c>
      <c r="AH1967" s="1" t="s">
        <v>6706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LibreOffice/6.0.7.3.0$Linux_X86_64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