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pivotTables/pivotTable7.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Shirley\Desktop\Homework_BC_SJL\01_HomeworkExcel\01_Homework_Excel\"/>
    </mc:Choice>
  </mc:AlternateContent>
  <xr:revisionPtr revIDLastSave="0" documentId="13_ncr:1_{FF735512-1808-42DC-B278-373E9E1EE643}" xr6:coauthVersionLast="45" xr6:coauthVersionMax="45" xr10:uidLastSave="{00000000-0000-0000-0000-000000000000}"/>
  <bookViews>
    <workbookView xWindow="57480" yWindow="5370" windowWidth="19440" windowHeight="15000" tabRatio="902" firstSheet="8" activeTab="11" xr2:uid="{00000000-000D-0000-FFFF-FFFF00000000}"/>
  </bookViews>
  <sheets>
    <sheet name="Chart1" sheetId="4" state="hidden" r:id="rId1"/>
    <sheet name="NotesToGrader" sheetId="10" r:id="rId2"/>
    <sheet name="Country_Extra$" sheetId="14" r:id="rId3"/>
    <sheet name="Country_Extra" sheetId="16" r:id="rId4"/>
    <sheet name="Extra_USD" sheetId="13" r:id="rId5"/>
    <sheet name="BonusStatMyWay" sheetId="15" r:id="rId6"/>
    <sheet name="BonusStat_HW" sheetId="17" r:id="rId7"/>
    <sheet name="Bonus" sheetId="12" r:id="rId8"/>
    <sheet name="Date-Extra" sheetId="9" r:id="rId9"/>
    <sheet name="Date-Month" sheetId="6" r:id="rId10"/>
    <sheet name="Sub_CategoryOLD" sheetId="2" r:id="rId11"/>
    <sheet name="Sub-Category" sheetId="20" r:id="rId12"/>
    <sheet name="Category" sheetId="19" r:id="rId13"/>
    <sheet name="Raw_Data" sheetId="1" r:id="rId14"/>
    <sheet name="Tables" sheetId="11" r:id="rId15"/>
    <sheet name="2015PerCapitaGDP_PPP" sheetId="18" r:id="rId16"/>
  </sheets>
  <definedNames>
    <definedName name="_xlnm._FilterDatabase" localSheetId="13" hidden="1">Raw_Data!$A$1:$U$4115</definedName>
    <definedName name="backers_count">Raw_Data!$L$2:$L$1048576</definedName>
    <definedName name="country">Raw_Data!$G$2:$G$4115</definedName>
    <definedName name="currency">Raw_Data!$H$2:$H$4115</definedName>
    <definedName name="Deadline">Raw_Data!$S:$S</definedName>
    <definedName name="goal">Raw_Data!$D$2:$D$4115</definedName>
    <definedName name="pledged">Raw_Data!$E$2:$E$4115</definedName>
    <definedName name="state">Raw_Data!$F$2:$F$4115</definedName>
    <definedName name="Unix_deadline">Raw_Data!$I:$I</definedName>
    <definedName name="Unix_launched_date">Raw_Data!$J:$J</definedName>
  </definedNames>
  <calcPr calcId="191029"/>
  <pivotCaches>
    <pivotCache cacheId="0" r:id="rId17"/>
    <pivotCache cacheId="1" r:id="rId18"/>
    <pivotCache cacheId="3" r:id="rId19"/>
    <pivotCache cacheId="10" r:id="rId2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6" i="14" l="1"/>
  <c r="C42" i="14"/>
  <c r="C50" i="14"/>
  <c r="C45" i="14"/>
  <c r="C43" i="14"/>
  <c r="C39" i="14"/>
  <c r="C49" i="14"/>
  <c r="C38" i="14"/>
  <c r="C33" i="14"/>
  <c r="C47" i="14"/>
  <c r="C35" i="14"/>
  <c r="C40" i="14"/>
  <c r="C41" i="14"/>
  <c r="C48" i="14"/>
  <c r="C37" i="14"/>
  <c r="C31" i="14"/>
  <c r="C32" i="14"/>
  <c r="C34" i="14"/>
  <c r="C44" i="14"/>
  <c r="C51" i="14"/>
  <c r="C36" i="14"/>
  <c r="C19" i="13"/>
  <c r="D19" i="13"/>
  <c r="C20" i="13"/>
  <c r="D20" i="13"/>
  <c r="C21" i="13"/>
  <c r="D21" i="13"/>
  <c r="C22" i="13"/>
  <c r="D22" i="13"/>
  <c r="C23" i="13"/>
  <c r="D23" i="13"/>
  <c r="C24" i="13"/>
  <c r="D24" i="13"/>
  <c r="C25" i="13"/>
  <c r="D25" i="13"/>
  <c r="C26" i="13"/>
  <c r="D26" i="13"/>
  <c r="C27" i="13"/>
  <c r="D27" i="13"/>
  <c r="C28" i="13"/>
  <c r="D28" i="13"/>
  <c r="C29" i="13"/>
  <c r="D29" i="13"/>
  <c r="C30" i="13"/>
  <c r="D30" i="13"/>
  <c r="B20" i="13"/>
  <c r="B21" i="13"/>
  <c r="B22" i="13"/>
  <c r="B23" i="13"/>
  <c r="B24" i="13"/>
  <c r="B25" i="13"/>
  <c r="B26" i="13"/>
  <c r="B27" i="13"/>
  <c r="B28" i="13"/>
  <c r="B29" i="13"/>
  <c r="B30" i="13"/>
  <c r="B19" i="13"/>
  <c r="F3" i="13"/>
  <c r="F4" i="13"/>
  <c r="F5" i="13"/>
  <c r="F6" i="13"/>
  <c r="F7" i="13"/>
  <c r="F8" i="13"/>
  <c r="F9" i="13"/>
  <c r="F10" i="13"/>
  <c r="F11" i="13"/>
  <c r="F12" i="13"/>
  <c r="F13" i="13"/>
  <c r="F14" i="13"/>
  <c r="F2" i="13"/>
  <c r="D43" i="16"/>
  <c r="D44" i="16"/>
  <c r="D45" i="16"/>
  <c r="D34" i="16"/>
  <c r="D42" i="16"/>
  <c r="D41" i="16"/>
  <c r="D50" i="16"/>
  <c r="D47" i="16"/>
  <c r="D46" i="16"/>
  <c r="D37" i="16"/>
  <c r="D33" i="16"/>
  <c r="D49" i="16"/>
  <c r="D31" i="16"/>
  <c r="D51" i="16"/>
  <c r="D38" i="16"/>
  <c r="D35" i="16"/>
  <c r="D48" i="16"/>
  <c r="D40" i="16"/>
  <c r="D32" i="16"/>
  <c r="D36" i="16"/>
  <c r="D39" i="16"/>
  <c r="D10" i="17" l="1"/>
  <c r="D9" i="17"/>
  <c r="D8" i="17"/>
  <c r="D7" i="17"/>
  <c r="D6" i="17"/>
  <c r="D5" i="17"/>
  <c r="C10" i="17"/>
  <c r="C9" i="17"/>
  <c r="C8" i="17"/>
  <c r="C7" i="17"/>
  <c r="C6" i="17"/>
  <c r="C5" i="17"/>
  <c r="B10" i="17" a="1"/>
  <c r="B10" i="17" s="1"/>
  <c r="B9" i="17" a="1"/>
  <c r="B9" i="17" s="1"/>
  <c r="B8" i="17"/>
  <c r="B7" i="17"/>
  <c r="B6" i="17"/>
  <c r="B5" i="17"/>
  <c r="E10" i="15" a="1"/>
  <c r="E10" i="15" s="1"/>
  <c r="E9" i="15" a="1"/>
  <c r="E9" i="15" s="1"/>
  <c r="D9" i="15" a="1"/>
  <c r="D9" i="15" s="1"/>
  <c r="D10" i="15" a="1"/>
  <c r="D10" i="15" s="1"/>
  <c r="C10" i="15" a="1"/>
  <c r="C10" i="15" s="1"/>
  <c r="B9" i="15" a="1"/>
  <c r="B9" i="15" s="1"/>
  <c r="B10" i="15" a="1"/>
  <c r="B10" i="15" s="1"/>
  <c r="C9" i="15" a="1"/>
  <c r="C9" i="15" s="1"/>
  <c r="D8" i="15" l="1" a="1"/>
  <c r="D8" i="15" s="1"/>
  <c r="D7" i="15" a="1"/>
  <c r="D7" i="15" s="1"/>
  <c r="D6" i="15" a="1"/>
  <c r="D6" i="15" s="1"/>
  <c r="D5" i="15" a="1"/>
  <c r="D5" i="15" s="1"/>
  <c r="E5" i="15" l="1" a="1"/>
  <c r="E5" i="15" s="1"/>
  <c r="E8" i="15" a="1"/>
  <c r="E8" i="15" s="1"/>
  <c r="C5" i="15" a="1"/>
  <c r="C5" i="15" s="1"/>
  <c r="E7" i="15" a="1"/>
  <c r="E7" i="15" s="1"/>
  <c r="E6" i="15" a="1"/>
  <c r="E6" i="15" s="1"/>
  <c r="C6" i="15" a="1"/>
  <c r="C6" i="15" s="1"/>
  <c r="C7" i="15" a="1"/>
  <c r="C7" i="15" s="1"/>
  <c r="C8" i="15" a="1"/>
  <c r="C8" i="15" s="1"/>
  <c r="B8" i="15" l="1"/>
  <c r="B7" i="15"/>
  <c r="B6" i="15"/>
  <c r="B5" i="15"/>
  <c r="E10" i="12" l="1"/>
  <c r="D10" i="12"/>
  <c r="H10" i="12" s="1"/>
  <c r="D26" i="12" s="1"/>
  <c r="C10" i="12"/>
  <c r="G10" i="12" s="1"/>
  <c r="C26" i="12" s="1"/>
  <c r="B10" i="12"/>
  <c r="F10" i="12" s="1"/>
  <c r="B26" i="12" s="1"/>
  <c r="E3" i="12"/>
  <c r="E4" i="12"/>
  <c r="E2" i="12"/>
  <c r="E13" i="12"/>
  <c r="E12" i="12"/>
  <c r="E11" i="12"/>
  <c r="E9" i="12"/>
  <c r="E8" i="12"/>
  <c r="E7" i="12"/>
  <c r="E6" i="12"/>
  <c r="E5" i="12"/>
  <c r="D13" i="12"/>
  <c r="H13" i="12" s="1"/>
  <c r="D29" i="12" s="1"/>
  <c r="D12" i="12"/>
  <c r="H12" i="12" s="1"/>
  <c r="D28" i="12" s="1"/>
  <c r="D11" i="12"/>
  <c r="H11" i="12" s="1"/>
  <c r="D27" i="12" s="1"/>
  <c r="D9" i="12"/>
  <c r="H9" i="12" s="1"/>
  <c r="D25" i="12" s="1"/>
  <c r="D8" i="12"/>
  <c r="H8" i="12" s="1"/>
  <c r="D24" i="12" s="1"/>
  <c r="D7" i="12"/>
  <c r="D6" i="12"/>
  <c r="D5" i="12"/>
  <c r="D4" i="12"/>
  <c r="H4" i="12" s="1"/>
  <c r="D20" i="12" s="1"/>
  <c r="D2" i="12"/>
  <c r="D3" i="12"/>
  <c r="C13" i="12"/>
  <c r="G13" i="12" s="1"/>
  <c r="C29" i="12" s="1"/>
  <c r="C12" i="12"/>
  <c r="G12" i="12" s="1"/>
  <c r="C28" i="12" s="1"/>
  <c r="C11" i="12"/>
  <c r="G11" i="12" s="1"/>
  <c r="C27" i="12" s="1"/>
  <c r="C9" i="12"/>
  <c r="G9" i="12" s="1"/>
  <c r="C25" i="12" s="1"/>
  <c r="C8" i="12"/>
  <c r="G8" i="12" s="1"/>
  <c r="C24" i="12" s="1"/>
  <c r="C7" i="12"/>
  <c r="G7" i="12" s="1"/>
  <c r="C23" i="12" s="1"/>
  <c r="C6" i="12"/>
  <c r="G6" i="12" s="1"/>
  <c r="C22" i="12" s="1"/>
  <c r="C5" i="12"/>
  <c r="G5" i="12" s="1"/>
  <c r="C21" i="12" s="1"/>
  <c r="C4" i="12"/>
  <c r="G4" i="12" s="1"/>
  <c r="C20" i="12" s="1"/>
  <c r="C2" i="12"/>
  <c r="C3" i="12"/>
  <c r="G3" i="12" s="1"/>
  <c r="C19" i="12" s="1"/>
  <c r="B13" i="12"/>
  <c r="F13" i="12" s="1"/>
  <c r="B29" i="12" s="1"/>
  <c r="B12" i="12"/>
  <c r="F12" i="12" s="1"/>
  <c r="B28" i="12" s="1"/>
  <c r="B11" i="12"/>
  <c r="F11" i="12" s="1"/>
  <c r="B27" i="12" s="1"/>
  <c r="B9" i="12"/>
  <c r="F9" i="12" s="1"/>
  <c r="B25" i="12" s="1"/>
  <c r="B8" i="12"/>
  <c r="F8" i="12" s="1"/>
  <c r="B24" i="12" s="1"/>
  <c r="B7" i="12"/>
  <c r="F7" i="12" s="1"/>
  <c r="B23" i="12" s="1"/>
  <c r="B6" i="12"/>
  <c r="F6" i="12" s="1"/>
  <c r="B22" i="12" s="1"/>
  <c r="B5" i="12"/>
  <c r="F5" i="12" s="1"/>
  <c r="B21" i="12" s="1"/>
  <c r="B4" i="12"/>
  <c r="F4" i="12" s="1"/>
  <c r="B20" i="12" s="1"/>
  <c r="B3" i="12"/>
  <c r="F3" i="12" s="1"/>
  <c r="B19" i="12" s="1"/>
  <c r="B2" i="1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D7" i="11"/>
  <c r="D8" i="11"/>
  <c r="D9" i="11"/>
  <c r="D10" i="11"/>
  <c r="D11" i="11"/>
  <c r="D12" i="11"/>
  <c r="D13" i="11"/>
  <c r="D14" i="11"/>
  <c r="D2" i="11"/>
  <c r="D3" i="11"/>
  <c r="D4" i="11"/>
  <c r="D5" i="11"/>
  <c r="D6" i="11"/>
  <c r="P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5" i="12" l="1"/>
  <c r="D21" i="12" s="1"/>
  <c r="H7" i="12"/>
  <c r="D23" i="12" s="1"/>
  <c r="H6" i="12"/>
  <c r="D22" i="12" s="1"/>
  <c r="H3" i="12"/>
  <c r="D19" i="12" s="1"/>
  <c r="D14" i="12"/>
  <c r="B14" i="12"/>
  <c r="C14" i="12"/>
  <c r="F2" i="12"/>
  <c r="B18" i="12" s="1"/>
  <c r="E14" i="12"/>
  <c r="H2" i="12"/>
  <c r="D18" i="12" s="1"/>
  <c r="G2" i="12"/>
  <c r="C18" i="12" s="1"/>
  <c r="D13" i="13"/>
  <c r="E13" i="13"/>
  <c r="C6" i="13"/>
  <c r="C13" i="13"/>
  <c r="B2" i="13"/>
  <c r="B5" i="13"/>
  <c r="B8" i="13"/>
  <c r="B11" i="13"/>
  <c r="C2" i="13"/>
  <c r="C5" i="13"/>
  <c r="C8" i="13"/>
  <c r="C11" i="13"/>
  <c r="D2" i="13"/>
  <c r="D5" i="13"/>
  <c r="D8" i="13"/>
  <c r="D11" i="13"/>
  <c r="E2" i="13"/>
  <c r="E5" i="13"/>
  <c r="E8" i="13"/>
  <c r="E11" i="13"/>
  <c r="B3" i="13"/>
  <c r="B6" i="13"/>
  <c r="B9" i="13"/>
  <c r="B12" i="13"/>
  <c r="C3" i="13"/>
  <c r="C9" i="13"/>
  <c r="C12" i="13"/>
  <c r="D3" i="13"/>
  <c r="D6" i="13"/>
  <c r="D9" i="13"/>
  <c r="D12" i="13"/>
  <c r="E3" i="13"/>
  <c r="E6" i="13"/>
  <c r="E9" i="13"/>
  <c r="E12" i="13"/>
  <c r="B4" i="13"/>
  <c r="B7" i="13"/>
  <c r="B10" i="13"/>
  <c r="B13" i="13"/>
  <c r="C4" i="13"/>
  <c r="C7" i="13"/>
  <c r="C10" i="13"/>
  <c r="D4" i="13"/>
  <c r="D7" i="13"/>
  <c r="D10" i="13"/>
  <c r="E4" i="13"/>
  <c r="E7" i="13"/>
  <c r="E10" i="13"/>
  <c r="G2" i="13"/>
  <c r="H2" i="13"/>
  <c r="D15" i="11"/>
  <c r="E14" i="13" l="1"/>
  <c r="G13" i="13"/>
  <c r="H13" i="13"/>
  <c r="G7" i="13"/>
  <c r="I2" i="13"/>
  <c r="I13" i="13"/>
  <c r="H6" i="13"/>
  <c r="I12" i="13"/>
  <c r="I9" i="13"/>
  <c r="G6" i="13"/>
  <c r="H5" i="13"/>
  <c r="I10" i="13"/>
  <c r="G3" i="13"/>
  <c r="I7" i="13"/>
  <c r="G11" i="13"/>
  <c r="I4" i="13"/>
  <c r="G8" i="13"/>
  <c r="H10" i="13"/>
  <c r="G5" i="13"/>
  <c r="H7" i="13"/>
  <c r="I6" i="13"/>
  <c r="H4" i="13"/>
  <c r="I3" i="13"/>
  <c r="I11" i="13"/>
  <c r="H12" i="13"/>
  <c r="I8" i="13"/>
  <c r="B14" i="13"/>
  <c r="G10" i="13"/>
  <c r="H9" i="13"/>
  <c r="I5" i="13"/>
  <c r="H3" i="13"/>
  <c r="D14" i="13"/>
  <c r="C14" i="13"/>
  <c r="G4" i="13"/>
  <c r="G12" i="13"/>
  <c r="H11" i="13"/>
  <c r="G9" i="13"/>
  <c r="H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U1" authorId="0" shapeId="0" xr:uid="{AF6E6748-BDBA-4712-A505-7BC245EEE507}">
      <text>
        <r>
          <rPr>
            <b/>
            <sz val="9"/>
            <color indexed="81"/>
            <rFont val="Tahoma"/>
            <charset val="1"/>
          </rPr>
          <t>Shirley:</t>
        </r>
        <r>
          <rPr>
            <sz val="9"/>
            <color indexed="81"/>
            <rFont val="Tahoma"/>
            <charset val="1"/>
          </rPr>
          <t xml:space="preserve">
This converts from stated currency to USD based on Sept 7 morningstar conversion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Shirley</author>
  </authors>
  <commentList>
    <comment ref="C1" authorId="0" shapeId="0" xr:uid="{BB504ACE-173D-42C0-A152-D226E9D01DCC}">
      <text>
        <r>
          <rPr>
            <b/>
            <sz val="9"/>
            <color indexed="81"/>
            <rFont val="Tahoma"/>
            <family val="2"/>
          </rPr>
          <t>Shirley:</t>
        </r>
        <r>
          <rPr>
            <sz val="9"/>
            <color indexed="81"/>
            <rFont val="Tahoma"/>
            <family val="2"/>
          </rPr>
          <t xml:space="preserve">
Sept 7 - Morningstar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9B7D83-AB9D-480A-9B90-23069BB92EB9}" keepAlive="1" name="Query - 2-3Code" description="Connection to the '2-3Code' query in the workbook." type="5" refreshedVersion="6" background="1" saveData="1">
    <dbPr connection="Provider=Microsoft.Mashup.OleDb.1;Data Source=$Workbook$;Location=2-3Code;Extended Properties=&quot;&quot;" command="SELECT * FROM [2-3Code]"/>
  </connection>
  <connection id="2" xr16:uid="{0870AD04-85D1-4716-8B97-C6170AB1F6B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ountry].[All]}"/>
    <s v="{[Range].[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<sst xmlns="http://schemas.openxmlformats.org/spreadsheetml/2006/main" count="29691" uniqueCount="9256">
  <si>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</si>
  <si>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</si>
  <si>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</si>
  <si>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</si>
  <si>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</si>
  <si>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</si>
  <si>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</si>
  <si>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</si>
  <si>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</si>
  <si>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</si>
  <si>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</si>
  <si>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</si>
  <si>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</si>
  <si>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</si>
  <si>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</si>
  <si>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</si>
  <si>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</si>
  <si>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</si>
  <si>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</si>
  <si>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</si>
  <si>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</si>
  <si>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</si>
  <si>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</si>
  <si>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</si>
  <si>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</si>
  <si>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</si>
  <si>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</si>
  <si>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</si>
  <si>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</si>
  <si>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</si>
  <si>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</si>
  <si>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</si>
  <si>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</si>
  <si>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</si>
  <si>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</si>
  <si>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</si>
  <si>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</si>
  <si>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</si>
  <si>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</si>
  <si>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</si>
  <si>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</si>
  <si>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</si>
  <si>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</si>
  <si>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</si>
  <si>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</si>
  <si>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</si>
  <si>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</si>
  <si>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</si>
  <si>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</si>
  <si>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</si>
  <si>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</si>
  <si>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</si>
  <si>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</si>
  <si>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</si>
  <si>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</si>
  <si>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</si>
  <si>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</si>
  <si>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</si>
  <si>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</si>
  <si>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</si>
  <si>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</si>
  <si>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</si>
  <si>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</si>
  <si>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</si>
  <si>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</si>
  <si>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</si>
  <si>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</si>
  <si>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</si>
  <si>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</si>
  <si>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</si>
  <si>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</si>
  <si>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</si>
  <si>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</si>
  <si>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</si>
  <si>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</si>
  <si>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</si>
  <si>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</si>
  <si>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</si>
  <si>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</si>
  <si>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</si>
  <si>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</si>
  <si>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</si>
  <si>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</si>
  <si>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</si>
  <si>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</si>
  <si>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</si>
  <si>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</si>
  <si>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</si>
  <si>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</si>
  <si>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</si>
  <si>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</si>
  <si>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</si>
  <si>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</si>
  <si>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</si>
  <si>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</si>
  <si>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</si>
  <si>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</si>
  <si>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</si>
  <si>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</si>
  <si>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</si>
  <si>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</si>
  <si>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</si>
  <si>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</si>
  <si>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</si>
  <si>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</si>
  <si>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</si>
  <si>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</si>
  <si>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</si>
  <si>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</si>
  <si>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</si>
  <si>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</si>
  <si>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</si>
  <si>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</si>
  <si>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</si>
  <si>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</si>
  <si>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</si>
  <si>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</si>
  <si>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</si>
  <si>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</si>
  <si>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</si>
  <si>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</si>
  <si>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</si>
  <si>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</si>
  <si>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</si>
  <si>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</si>
  <si>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</si>
  <si>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</si>
  <si>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</si>
  <si>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</si>
  <si>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</si>
  <si>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</si>
  <si>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</si>
  <si>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</si>
  <si>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</si>
  <si>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</si>
  <si>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</si>
  <si>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</si>
  <si>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</si>
  <si>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</si>
  <si>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</si>
  <si>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</si>
  <si>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</si>
  <si>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</si>
  <si>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</si>
  <si>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</si>
  <si>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</si>
  <si>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</si>
  <si>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</si>
  <si>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</si>
  <si>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</si>
  <si>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</si>
  <si>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</si>
  <si>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</si>
  <si>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</si>
  <si>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</si>
  <si>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</si>
  <si>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</si>
  <si>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</si>
  <si>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</si>
  <si>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</si>
  <si>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</si>
  <si>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</si>
  <si>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</si>
  <si>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</si>
  <si>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</si>
  <si>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</si>
  <si>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</si>
  <si>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</si>
  <si>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</si>
  <si>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</si>
  <si>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</si>
  <si>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</si>
  <si>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</si>
  <si>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</si>
  <si>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</si>
  <si>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</si>
  <si>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</si>
  <si>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</si>
  <si>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</si>
  <si>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</si>
  <si>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</si>
  <si>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</si>
  <si>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</si>
  <si>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</si>
  <si>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</si>
  <si>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</si>
  <si>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</si>
  <si>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</si>
  <si>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</si>
  <si>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</si>
  <si>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</si>
  <si>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</si>
  <si>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</si>
  <si>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</si>
  <si>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</si>
  <si>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</si>
  <si>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</si>
  <si>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</si>
  <si>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</si>
  <si>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</si>
  <si>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</si>
  <si>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</si>
  <si>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</si>
  <si>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</si>
  <si>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</si>
  <si>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</si>
  <si>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</si>
  <si>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</si>
  <si>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</si>
  <si>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</si>
  <si>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</si>
  <si>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</si>
  <si>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</si>
  <si>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</si>
  <si>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</si>
  <si>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</si>
  <si>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</si>
  <si>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</si>
  <si>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</si>
  <si>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</si>
  <si>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</si>
  <si>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</si>
  <si>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</si>
  <si>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</si>
  <si>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</si>
  <si>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</si>
  <si>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</si>
  <si>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</si>
  <si>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</si>
  <si>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</si>
  <si>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</si>
  <si>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</si>
  <si>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</si>
  <si>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</si>
  <si>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</si>
  <si>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</si>
  <si>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</si>
  <si>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</si>
  <si>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</si>
  <si>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</si>
  <si>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</si>
  <si>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</si>
  <si>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</si>
  <si>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</si>
  <si>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</si>
  <si>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</si>
  <si>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</si>
  <si>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</si>
  <si>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</si>
  <si>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</si>
  <si>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</si>
  <si>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</si>
  <si>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</si>
  <si>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</si>
  <si>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</si>
  <si>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</si>
  <si>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</si>
  <si>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</si>
  <si>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</si>
  <si>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</si>
  <si>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</si>
  <si>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</si>
  <si>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</si>
  <si>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</si>
  <si>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</si>
  <si>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</si>
  <si>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</si>
  <si>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</si>
  <si>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</si>
  <si>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</si>
  <si>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</si>
  <si>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</si>
  <si>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</si>
  <si>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</si>
  <si>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</si>
  <si>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</si>
  <si>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</si>
  <si>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</si>
  <si>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</si>
  <si>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</si>
  <si>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</si>
  <si>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</si>
  <si>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</si>
  <si>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</si>
  <si>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</si>
  <si>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</si>
  <si>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</si>
  <si>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</si>
  <si>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</si>
  <si>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</si>
  <si>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</si>
  <si>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</si>
  <si>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</si>
  <si>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</si>
  <si>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</si>
  <si>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</si>
  <si>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</si>
  <si>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</si>
  <si>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</si>
  <si>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</si>
  <si>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</si>
  <si>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</si>
  <si>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</si>
  <si>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</si>
  <si>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</si>
  <si>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</si>
  <si>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</si>
  <si>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</si>
  <si>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</si>
  <si>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</si>
  <si>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</si>
  <si>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</si>
  <si>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</si>
  <si>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</si>
  <si>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</si>
  <si>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</si>
  <si>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</si>
  <si>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</si>
  <si>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</si>
  <si>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</si>
  <si>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</si>
  <si>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</si>
  <si>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</si>
  <si>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</si>
  <si>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</si>
  <si>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</si>
  <si>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</si>
  <si>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</si>
  <si>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</si>
  <si>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</si>
  <si>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</si>
  <si>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</si>
  <si>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</si>
  <si>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</si>
  <si>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</si>
  <si>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</si>
  <si>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</si>
  <si>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</si>
  <si>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</si>
  <si>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</si>
  <si>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</si>
  <si>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</si>
  <si>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</si>
  <si>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</si>
  <si>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</si>
  <si>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</si>
  <si>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</si>
  <si>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</si>
  <si>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</si>
  <si>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</si>
  <si>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</si>
  <si>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</si>
  <si>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</si>
  <si>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</si>
  <si>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</si>
  <si>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</si>
  <si>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</si>
  <si>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</si>
  <si>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</si>
  <si>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</si>
  <si>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</si>
  <si>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</si>
  <si>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</si>
  <si>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</si>
  <si>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</si>
  <si>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</si>
  <si>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</si>
  <si>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</si>
  <si>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</si>
  <si>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</si>
  <si>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</si>
  <si>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</si>
  <si>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</si>
  <si>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</si>
  <si>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</si>
  <si>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</si>
  <si>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</si>
  <si>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</si>
  <si>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</si>
  <si>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</si>
  <si>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</si>
  <si>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</si>
  <si>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</si>
  <si>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</si>
  <si>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</si>
  <si>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</si>
  <si>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</si>
  <si>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</si>
  <si>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</si>
  <si>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</si>
  <si>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</si>
  <si>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</si>
  <si>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</si>
  <si>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</si>
  <si>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</si>
  <si>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</si>
  <si>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</si>
  <si>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</si>
  <si>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</si>
  <si>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</si>
  <si>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</si>
  <si>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</si>
  <si>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</si>
  <si>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</si>
  <si>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</si>
  <si>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</si>
  <si>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</si>
  <si>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</si>
  <si>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</si>
  <si>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</si>
  <si>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</si>
  <si>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</si>
  <si>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</si>
  <si>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</si>
  <si>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</si>
  <si>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</si>
  <si>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</si>
  <si>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</si>
  <si>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</si>
  <si>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</si>
  <si>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</si>
  <si>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</si>
  <si>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</si>
  <si>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</si>
  <si>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</si>
  <si>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</si>
  <si>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</si>
  <si>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</si>
  <si>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</si>
  <si>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</si>
  <si>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</si>
  <si>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</si>
  <si>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</si>
  <si>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</si>
  <si>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</si>
  <si>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</si>
  <si>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</si>
  <si>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</si>
  <si>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</si>
  <si>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</si>
  <si>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</si>
  <si>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</si>
  <si>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</si>
  <si>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</si>
  <si>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</si>
  <si>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</si>
  <si>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</si>
  <si>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</si>
  <si>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</si>
  <si>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</si>
  <si>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</si>
  <si>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</si>
  <si>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</si>
  <si>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</si>
  <si>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</si>
  <si>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</si>
  <si>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</si>
  <si>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</si>
  <si>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</si>
  <si>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</si>
  <si>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</si>
  <si>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</si>
  <si>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</si>
  <si>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</si>
  <si>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</si>
  <si>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</si>
  <si>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</si>
  <si>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</si>
  <si>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</si>
  <si>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</si>
  <si>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</si>
  <si>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</si>
  <si>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</si>
  <si>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</si>
  <si>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</si>
  <si>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</si>
  <si>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</si>
  <si>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</si>
  <si>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</si>
  <si>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</si>
  <si>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</si>
  <si>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</si>
  <si>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</si>
  <si>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</si>
  <si>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</si>
  <si>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</si>
  <si>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</si>
  <si>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</si>
  <si>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</si>
  <si>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</si>
  <si>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</si>
  <si>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</si>
  <si>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</si>
  <si>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</si>
  <si>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</si>
  <si>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</si>
  <si>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</si>
  <si>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</si>
  <si>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</si>
  <si>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</si>
  <si>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</si>
  <si>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</si>
  <si>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</si>
  <si>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</si>
  <si>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</si>
  <si>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</si>
  <si>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</si>
  <si>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</si>
  <si>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</si>
  <si>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</si>
  <si>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</si>
  <si>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</si>
  <si>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</si>
  <si>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</si>
  <si>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</si>
  <si>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</si>
  <si>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</si>
  <si>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</si>
  <si>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</si>
  <si>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</si>
  <si>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</si>
  <si>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</si>
  <si>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</si>
  <si>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</si>
  <si>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</si>
  <si>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</si>
  <si>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</si>
  <si>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</si>
  <si>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</si>
  <si>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</si>
  <si>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</si>
  <si>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</si>
  <si>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</si>
  <si>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</si>
  <si>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</si>
  <si>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</si>
  <si>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</si>
  <si>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</si>
  <si>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</si>
  <si>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</si>
  <si>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</si>
  <si>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</si>
  <si>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</si>
  <si>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</si>
  <si>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</si>
  <si>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</si>
  <si>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</si>
  <si>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</si>
  <si>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</si>
  <si>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</si>
  <si>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</si>
  <si>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</si>
  <si>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</si>
  <si>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</si>
  <si>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</si>
  <si>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</si>
  <si>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</si>
  <si>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</si>
  <si>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</si>
  <si>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</si>
  <si>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</si>
  <si>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</si>
  <si>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</si>
  <si>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</si>
  <si>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</si>
  <si>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</si>
  <si>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</si>
  <si>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</si>
  <si>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</si>
  <si>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</si>
  <si>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</si>
  <si>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</si>
  <si>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</si>
  <si>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</si>
  <si>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</si>
  <si>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</si>
  <si>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</si>
  <si>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</si>
  <si>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</si>
  <si>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</si>
  <si>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</si>
  <si>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</si>
  <si>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</si>
  <si>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</si>
  <si>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</si>
  <si>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</si>
  <si>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</si>
  <si>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</si>
  <si>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</si>
  <si>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</si>
  <si>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</si>
  <si>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</si>
  <si>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</si>
  <si>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</si>
  <si>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</si>
  <si>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</si>
  <si>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</si>
  <si>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</si>
  <si>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</si>
  <si>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</si>
  <si>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</si>
  <si>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</si>
  <si>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</si>
  <si>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</si>
  <si>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</si>
  <si>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</si>
  <si>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</si>
  <si>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</si>
  <si>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</si>
  <si>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</si>
  <si>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</si>
  <si>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</si>
  <si>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</si>
  <si>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</si>
  <si>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</si>
  <si>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</si>
  <si>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</si>
  <si>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</si>
  <si>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</si>
  <si>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</si>
  <si>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</si>
  <si>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</si>
  <si>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</si>
  <si>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</si>
  <si>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</si>
  <si>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</si>
  <si>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</si>
  <si>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</si>
  <si>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</si>
  <si>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</si>
  <si>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</si>
  <si>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</si>
  <si>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</si>
  <si>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</si>
  <si>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</si>
  <si>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</si>
  <si>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</si>
  <si>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</si>
  <si>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</si>
  <si>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</si>
  <si>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</si>
  <si>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</si>
  <si>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</si>
  <si>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</si>
  <si>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</si>
  <si>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</si>
  <si>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</si>
  <si>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</si>
  <si>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</si>
  <si>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</si>
  <si>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</si>
  <si>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</si>
  <si>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</si>
  <si>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</si>
  <si>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</si>
  <si>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</si>
  <si>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</si>
  <si>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</si>
  <si>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</si>
  <si>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</si>
  <si>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</si>
  <si>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</si>
  <si>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</si>
  <si>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</si>
  <si>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</si>
  <si>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</si>
  <si>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</si>
  <si>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</si>
  <si>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</si>
  <si>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</si>
  <si>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</si>
  <si>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</si>
  <si>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</si>
  <si>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</si>
  <si>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</si>
  <si>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</si>
  <si>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</si>
  <si>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</si>
  <si>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</si>
  <si>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</si>
  <si>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</si>
  <si>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</si>
  <si>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</si>
  <si>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</si>
  <si>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</si>
  <si>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</si>
  <si>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</si>
  <si>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</si>
  <si>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</si>
  <si>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</si>
  <si>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</si>
  <si>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</si>
  <si>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</si>
  <si>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</si>
  <si>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</si>
  <si>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</si>
  <si>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</si>
  <si>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</si>
  <si>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</si>
  <si>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</si>
  <si>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</si>
  <si>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</si>
  <si>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</si>
  <si>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</si>
  <si>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</si>
  <si>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</si>
  <si>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</si>
  <si>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</si>
  <si>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</si>
  <si>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</si>
  <si>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</si>
  <si>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</si>
  <si>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</si>
  <si>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</si>
  <si>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</si>
  <si>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</si>
  <si>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</si>
  <si>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</si>
  <si>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</si>
  <si>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</si>
  <si>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</si>
  <si>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</si>
  <si>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</si>
  <si>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</si>
  <si>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</si>
  <si>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</si>
  <si>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</si>
  <si>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</si>
  <si>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</si>
  <si>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</si>
  <si>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</si>
  <si>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</si>
  <si>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</si>
  <si>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</si>
  <si>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</si>
  <si>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</si>
  <si>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</si>
  <si>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</si>
  <si>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</si>
  <si>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</si>
  <si>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</si>
  <si>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</si>
  <si>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</si>
  <si>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</si>
  <si>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</si>
  <si>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</si>
  <si>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</si>
  <si>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</si>
  <si>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</si>
  <si>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</si>
  <si>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</si>
  <si>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</si>
  <si>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</si>
  <si>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</si>
  <si>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</si>
  <si>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</si>
  <si>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</si>
  <si>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</si>
  <si>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</si>
  <si>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</si>
  <si>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</si>
  <si>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</si>
  <si>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</si>
  <si>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</si>
  <si>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</si>
  <si>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</si>
  <si>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</si>
  <si>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</si>
  <si>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</si>
  <si>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</si>
  <si>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</si>
  <si>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</si>
  <si>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</si>
  <si>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</si>
  <si>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</si>
  <si>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</si>
  <si>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</si>
  <si>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</si>
  <si>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</si>
  <si>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</si>
  <si>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</si>
  <si>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</si>
  <si>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</si>
  <si>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</si>
  <si>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</si>
  <si>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</si>
  <si>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</si>
  <si>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</si>
  <si>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</si>
  <si>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</si>
  <si>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</si>
  <si>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</si>
  <si>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</si>
  <si>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</si>
  <si>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</si>
  <si>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</si>
  <si>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</si>
  <si>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</si>
  <si>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</si>
  <si>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</si>
  <si>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</si>
  <si>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</si>
  <si>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</si>
  <si>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</si>
  <si>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</si>
  <si>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</si>
  <si>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</si>
  <si>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</si>
  <si>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</si>
  <si>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</si>
  <si>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</si>
  <si>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</si>
  <si>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</si>
  <si>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</si>
  <si>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</si>
  <si>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</si>
  <si>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</si>
  <si>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</si>
  <si>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</si>
  <si>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</si>
  <si>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</si>
  <si>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</si>
  <si>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</si>
  <si>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</si>
  <si>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</si>
  <si>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</si>
  <si>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</si>
  <si>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</si>
  <si>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</si>
  <si>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</si>
  <si>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</si>
  <si>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</si>
  <si>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</si>
  <si>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</si>
  <si>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</si>
  <si>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</si>
  <si>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</si>
  <si>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</si>
  <si>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</si>
  <si>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</si>
  <si>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</si>
  <si>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</si>
  <si>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</si>
  <si>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</si>
  <si>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</si>
  <si>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</si>
  <si>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</si>
  <si>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</si>
  <si>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</si>
  <si>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</si>
  <si>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</si>
  <si>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</si>
  <si>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</si>
  <si>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</si>
  <si>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</si>
  <si>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</si>
  <si>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</si>
  <si>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</si>
  <si>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</si>
  <si>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</si>
  <si>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</si>
  <si>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</si>
  <si>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</si>
  <si>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</si>
  <si>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</si>
  <si>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</si>
  <si>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</si>
  <si>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</si>
  <si>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</si>
  <si>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</si>
  <si>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</si>
  <si>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</si>
  <si>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</si>
  <si>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</si>
  <si>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</si>
  <si>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</si>
  <si>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</si>
  <si>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</si>
  <si>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</si>
  <si>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</si>
  <si>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</si>
  <si>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</si>
  <si>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</si>
  <si>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</si>
  <si>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</si>
  <si>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</si>
  <si>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</si>
  <si>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</si>
  <si>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</si>
  <si>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</si>
  <si>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</si>
  <si>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</si>
  <si>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</si>
  <si>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</si>
  <si>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</si>
  <si>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</si>
  <si>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</si>
  <si>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</si>
  <si>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</si>
  <si>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</si>
  <si>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</si>
  <si>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</si>
  <si>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</si>
  <si>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</si>
  <si>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</si>
  <si>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</si>
  <si>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</si>
  <si>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</si>
  <si>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</si>
  <si>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</si>
  <si>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</si>
  <si>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</si>
  <si>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</si>
  <si>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</si>
  <si>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</si>
  <si>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</si>
  <si>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</si>
  <si>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</si>
  <si>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</si>
  <si>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</si>
  <si>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</si>
  <si>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</si>
  <si>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</si>
  <si>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</si>
  <si>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</si>
  <si>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</si>
  <si>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</si>
  <si>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</si>
  <si>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</si>
  <si>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</si>
  <si>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</si>
  <si>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</si>
  <si>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</si>
  <si>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</si>
  <si>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</si>
  <si>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</si>
  <si>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</si>
  <si>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</si>
  <si>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</si>
  <si>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</si>
  <si>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</si>
  <si>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</si>
  <si>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</si>
  <si>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</si>
  <si>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</si>
  <si>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</si>
  <si>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</si>
  <si>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</si>
  <si>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</si>
  <si>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</si>
  <si>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</si>
  <si>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</si>
  <si>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</si>
  <si>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</si>
  <si>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</si>
  <si>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</si>
  <si>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</si>
  <si>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</si>
  <si>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</si>
  <si>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</si>
  <si>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</si>
  <si>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</si>
  <si>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</si>
  <si>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</si>
  <si>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</si>
  <si>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</si>
  <si>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</si>
  <si>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</si>
  <si>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</si>
  <si>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</si>
  <si>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</si>
  <si>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</si>
  <si>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</si>
  <si>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</si>
  <si>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</si>
  <si>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</si>
  <si>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</si>
  <si>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</si>
  <si>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</si>
  <si>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</si>
  <si>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</si>
  <si>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</si>
  <si>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</si>
  <si>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</si>
  <si>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</si>
  <si>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</si>
  <si>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</si>
  <si>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</si>
  <si>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</si>
  <si>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</si>
  <si>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</si>
  <si>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</si>
  <si>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</si>
  <si>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</si>
  <si>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</si>
  <si>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</si>
  <si>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</si>
  <si>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</si>
  <si>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</si>
  <si>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</si>
  <si>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</si>
  <si>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</si>
  <si>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</si>
  <si>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</si>
  <si>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</si>
  <si>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</si>
  <si>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</si>
  <si>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</si>
  <si>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</si>
  <si>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</si>
  <si>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</si>
  <si>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</si>
  <si>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</si>
  <si>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</si>
  <si>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</si>
  <si>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</si>
  <si>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</si>
  <si>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</si>
  <si>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</si>
  <si>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</si>
  <si>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</si>
  <si>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</si>
  <si>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</si>
  <si>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</si>
  <si>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</si>
  <si>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</si>
  <si>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</si>
  <si>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</si>
  <si>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</si>
  <si>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</si>
  <si>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</si>
  <si>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</si>
  <si>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</si>
  <si>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</si>
  <si>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</si>
  <si>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</si>
  <si>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</si>
  <si>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</si>
  <si>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</si>
  <si>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</si>
  <si>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</si>
  <si>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</si>
  <si>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</si>
  <si>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</si>
  <si>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</si>
  <si>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</si>
  <si>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</si>
  <si>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</si>
  <si>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</si>
  <si>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</si>
  <si>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</si>
  <si>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</si>
  <si>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</si>
  <si>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</si>
  <si>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</si>
  <si>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</si>
  <si>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</si>
  <si>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</si>
  <si>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</si>
  <si>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</si>
  <si>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</si>
  <si>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</si>
  <si>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</si>
  <si>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</si>
  <si>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</si>
  <si>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</si>
  <si>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</si>
  <si>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</si>
  <si>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</si>
  <si>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</si>
  <si>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</si>
  <si>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</si>
  <si>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</si>
  <si>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</si>
  <si>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</si>
  <si>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</si>
  <si>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</si>
  <si>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</si>
  <si>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</si>
  <si>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</si>
  <si>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</si>
  <si>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</si>
  <si>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</si>
  <si>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</si>
  <si>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</si>
  <si>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</si>
  <si>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</si>
  <si>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</si>
  <si>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</si>
  <si>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</si>
  <si>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</si>
  <si>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</si>
  <si>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</si>
  <si>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</si>
  <si>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</si>
  <si>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</si>
  <si>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</si>
  <si>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</si>
  <si>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</si>
  <si>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</si>
  <si>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</si>
  <si>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</si>
  <si>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</si>
  <si>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</si>
  <si>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</si>
  <si>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</si>
  <si>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</si>
  <si>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</si>
  <si>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</si>
  <si>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</si>
  <si>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</si>
  <si>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</si>
  <si>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</si>
  <si>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</si>
  <si>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</si>
  <si>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</si>
  <si>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</si>
  <si>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</si>
  <si>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</si>
  <si>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</si>
  <si>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</si>
  <si>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</si>
  <si>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</si>
  <si>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</si>
  <si>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</si>
  <si>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</si>
  <si>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</si>
  <si>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</si>
  <si>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</si>
  <si>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</si>
  <si>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</si>
  <si>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</si>
  <si>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</si>
  <si>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</si>
  <si>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</si>
  <si>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</si>
  <si>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</si>
  <si>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</si>
  <si>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</si>
  <si>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</si>
  <si>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</si>
  <si>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</si>
  <si>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</si>
  <si>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</si>
  <si>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</si>
  <si>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</si>
  <si>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</si>
  <si>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</si>
  <si>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</si>
  <si>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</si>
  <si>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</si>
  <si>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</si>
  <si>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</si>
  <si>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</si>
  <si>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</si>
  <si>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</si>
  <si>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</si>
  <si>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</si>
  <si>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</si>
  <si>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</si>
  <si>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</si>
  <si>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</si>
  <si>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</si>
  <si>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</si>
  <si>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</si>
  <si>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</si>
  <si>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</si>
  <si>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</si>
  <si>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</si>
  <si>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</si>
  <si>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</si>
  <si>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</si>
  <si>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</si>
  <si>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</si>
  <si>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</si>
  <si>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</si>
  <si>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</si>
  <si>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</si>
  <si>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</si>
  <si>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</si>
  <si>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</si>
  <si>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</si>
  <si>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</si>
  <si>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</si>
  <si>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</si>
  <si>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</si>
  <si>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</si>
  <si>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</si>
  <si>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</si>
  <si>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</si>
  <si>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</si>
  <si>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</si>
  <si>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</si>
  <si>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</si>
  <si>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</si>
  <si>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</si>
  <si>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</si>
  <si>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</si>
  <si>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</si>
  <si>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</si>
  <si>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</si>
  <si>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</si>
  <si>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</si>
  <si>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</si>
  <si>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</si>
  <si>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</si>
  <si>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</si>
  <si>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</si>
  <si>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</si>
  <si>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</si>
  <si>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</si>
  <si>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</si>
  <si>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</si>
  <si>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</si>
  <si>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</si>
  <si>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</si>
  <si>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</si>
  <si>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</si>
  <si>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</si>
  <si>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</si>
  <si>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</si>
  <si>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</si>
  <si>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</si>
  <si>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</si>
  <si>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</si>
  <si>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</si>
  <si>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</si>
  <si>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</si>
  <si>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</si>
  <si>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</si>
  <si>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</si>
  <si>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</si>
  <si>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</si>
  <si>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</si>
  <si>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</si>
  <si>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</si>
  <si>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</si>
  <si>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</si>
  <si>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</si>
  <si>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</si>
  <si>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</si>
  <si>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</si>
  <si>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</si>
  <si>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</si>
  <si>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</si>
  <si>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</si>
  <si>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</si>
  <si>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</si>
  <si>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</si>
  <si>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</si>
  <si>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</si>
  <si>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</si>
  <si>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</si>
  <si>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</si>
  <si>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</si>
  <si>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</si>
  <si>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</si>
  <si>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</si>
  <si>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</si>
  <si>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</si>
  <si>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</si>
  <si>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</si>
  <si>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</si>
  <si>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</si>
  <si>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</si>
  <si>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</si>
  <si>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</si>
  <si>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</si>
  <si>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</si>
  <si>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</si>
  <si>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</si>
  <si>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</si>
  <si>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</si>
  <si>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</si>
  <si>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</si>
  <si>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</si>
  <si>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</si>
  <si>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</si>
  <si>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</si>
  <si>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</si>
  <si>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</si>
  <si>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</si>
  <si>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</si>
  <si>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</si>
  <si>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</si>
  <si>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</si>
  <si>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</si>
  <si>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</si>
  <si>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</si>
  <si>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</si>
  <si>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</si>
  <si>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</si>
  <si>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</si>
  <si>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</si>
  <si>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</si>
  <si>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</si>
  <si>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</si>
  <si>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</si>
  <si>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</si>
  <si>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</si>
  <si>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</si>
  <si>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</si>
  <si>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</si>
  <si>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</si>
  <si>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</si>
  <si>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</si>
  <si>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</si>
  <si>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</si>
  <si>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</si>
  <si>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</si>
  <si>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</si>
  <si>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</si>
  <si>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</si>
  <si>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</si>
  <si>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</si>
  <si>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</si>
  <si>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</si>
  <si>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</si>
  <si>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</si>
  <si>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</si>
  <si>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</si>
  <si>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</si>
  <si>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</si>
  <si>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</si>
  <si>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</si>
  <si>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</si>
  <si>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</si>
  <si>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</si>
  <si>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</si>
  <si>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</si>
  <si>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</si>
  <si>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</si>
  <si>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</si>
  <si>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</si>
  <si>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</si>
  <si>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</si>
  <si>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</si>
  <si>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</si>
  <si>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</si>
  <si>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</si>
  <si>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</si>
  <si>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</si>
  <si>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</si>
  <si>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</si>
  <si>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</si>
  <si>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</si>
  <si>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</si>
  <si>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</si>
  <si>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</si>
  <si>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</si>
  <si>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</si>
  <si>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</si>
  <si>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</si>
  <si>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</si>
  <si>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</si>
  <si>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</si>
  <si>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</si>
  <si>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</si>
  <si>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</si>
  <si>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</si>
  <si>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</si>
  <si>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</si>
  <si>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</si>
  <si>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</si>
  <si>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</si>
  <si>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</si>
  <si>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</si>
  <si>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</si>
  <si>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</si>
  <si>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</si>
  <si>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</si>
  <si>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</si>
  <si>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</si>
  <si>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</si>
  <si>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</si>
  <si>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</si>
  <si>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</si>
  <si>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</si>
  <si>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</si>
  <si>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</si>
  <si>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</si>
  <si>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</si>
  <si>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</si>
  <si>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</si>
  <si>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</si>
  <si>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</si>
  <si>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</si>
  <si>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</si>
  <si>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</si>
  <si>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</si>
  <si>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</si>
  <si>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</si>
  <si>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</si>
  <si>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</si>
  <si>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</si>
  <si>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</si>
  <si>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</si>
  <si>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</si>
  <si>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</si>
  <si>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</si>
  <si>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</si>
  <si>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</si>
  <si>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</si>
  <si>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</si>
  <si>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</si>
  <si>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</si>
  <si>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</si>
  <si>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</si>
  <si>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</si>
  <si>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</si>
  <si>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</si>
  <si>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</si>
  <si>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</si>
  <si>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</si>
  <si>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</si>
  <si>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</si>
  <si>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</si>
  <si>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</si>
  <si>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</si>
  <si>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</si>
  <si>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</si>
  <si>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</si>
  <si>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</si>
  <si>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</si>
  <si>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</si>
  <si>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</si>
  <si>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</si>
  <si>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</si>
  <si>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</si>
  <si>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</si>
  <si>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</si>
  <si>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</si>
  <si>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</si>
  <si>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</si>
  <si>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</si>
  <si>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</si>
  <si>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</si>
  <si>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</si>
  <si>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</si>
  <si>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</si>
  <si>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</si>
  <si>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</si>
  <si>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</si>
  <si>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</si>
  <si>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</si>
  <si>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</si>
  <si>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</si>
  <si>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</si>
  <si>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</si>
  <si>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</si>
  <si>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</si>
  <si>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</si>
  <si>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</si>
  <si>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</si>
  <si>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</si>
  <si>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</si>
  <si>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</si>
  <si>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</si>
  <si>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</si>
  <si>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</si>
  <si>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</si>
  <si>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</si>
  <si>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</si>
  <si>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</si>
  <si>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</si>
  <si>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</si>
  <si>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</si>
  <si>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</si>
  <si>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</si>
  <si>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</si>
  <si>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</si>
  <si>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</si>
  <si>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</si>
  <si>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</si>
  <si>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</si>
  <si>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</si>
  <si>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</si>
  <si>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</si>
  <si>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</si>
  <si>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</si>
  <si>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</si>
  <si>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</si>
  <si>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</si>
  <si>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</si>
  <si>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</si>
  <si>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</si>
  <si>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</si>
  <si>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</si>
  <si>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</si>
  <si>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</si>
  <si>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</si>
  <si>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</si>
  <si>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</si>
  <si>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</si>
  <si>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</si>
  <si>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</si>
  <si>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</si>
  <si>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</si>
  <si>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</si>
  <si>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</si>
  <si>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</si>
  <si>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</si>
  <si>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</si>
  <si>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</si>
  <si>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</si>
  <si>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</si>
  <si>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</si>
  <si>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</si>
  <si>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</si>
  <si>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</si>
  <si>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</si>
  <si>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</si>
  <si>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</si>
  <si>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</si>
  <si>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</si>
  <si>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</si>
  <si>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</si>
  <si>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</si>
  <si>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</si>
  <si>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</si>
  <si>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</si>
  <si>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</si>
  <si>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</si>
  <si>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</si>
  <si>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</si>
  <si>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</si>
  <si>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</si>
  <si>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</si>
  <si>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</si>
  <si>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</si>
  <si>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</si>
  <si>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</si>
  <si>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</si>
  <si>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</si>
  <si>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</si>
  <si>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</si>
  <si>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</si>
  <si>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</si>
  <si>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</si>
  <si>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</si>
  <si>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</si>
  <si>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</si>
  <si>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</si>
  <si>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</si>
  <si>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</si>
  <si>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</si>
  <si>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</si>
  <si>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</si>
  <si>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</si>
  <si>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</si>
  <si>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</si>
  <si>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</si>
  <si>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</si>
  <si>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</si>
  <si>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</si>
  <si>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</si>
  <si>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</si>
  <si>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</si>
  <si>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</si>
  <si>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</si>
  <si>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</si>
  <si>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</si>
  <si>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</si>
  <si>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</si>
  <si>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</si>
  <si>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</si>
  <si>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</si>
  <si>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</si>
  <si>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</si>
  <si>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</si>
  <si>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</si>
  <si>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</si>
  <si>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</si>
  <si>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</si>
  <si>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</si>
  <si>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</si>
  <si>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</si>
  <si>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</si>
  <si>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</si>
  <si>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</si>
  <si>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</si>
  <si>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</si>
  <si>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</si>
  <si>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</si>
  <si>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</si>
  <si>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</si>
  <si>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</si>
  <si>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</si>
  <si>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</si>
  <si>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</si>
  <si>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</si>
  <si>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</si>
  <si>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</si>
  <si>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</si>
  <si>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</si>
  <si>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</si>
  <si>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</si>
  <si>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</si>
  <si>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</si>
  <si>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</si>
  <si>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</si>
  <si>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</si>
  <si>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</si>
  <si>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</si>
  <si>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</si>
  <si>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</si>
  <si>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</si>
  <si>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</si>
  <si>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</si>
  <si>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</si>
  <si>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</si>
  <si>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</si>
  <si>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</si>
  <si>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</si>
  <si>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</si>
  <si>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</si>
  <si>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</si>
  <si>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</si>
  <si>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</si>
  <si>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</si>
  <si>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</si>
  <si>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</si>
  <si>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</si>
  <si>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</si>
  <si>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</si>
  <si>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</si>
  <si>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</si>
  <si>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</si>
  <si>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</si>
  <si>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</si>
  <si>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</si>
  <si>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</si>
  <si>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</si>
  <si>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</si>
  <si>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</si>
  <si>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</si>
  <si>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</si>
  <si>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</si>
  <si>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</si>
  <si>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</si>
  <si>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</si>
  <si>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</si>
  <si>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</si>
  <si>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</si>
  <si>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</si>
  <si>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</si>
  <si>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</si>
  <si>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</si>
  <si>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</si>
  <si>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</si>
  <si>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</si>
  <si>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</si>
  <si>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</si>
  <si>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</si>
  <si>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</si>
  <si>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</si>
  <si>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</si>
  <si>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</si>
  <si>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</si>
  <si>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</si>
  <si>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</si>
  <si>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</si>
  <si>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</si>
  <si>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</si>
  <si>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</si>
  <si>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</si>
  <si>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</si>
  <si>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</si>
  <si>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</si>
  <si>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</si>
  <si>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</si>
  <si>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</si>
  <si>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</si>
  <si>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</si>
  <si>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</si>
  <si>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</si>
  <si>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</si>
  <si>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</si>
  <si>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</si>
  <si>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</si>
  <si>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</si>
  <si>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</si>
  <si>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</si>
  <si>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</si>
  <si>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</si>
  <si>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</si>
  <si>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</si>
  <si>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</si>
  <si>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</si>
  <si>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</si>
  <si>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</si>
  <si>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</si>
  <si>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</si>
  <si>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</si>
  <si>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</si>
  <si>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</si>
  <si>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</si>
  <si>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</si>
  <si>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</si>
  <si>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</si>
  <si>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</si>
  <si>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</si>
  <si>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</si>
  <si>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</si>
  <si>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</si>
  <si>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</si>
  <si>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</si>
  <si>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</si>
  <si>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</si>
  <si>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</si>
  <si>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</si>
  <si>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</si>
  <si>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</si>
  <si>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</si>
  <si>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</si>
  <si>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</si>
  <si>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</si>
  <si>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</si>
  <si>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</si>
  <si>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</si>
  <si>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</si>
  <si>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</si>
  <si>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</si>
  <si>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</si>
  <si>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</si>
  <si>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</si>
  <si>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</si>
  <si>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</si>
  <si>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</si>
  <si>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</si>
  <si>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</si>
  <si>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</si>
  <si>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</si>
  <si>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</si>
  <si>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</si>
  <si>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</si>
  <si>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</si>
  <si>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</si>
  <si>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</si>
  <si>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</si>
  <si>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</si>
  <si>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</si>
  <si>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</si>
  <si>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</si>
  <si>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</si>
  <si>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</si>
  <si>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</si>
  <si>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</si>
  <si>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</si>
  <si>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</si>
  <si>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</si>
  <si>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</si>
  <si>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</si>
  <si>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</si>
  <si>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</si>
  <si>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</si>
  <si>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</si>
  <si>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</si>
  <si>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</si>
  <si>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</si>
  <si>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</si>
  <si>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</si>
  <si>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</si>
  <si>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</si>
  <si>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</si>
  <si>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</si>
  <si>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</si>
  <si>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</si>
  <si>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</si>
  <si>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</si>
  <si>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</si>
  <si>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</si>
  <si>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</si>
  <si>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</si>
  <si>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</si>
  <si>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</si>
  <si>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</si>
  <si>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</si>
  <si>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</si>
  <si>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</si>
  <si>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</si>
  <si>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</si>
  <si>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</si>
  <si>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</si>
  <si>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</si>
  <si>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</si>
  <si>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</si>
  <si>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</si>
  <si>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</si>
  <si>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</si>
  <si>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</si>
  <si>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</si>
  <si>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</si>
  <si>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</si>
  <si>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</si>
  <si>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</si>
  <si>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</si>
  <si>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</si>
  <si>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</si>
  <si>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</si>
  <si>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</si>
  <si>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</si>
  <si>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</si>
  <si>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</si>
  <si>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</si>
  <si>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</si>
  <si>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</si>
  <si>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</si>
  <si>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</si>
  <si>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</si>
  <si>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</si>
  <si>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</si>
  <si>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</si>
  <si>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</si>
  <si>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</si>
  <si>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</si>
  <si>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</si>
  <si>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</si>
  <si>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</si>
  <si>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</si>
  <si>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</si>
  <si>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</si>
  <si>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</si>
  <si>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</si>
  <si>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</si>
  <si>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</si>
  <si>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</si>
  <si>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</si>
  <si>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</si>
  <si>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</si>
  <si>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</si>
  <si>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</si>
  <si>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</si>
  <si>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</si>
  <si>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</si>
  <si>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</si>
  <si>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</si>
  <si>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</si>
  <si>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</si>
  <si>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</si>
  <si>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</si>
  <si>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</si>
  <si>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</si>
  <si>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</si>
  <si>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</si>
  <si>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</si>
  <si>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</si>
  <si>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</si>
  <si>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</si>
  <si>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</si>
  <si>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</si>
  <si>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</si>
  <si>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</si>
  <si>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</si>
  <si>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</si>
  <si>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</si>
  <si>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</si>
  <si>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</si>
  <si>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</si>
  <si>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</si>
  <si>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</si>
  <si>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</si>
  <si>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</si>
  <si>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</si>
  <si>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</si>
  <si>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</si>
  <si>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</si>
  <si>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</si>
  <si>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</si>
  <si>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</si>
  <si>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</si>
  <si>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</si>
  <si>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</si>
  <si>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</si>
  <si>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</si>
  <si>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</si>
  <si>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</si>
  <si>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</si>
  <si>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</si>
  <si>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</si>
  <si>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</si>
  <si>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</si>
  <si>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</si>
  <si>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</si>
  <si>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</si>
  <si>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</si>
  <si>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</si>
  <si>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</si>
  <si>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</si>
  <si>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</si>
  <si>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</si>
  <si>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</si>
  <si>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</si>
  <si>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</si>
  <si>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</si>
  <si>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</si>
  <si>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</si>
  <si>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</si>
  <si>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</si>
  <si>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</si>
  <si>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</si>
  <si>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</si>
  <si>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</si>
  <si>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</si>
  <si>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</si>
  <si>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</si>
  <si>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</si>
  <si>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</si>
  <si>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</si>
  <si>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</si>
  <si>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</si>
  <si>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</si>
  <si>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</si>
  <si>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</si>
  <si>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</si>
  <si>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</si>
  <si>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</si>
  <si>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</si>
  <si>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</si>
  <si>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</si>
  <si>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</si>
  <si>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</si>
  <si>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</si>
  <si>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</si>
  <si>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</si>
  <si>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</si>
  <si>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</si>
  <si>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</si>
  <si>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</si>
  <si>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</si>
  <si>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</si>
  <si>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</si>
  <si>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</si>
  <si>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</si>
  <si>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</si>
  <si>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</si>
  <si>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</si>
  <si>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</si>
  <si>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</si>
  <si>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</si>
  <si>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</si>
  <si>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</si>
  <si>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</si>
  <si>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</si>
  <si>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</si>
  <si>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</si>
  <si>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</si>
  <si>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</si>
  <si>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</si>
  <si>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</si>
  <si>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</si>
  <si>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</si>
  <si>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</si>
  <si>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</si>
  <si>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</si>
  <si>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</si>
  <si>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</si>
  <si>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</si>
  <si>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</si>
  <si>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</si>
  <si>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</si>
  <si>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</si>
  <si>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</si>
  <si>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</si>
  <si>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</si>
  <si>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</si>
  <si>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</si>
  <si>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</si>
  <si>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</si>
  <si>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</si>
  <si>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</si>
  <si>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</si>
  <si>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</si>
  <si>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</si>
  <si>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</si>
  <si>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</si>
  <si>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</si>
  <si>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</si>
  <si>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</si>
  <si>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</si>
  <si>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</si>
  <si>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</si>
  <si>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</si>
  <si>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</si>
  <si>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</si>
  <si>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</si>
  <si>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</si>
  <si>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</si>
  <si>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</si>
  <si>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</si>
  <si>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</si>
  <si>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</si>
  <si>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</si>
  <si>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</si>
  <si>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</si>
  <si>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</si>
  <si>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</si>
  <si>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</si>
  <si>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</si>
  <si>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</si>
  <si>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</si>
  <si>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</si>
  <si>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</si>
  <si>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</si>
  <si>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</si>
  <si>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</si>
  <si>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</si>
  <si>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</si>
  <si>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</si>
  <si>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</si>
  <si>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</si>
  <si>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</si>
  <si>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</si>
  <si>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</si>
  <si>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</si>
  <si>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</si>
  <si>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</si>
  <si>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</si>
  <si>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</si>
  <si>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</si>
  <si>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</si>
  <si>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</si>
  <si>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</si>
  <si>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</si>
  <si>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</si>
  <si>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</si>
  <si>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</si>
  <si>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</si>
  <si>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</si>
  <si>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</si>
  <si>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</si>
  <si>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</si>
  <si>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</si>
  <si>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</si>
  <si>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</si>
  <si>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</si>
  <si>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</si>
  <si>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</si>
  <si>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</si>
  <si>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</si>
  <si>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</si>
  <si>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</si>
  <si>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</si>
  <si>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</si>
  <si>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</si>
  <si>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</si>
  <si>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</si>
  <si>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</si>
  <si>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</si>
  <si>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</si>
  <si>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</si>
  <si>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</si>
  <si>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</si>
  <si>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</si>
  <si>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</si>
  <si>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</si>
  <si>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</si>
  <si>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</si>
  <si>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</si>
  <si>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</si>
  <si>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</si>
  <si>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</si>
  <si>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</si>
  <si>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</si>
  <si>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</si>
  <si>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</si>
  <si>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</si>
  <si>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</si>
  <si>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</si>
  <si>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</si>
  <si>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</si>
  <si>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</si>
  <si>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</si>
  <si>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</si>
  <si>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</si>
  <si>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</si>
  <si>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</si>
  <si>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</si>
  <si>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</si>
  <si>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</si>
  <si>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</si>
  <si>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</si>
  <si>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</si>
  <si>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</si>
  <si>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</si>
  <si>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</si>
  <si>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</si>
  <si>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</si>
  <si>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</si>
  <si>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</si>
  <si>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</si>
  <si>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</si>
  <si>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</si>
  <si>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</si>
  <si>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</si>
  <si>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</si>
  <si>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</si>
  <si>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</si>
  <si>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</si>
  <si>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</si>
  <si>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</si>
  <si>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</si>
  <si>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</si>
  <si>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</si>
  <si>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</si>
  <si>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</si>
  <si>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</si>
  <si>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</si>
  <si>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</si>
  <si>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</si>
  <si>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</si>
  <si>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</si>
  <si>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</si>
  <si>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</si>
  <si>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</si>
  <si>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</si>
  <si>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</si>
  <si>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</si>
  <si>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</si>
  <si>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</si>
  <si>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</si>
  <si>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</si>
  <si>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</si>
  <si>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</si>
  <si>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</si>
  <si>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</si>
  <si>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</si>
  <si>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</si>
  <si>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</si>
  <si>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</si>
  <si>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</si>
  <si>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</si>
  <si>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</si>
  <si>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</si>
  <si>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</si>
  <si>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</si>
  <si>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</si>
  <si>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</si>
  <si>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</si>
  <si>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</si>
  <si>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</si>
  <si>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</si>
  <si>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</si>
  <si>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</si>
  <si>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</si>
  <si>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</si>
  <si>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</si>
  <si>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</si>
  <si>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</si>
  <si>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</si>
  <si>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</si>
  <si>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</si>
  <si>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</si>
  <si>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</si>
  <si>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</si>
  <si>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</si>
  <si>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</si>
  <si>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</si>
  <si>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</si>
  <si>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</si>
  <si>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</si>
  <si>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</si>
  <si>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</si>
  <si>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</si>
  <si>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</si>
  <si>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</si>
  <si>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</si>
  <si>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</si>
  <si>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</si>
  <si>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</si>
  <si>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</si>
  <si>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</si>
  <si>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</si>
  <si>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</si>
  <si>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</si>
  <si>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</si>
  <si>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</si>
  <si>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</si>
  <si>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</si>
  <si>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</si>
  <si>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</si>
  <si>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</si>
  <si>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</si>
  <si>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</si>
  <si>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</si>
  <si>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</si>
  <si>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</si>
  <si>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</si>
  <si>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</si>
  <si>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</si>
  <si>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</si>
  <si>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</si>
  <si>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</si>
  <si>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</si>
  <si>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</si>
  <si>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</si>
  <si>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</si>
  <si>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</si>
  <si>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</si>
  <si>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</si>
  <si>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</si>
  <si>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</si>
  <si>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</si>
  <si>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</si>
  <si>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</si>
  <si>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</si>
  <si>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</si>
  <si>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</si>
  <si>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</si>
  <si>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</si>
  <si>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</si>
  <si>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</si>
  <si>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</si>
  <si>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</si>
  <si>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</si>
  <si>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</si>
  <si>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</si>
  <si>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</si>
  <si>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</si>
  <si>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</si>
  <si>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</si>
  <si>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</si>
  <si>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</si>
  <si>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</si>
  <si>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</si>
  <si>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</si>
  <si>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</si>
  <si>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</si>
  <si>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</si>
  <si>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</si>
  <si>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</si>
  <si>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</si>
  <si>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</si>
  <si>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</si>
  <si>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</si>
  <si>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</si>
  <si>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</si>
  <si>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</si>
  <si>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</si>
  <si>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</si>
  <si>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</si>
  <si>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</si>
  <si>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</si>
  <si>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</si>
  <si>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</si>
  <si>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</si>
  <si>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</si>
  <si>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</si>
  <si>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</si>
  <si>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</si>
  <si>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</si>
  <si>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</si>
  <si>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</si>
  <si>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</si>
  <si>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</si>
  <si>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</si>
  <si>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</si>
  <si>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</si>
  <si>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</si>
  <si>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</si>
  <si>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</si>
  <si>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</si>
  <si>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</si>
  <si>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</si>
  <si>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</si>
  <si>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</si>
  <si>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</si>
  <si>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</si>
  <si>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</si>
  <si>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</si>
  <si>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</si>
  <si>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</si>
  <si>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</si>
  <si>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</si>
  <si>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</si>
  <si>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</si>
  <si>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</si>
  <si>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</si>
  <si>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</si>
  <si>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</si>
  <si>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</si>
  <si>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</si>
  <si>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</si>
  <si>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</si>
  <si>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</si>
  <si>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</si>
  <si>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</si>
  <si>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</si>
  <si>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</si>
  <si>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</si>
  <si>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</si>
  <si>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</si>
  <si>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</si>
  <si>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</si>
  <si>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</si>
  <si>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</si>
  <si>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</si>
  <si>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</si>
  <si>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</si>
  <si>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</si>
  <si>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</si>
  <si>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</si>
  <si>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</si>
  <si>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</si>
  <si>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</si>
  <si>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</si>
  <si>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</si>
  <si>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</si>
  <si>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</si>
  <si>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</si>
  <si>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</si>
  <si>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</si>
  <si>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</si>
  <si>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</si>
  <si>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</si>
  <si>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</si>
  <si>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</si>
  <si>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</si>
  <si>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</si>
  <si>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</si>
  <si>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</si>
  <si>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</si>
  <si>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</si>
  <si>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</si>
  <si>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</si>
  <si>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</si>
  <si>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</si>
  <si>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</si>
  <si>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</si>
  <si>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</si>
  <si>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</si>
  <si>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</si>
  <si>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</si>
  <si>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</si>
  <si>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</si>
  <si>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</si>
  <si>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</si>
  <si>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</si>
  <si>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</si>
  <si>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</si>
  <si>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</si>
  <si>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</si>
  <si>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</si>
  <si>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</si>
  <si>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</si>
  <si>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</si>
  <si>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</si>
  <si>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</si>
  <si>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</si>
  <si>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</si>
  <si>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</si>
  <si>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</si>
  <si>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</si>
  <si>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</si>
  <si>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</si>
  <si>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</si>
  <si>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</si>
  <si>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</si>
  <si>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</si>
  <si>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</si>
  <si>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</si>
  <si>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</si>
  <si>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</si>
  <si>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</si>
  <si>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</si>
  <si>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</si>
  <si>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</si>
  <si>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</si>
  <si>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</si>
  <si>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</si>
  <si>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</si>
  <si>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</si>
  <si>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</si>
  <si>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</si>
  <si>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</si>
  <si>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</si>
  <si>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</si>
  <si>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</si>
  <si>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</si>
  <si>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</si>
  <si>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</si>
  <si>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</si>
  <si>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</si>
  <si>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</si>
  <si>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</si>
  <si>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</si>
  <si>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</si>
  <si>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</si>
  <si>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</si>
  <si>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</si>
  <si>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</si>
  <si>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</si>
  <si>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</si>
  <si>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</si>
  <si>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</si>
  <si>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</si>
  <si>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</si>
  <si>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</si>
  <si>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</si>
  <si>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</si>
  <si>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</si>
  <si>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</si>
  <si>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</si>
  <si>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</si>
  <si>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</si>
  <si>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</si>
  <si>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</si>
  <si>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</si>
  <si>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</si>
  <si>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</si>
  <si>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</si>
  <si>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</si>
  <si>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</si>
  <si>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</si>
  <si>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</si>
  <si>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</si>
  <si>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</si>
  <si>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</si>
  <si>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</si>
  <si>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</si>
  <si>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</si>
  <si>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</si>
  <si>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</si>
  <si>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</si>
  <si>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</si>
  <si>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</si>
  <si>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</si>
  <si>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</si>
  <si>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</si>
  <si>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</si>
  <si>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</si>
  <si>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</si>
  <si>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</si>
  <si>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</si>
  <si>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</si>
  <si>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</si>
  <si>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</si>
  <si>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</si>
  <si>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</si>
  <si>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</si>
  <si>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</si>
  <si>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</si>
  <si>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</si>
  <si>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</si>
  <si>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</si>
  <si>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</si>
  <si>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</si>
  <si>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</si>
  <si>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</si>
  <si>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</si>
  <si>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</si>
  <si>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</si>
  <si>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</si>
  <si>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</si>
  <si>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</si>
  <si>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</si>
  <si>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</si>
  <si>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</si>
  <si>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</si>
  <si>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</si>
  <si>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</si>
  <si>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</si>
  <si>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</si>
  <si>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</si>
  <si>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</si>
  <si>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</si>
  <si>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</si>
  <si>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</si>
  <si>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</si>
  <si>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</si>
  <si>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</si>
  <si>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</si>
  <si>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</si>
  <si>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</si>
  <si>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</si>
  <si>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</si>
  <si>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</si>
  <si>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</si>
  <si>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</si>
  <si>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</si>
  <si>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</si>
  <si>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</si>
  <si>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</si>
  <si>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</si>
  <si>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</si>
  <si>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</si>
  <si>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</si>
  <si>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</si>
  <si>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</si>
  <si>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</si>
  <si>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</si>
  <si>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</si>
  <si>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</si>
  <si>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</si>
  <si>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</si>
  <si>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</si>
  <si>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</si>
  <si>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</si>
  <si>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</si>
  <si>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</si>
  <si>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</si>
  <si>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</si>
  <si>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</si>
  <si>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</si>
  <si>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</si>
  <si>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</si>
  <si>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</si>
  <si>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</si>
  <si>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</si>
  <si>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</si>
  <si>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</si>
  <si>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</si>
  <si>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</si>
  <si>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</si>
  <si>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</si>
  <si>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</si>
  <si>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</si>
  <si>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</si>
  <si>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</si>
  <si>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</si>
  <si>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</si>
  <si>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</si>
  <si>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</si>
  <si>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</si>
  <si>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</si>
  <si>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</si>
  <si>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</si>
  <si>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</si>
  <si>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</si>
  <si>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</si>
  <si>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</si>
  <si>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</si>
  <si>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</si>
  <si>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</si>
  <si>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</si>
  <si>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</si>
  <si>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</si>
  <si>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</si>
  <si>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</si>
  <si>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</si>
  <si>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</si>
  <si>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</si>
  <si>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</si>
  <si>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</si>
  <si>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</si>
  <si>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</si>
  <si>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</si>
  <si>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</si>
  <si>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</si>
  <si>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</si>
  <si>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</si>
  <si>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</si>
  <si>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</si>
  <si>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</si>
  <si>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</si>
  <si>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</si>
  <si>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</si>
  <si>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</si>
  <si>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</si>
  <si>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</si>
  <si>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</si>
  <si>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</si>
  <si>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</si>
  <si>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</si>
  <si>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</si>
  <si>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</si>
  <si>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</si>
  <si>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</si>
  <si>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</si>
  <si>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</si>
  <si>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</si>
  <si>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</si>
  <si>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</si>
  <si>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</si>
  <si>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</si>
  <si>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</si>
  <si>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</si>
  <si>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</si>
  <si>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</si>
  <si>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</si>
  <si>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</si>
  <si>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</si>
  <si>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</si>
  <si>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</si>
  <si>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</si>
  <si>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</si>
  <si>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</si>
  <si>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</si>
  <si>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</si>
  <si>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</si>
  <si>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</si>
  <si>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</si>
  <si>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</si>
  <si>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</si>
  <si>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</si>
  <si>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</si>
  <si>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</si>
  <si>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</si>
  <si>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</si>
  <si>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</si>
  <si>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</si>
  <si>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</si>
  <si>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</si>
  <si>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</si>
  <si>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</si>
  <si>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</si>
  <si>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</si>
  <si>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</si>
  <si>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</si>
  <si>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</si>
  <si>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</si>
  <si>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</si>
  <si>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</si>
  <si>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</si>
  <si>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</si>
  <si>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</si>
  <si>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</si>
  <si>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</si>
  <si>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</si>
  <si>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</si>
  <si>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</si>
  <si>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</si>
  <si>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</si>
  <si>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</si>
  <si>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</si>
  <si>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</si>
  <si>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</si>
  <si>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</si>
  <si>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</si>
  <si>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</si>
  <si>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</si>
  <si>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</si>
  <si>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</si>
  <si>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</si>
  <si>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</si>
  <si>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</si>
  <si>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</si>
  <si>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</si>
  <si>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</si>
  <si>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</si>
  <si>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</si>
  <si>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</si>
  <si>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</si>
  <si>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</si>
  <si>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</si>
  <si>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</si>
  <si>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</si>
  <si>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</si>
  <si>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</si>
  <si>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</si>
  <si>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</si>
  <si>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</si>
  <si>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</si>
  <si>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</si>
  <si>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</si>
  <si>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</si>
  <si>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</si>
  <si>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</si>
  <si>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</si>
  <si>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</si>
  <si>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</si>
  <si>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</si>
  <si>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</si>
  <si>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</si>
  <si>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</si>
  <si>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</si>
  <si>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</si>
  <si>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</si>
  <si>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</si>
  <si>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</si>
  <si>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</si>
  <si>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</si>
  <si>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</si>
  <si>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</si>
  <si>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</si>
  <si>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</si>
  <si>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</si>
  <si>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</si>
  <si>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</si>
  <si>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</si>
  <si>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</si>
  <si>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</si>
  <si>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</si>
  <si>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</si>
  <si>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</si>
  <si>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</si>
  <si>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</si>
  <si>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</si>
  <si>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</si>
  <si>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</si>
  <si>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</si>
  <si>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</si>
  <si>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</si>
  <si>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</si>
  <si>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</si>
  <si>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</si>
  <si>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</si>
  <si>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</si>
  <si>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</si>
  <si>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</si>
  <si>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</si>
  <si>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</si>
  <si>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</si>
  <si>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</si>
  <si>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</si>
  <si>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</si>
  <si>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</si>
  <si>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</si>
  <si>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</si>
  <si>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</si>
  <si>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</si>
  <si>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</si>
  <si>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</si>
  <si>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</si>
  <si>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</si>
  <si>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</si>
  <si>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</si>
  <si>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</si>
  <si>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</si>
  <si>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</si>
  <si>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</si>
  <si>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</si>
  <si>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</si>
  <si>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</si>
  <si>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</si>
  <si>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</si>
  <si>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</si>
  <si>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</si>
  <si>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</si>
  <si>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</si>
  <si>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</si>
  <si>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</si>
  <si>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</si>
  <si>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</si>
  <si>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</si>
  <si>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</si>
  <si>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</si>
  <si>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</si>
  <si>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</si>
  <si>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</si>
  <si>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</si>
  <si>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</si>
  <si>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</si>
  <si>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</si>
  <si>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</si>
  <si>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</si>
  <si>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</si>
  <si>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</si>
  <si>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</si>
  <si>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</si>
  <si>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</si>
  <si>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</si>
  <si>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</si>
  <si>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</si>
  <si>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</si>
  <si>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</si>
  <si>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</si>
  <si>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</si>
  <si>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</si>
  <si>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</si>
  <si>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</si>
  <si>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</si>
  <si>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</si>
  <si>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</si>
  <si>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</si>
  <si>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</si>
  <si>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</si>
  <si>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</si>
  <si>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</si>
  <si>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</si>
  <si>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</si>
  <si>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</si>
  <si>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</si>
  <si>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</si>
  <si>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</si>
  <si>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</si>
  <si>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</si>
  <si>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</si>
  <si>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</si>
  <si>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</si>
  <si>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</si>
  <si>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</si>
  <si>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</si>
  <si>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</si>
  <si>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</si>
  <si>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</si>
  <si>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</si>
  <si>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</si>
  <si>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</si>
  <si>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</si>
  <si>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</si>
  <si>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</si>
  <si>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</si>
  <si>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</si>
  <si>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</si>
  <si>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</si>
  <si>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</si>
  <si>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</si>
  <si>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</si>
  <si>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</si>
  <si>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</si>
  <si>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</si>
  <si>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</si>
  <si>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</si>
  <si>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</si>
  <si>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</si>
  <si>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</si>
  <si>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</si>
  <si>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</si>
  <si>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</si>
  <si>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</si>
  <si>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</si>
  <si>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</si>
  <si>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</si>
  <si>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</si>
  <si>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</si>
  <si>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</si>
  <si>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</si>
  <si>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</si>
  <si>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</si>
  <si>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</si>
  <si>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</si>
  <si>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</si>
  <si>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</si>
  <si>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</si>
  <si>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</si>
  <si>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</si>
  <si>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</si>
  <si>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</si>
  <si>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</si>
  <si>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</si>
  <si>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</si>
  <si>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</si>
  <si>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</si>
  <si>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</si>
  <si>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</si>
  <si>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</si>
  <si>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</si>
  <si>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</si>
  <si>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</si>
  <si>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</si>
  <si>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</si>
  <si>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</si>
  <si>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</si>
  <si>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</si>
  <si>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</si>
  <si>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</si>
  <si>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</si>
  <si>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</si>
  <si>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</si>
  <si>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</si>
  <si>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</si>
  <si>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</si>
  <si>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</si>
  <si>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</si>
  <si>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</si>
  <si>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</si>
  <si>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</si>
  <si>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</si>
  <si>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</si>
  <si>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</si>
  <si>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</si>
  <si>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</si>
  <si>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</si>
  <si>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</si>
  <si>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</si>
  <si>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</si>
  <si>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</si>
  <si>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</si>
  <si>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</si>
  <si>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</si>
  <si>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</si>
  <si>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</si>
  <si>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</si>
  <si>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</si>
  <si>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</si>
  <si>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</si>
  <si>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</si>
  <si>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</si>
  <si>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</si>
  <si>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</si>
  <si>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</si>
  <si>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</si>
  <si>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</si>
  <si>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</si>
  <si>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</si>
  <si>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</si>
  <si>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</si>
  <si>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</si>
  <si>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</si>
  <si>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</si>
  <si>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</si>
  <si>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</si>
  <si>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</si>
  <si>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</si>
  <si>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</si>
  <si>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</si>
  <si>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</si>
  <si>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</si>
  <si>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</si>
  <si>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</si>
  <si>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</si>
  <si>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</si>
  <si>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</si>
  <si>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</si>
  <si>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</si>
  <si>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</si>
  <si>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</si>
  <si>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</si>
  <si>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</si>
  <si>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</si>
  <si>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</si>
  <si>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</si>
  <si>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</si>
  <si>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</si>
  <si>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</si>
  <si>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</si>
  <si>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</si>
  <si>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</si>
  <si>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</si>
  <si>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</si>
  <si>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</si>
  <si>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</si>
  <si>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</si>
  <si>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</si>
  <si>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</si>
  <si>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</si>
  <si>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</si>
  <si>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</si>
  <si>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</si>
  <si>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</si>
  <si>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</si>
  <si>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</si>
  <si>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</si>
  <si>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</si>
  <si>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</si>
  <si>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</si>
  <si>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</si>
  <si>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</si>
  <si>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</si>
  <si>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</si>
  <si>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</si>
  <si>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</si>
  <si>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</si>
  <si>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</si>
  <si>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</si>
  <si>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</si>
  <si>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</si>
  <si>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</si>
  <si>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</si>
  <si>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</si>
  <si>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</si>
  <si>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</si>
  <si>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</si>
  <si>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</si>
  <si>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</si>
  <si>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</si>
  <si>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</si>
  <si>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</si>
  <si>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</si>
  <si>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</si>
  <si>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</si>
  <si>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</si>
  <si>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</si>
  <si>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</si>
  <si>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</si>
  <si>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</si>
  <si>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</si>
  <si>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</si>
  <si>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</si>
  <si>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</si>
  <si>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</si>
  <si>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</si>
  <si>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</si>
  <si>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</si>
  <si>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</si>
  <si>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</si>
  <si>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</si>
  <si>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</si>
  <si>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</si>
  <si>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</si>
  <si>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</si>
  <si>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</si>
  <si>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</si>
  <si>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</si>
  <si>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</si>
  <si>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</si>
  <si>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</si>
  <si>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</si>
  <si>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</si>
  <si>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</si>
  <si>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</si>
  <si>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</si>
  <si>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</si>
  <si>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</si>
  <si>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</si>
  <si>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</si>
  <si>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</si>
  <si>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</si>
  <si>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</si>
  <si>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</si>
  <si>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</si>
  <si>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</si>
  <si>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</si>
  <si>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</si>
  <si>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</si>
  <si>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</si>
  <si>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</si>
  <si>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</si>
  <si>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</si>
  <si>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</si>
  <si>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</si>
  <si>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</si>
  <si>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</si>
  <si>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</si>
  <si>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</si>
  <si>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</si>
  <si>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</si>
  <si>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</si>
  <si>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</si>
  <si>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</si>
  <si>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</si>
  <si>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</si>
  <si>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</si>
  <si>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</si>
  <si>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</si>
  <si>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</si>
  <si>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</si>
  <si>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</si>
  <si>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</si>
  <si>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</si>
  <si>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</si>
  <si>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</si>
  <si>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</si>
  <si>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</si>
  <si>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</si>
  <si>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</si>
  <si>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</si>
  <si>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</si>
  <si>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</si>
  <si>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</si>
  <si>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</si>
  <si>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</si>
  <si>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</si>
  <si>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</si>
  <si>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</si>
  <si>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</si>
  <si>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</si>
  <si>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</si>
  <si>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</si>
  <si>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</si>
  <si>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</si>
  <si>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</si>
  <si>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</si>
  <si>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</si>
  <si>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</si>
  <si>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</si>
  <si>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</si>
  <si>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</si>
  <si>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</si>
  <si>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</si>
  <si>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</si>
  <si>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</si>
  <si>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</si>
  <si>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</si>
  <si>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</si>
  <si>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</si>
  <si>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</si>
  <si>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</si>
  <si>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</si>
  <si>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</si>
  <si>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</si>
  <si>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</si>
  <si>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</si>
  <si>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</si>
  <si>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</si>
  <si>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</si>
  <si>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</si>
  <si>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</si>
  <si>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</si>
  <si>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</si>
  <si>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</si>
  <si>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</si>
  <si>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</si>
  <si>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</si>
  <si>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</si>
  <si>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</si>
  <si>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</si>
  <si>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</si>
  <si>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</si>
  <si>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</si>
  <si>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</si>
  <si>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</si>
  <si>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</si>
  <si>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</si>
  <si>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</si>
  <si>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</si>
  <si>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</si>
  <si>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</si>
  <si>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</si>
  <si>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</si>
  <si>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</si>
  <si>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</si>
  <si>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</si>
  <si>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</si>
  <si>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</si>
  <si>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</si>
  <si>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</si>
  <si>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</si>
  <si>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</si>
  <si>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</si>
  <si>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</si>
  <si>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</si>
  <si>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</si>
  <si>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</si>
  <si>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</si>
  <si>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</si>
  <si>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</si>
  <si>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</si>
  <si>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</si>
  <si>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</si>
  <si>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</si>
  <si>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</si>
  <si>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</si>
  <si>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</si>
  <si>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</si>
  <si>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</si>
  <si>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</si>
  <si>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</si>
  <si>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</si>
  <si>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</si>
  <si>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</si>
  <si>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</si>
  <si>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</si>
  <si>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</si>
  <si>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</si>
  <si>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</si>
  <si>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</si>
  <si>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</si>
  <si>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</si>
  <si>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</si>
  <si>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</si>
  <si>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</si>
  <si>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</si>
  <si>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</si>
  <si>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</si>
  <si>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</si>
  <si>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</si>
  <si>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</si>
  <si>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</si>
  <si>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</si>
  <si>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</si>
  <si>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</si>
  <si>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</si>
  <si>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</si>
  <si>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</si>
  <si>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</si>
  <si>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</si>
  <si>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</si>
  <si>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</si>
  <si>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</si>
  <si>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</si>
  <si>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</si>
  <si>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</si>
  <si>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</si>
  <si>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</si>
  <si>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</si>
  <si>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</si>
  <si>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</si>
  <si>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</si>
  <si>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</si>
  <si>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</si>
  <si>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</si>
  <si>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</si>
  <si>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</si>
  <si>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</si>
  <si>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</si>
  <si>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</si>
  <si>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</si>
  <si>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</si>
  <si>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</si>
  <si>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</si>
  <si>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</si>
  <si>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</si>
  <si>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</si>
  <si>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</si>
  <si>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</si>
  <si>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</si>
  <si>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</si>
  <si>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</si>
  <si>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</si>
  <si>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</si>
  <si>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</si>
  <si>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</si>
  <si>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</si>
  <si>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</si>
  <si>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</si>
  <si>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</si>
  <si>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</si>
  <si>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</si>
  <si>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</si>
  <si>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</si>
  <si>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</si>
  <si>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</si>
  <si>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</si>
  <si>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</si>
  <si>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</si>
  <si>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</si>
  <si>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</si>
  <si>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</si>
  <si>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</si>
  <si>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</si>
  <si>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</si>
  <si>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</si>
  <si>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</si>
  <si>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</si>
  <si>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</si>
  <si>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</si>
  <si>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</si>
  <si>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</si>
  <si>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</si>
  <si>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</si>
  <si>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</si>
  <si>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</si>
  <si>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</si>
  <si>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</si>
  <si>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</si>
  <si>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</si>
  <si>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</si>
  <si>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</si>
  <si>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</si>
  <si>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</si>
  <si>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</si>
  <si>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</si>
  <si>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</si>
  <si>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</si>
  <si>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</si>
  <si>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</si>
  <si>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</si>
  <si>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</si>
  <si>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</si>
  <si>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</si>
  <si>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</si>
  <si>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</si>
  <si>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</si>
  <si>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</si>
  <si>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</si>
  <si>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</si>
  <si>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</si>
  <si>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</si>
  <si>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</si>
  <si>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</si>
  <si>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</si>
  <si>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</si>
  <si>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</si>
  <si>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</si>
  <si>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</si>
  <si>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</si>
  <si>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</si>
  <si>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</si>
  <si>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</si>
  <si>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</si>
  <si>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</si>
  <si>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</si>
  <si>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</si>
  <si>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</si>
  <si>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</si>
  <si>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</si>
  <si>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</si>
  <si>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</si>
  <si>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</si>
  <si>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</si>
  <si>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</si>
  <si>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</si>
  <si>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</si>
  <si>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</si>
  <si>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</si>
  <si>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</si>
  <si>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</si>
  <si>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</si>
  <si>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</si>
  <si>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</si>
  <si>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</si>
  <si>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</si>
  <si>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</si>
  <si>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</si>
  <si>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</si>
  <si>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</si>
  <si>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</si>
  <si>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</si>
  <si>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</si>
  <si>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</si>
  <si>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</si>
  <si>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</si>
  <si>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</si>
  <si>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</si>
  <si>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</si>
  <si>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</si>
  <si>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</si>
  <si>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</si>
  <si>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</si>
  <si>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</si>
  <si>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</si>
  <si>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</si>
  <si>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</si>
  <si>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</si>
  <si>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</si>
  <si>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</si>
  <si>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</si>
  <si>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</si>
  <si>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</si>
  <si>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</si>
  <si>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</si>
  <si>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</si>
  <si>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</si>
  <si>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</si>
  <si>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</si>
  <si>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</si>
  <si>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</si>
  <si>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</si>
  <si>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</si>
  <si>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</si>
  <si>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</si>
  <si>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</si>
  <si>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</si>
  <si>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</si>
  <si>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</si>
  <si>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</si>
  <si>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</si>
  <si>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</si>
  <si>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</si>
  <si>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</si>
  <si>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</si>
  <si>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</si>
  <si>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</si>
  <si>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</si>
  <si>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</si>
  <si>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</si>
  <si>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</si>
  <si>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</si>
  <si>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</si>
  <si>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</si>
  <si>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</si>
  <si>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</si>
  <si>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</si>
  <si>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</si>
  <si>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</si>
  <si>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</si>
  <si>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</si>
  <si>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</si>
  <si>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</si>
  <si>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</si>
  <si>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</si>
  <si>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</si>
  <si>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</si>
  <si>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</si>
  <si>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</si>
  <si>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</si>
  <si>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</si>
  <si>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</si>
  <si>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</si>
  <si>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</si>
  <si>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</si>
  <si>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</si>
  <si>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</si>
  <si>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</si>
  <si>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</si>
  <si>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</si>
  <si>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</si>
  <si>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</si>
  <si>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</si>
  <si>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</si>
  <si>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</si>
  <si>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</si>
  <si>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</si>
  <si>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</si>
  <si>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</si>
  <si>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</si>
  <si>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</si>
  <si>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</si>
  <si>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</si>
  <si>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</si>
  <si>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</si>
  <si>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</si>
  <si>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</si>
  <si>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</si>
  <si>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</si>
  <si>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</si>
  <si>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</si>
  <si>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</si>
  <si>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</si>
  <si>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</si>
  <si>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</si>
  <si>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</si>
  <si>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</si>
  <si>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</si>
  <si>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</si>
  <si>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</si>
  <si>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</si>
  <si>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</si>
  <si>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</si>
  <si>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</si>
  <si>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</si>
  <si>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</si>
  <si>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</si>
  <si>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</si>
  <si>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</si>
  <si>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</si>
  <si>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</si>
  <si>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</si>
  <si>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</si>
  <si>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</si>
  <si>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</si>
  <si>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</si>
  <si>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</si>
  <si>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</si>
  <si>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</si>
  <si>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</si>
  <si>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</si>
  <si>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</si>
  <si>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</si>
  <si>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</si>
  <si>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</si>
  <si>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</si>
  <si>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</si>
  <si>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</si>
  <si>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</si>
  <si>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</si>
  <si>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</si>
  <si>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</si>
  <si>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</si>
  <si>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</si>
  <si>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</si>
  <si>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</si>
  <si>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</si>
  <si>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</si>
  <si>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</si>
  <si>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</si>
  <si>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</si>
  <si>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</si>
  <si>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</si>
  <si>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</si>
  <si>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</si>
  <si>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</si>
  <si>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</si>
  <si>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</si>
  <si>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</si>
  <si>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</si>
  <si>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</si>
  <si>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</si>
  <si>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</si>
  <si>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</si>
  <si>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</si>
  <si>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</si>
  <si>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</si>
  <si>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</si>
  <si>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</si>
  <si>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</si>
  <si>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</si>
  <si>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</si>
  <si>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</si>
  <si>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</si>
  <si>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</si>
  <si>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</si>
  <si>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</si>
  <si>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</si>
  <si>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</si>
  <si>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</si>
  <si>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</si>
  <si>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</si>
  <si>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</si>
  <si>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</si>
  <si>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</si>
  <si>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</si>
  <si>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</si>
  <si>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</si>
  <si>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</si>
  <si>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</si>
  <si>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</si>
  <si>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</si>
  <si>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</si>
  <si>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</si>
  <si>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</si>
  <si>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</si>
  <si>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</si>
  <si>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</si>
  <si>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</si>
  <si>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</si>
  <si>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</si>
  <si>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</si>
  <si>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</si>
  <si>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</si>
  <si>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</si>
  <si>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</si>
  <si>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</si>
  <si>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</si>
  <si>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</si>
  <si>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</si>
  <si>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</si>
  <si>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</si>
  <si>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</si>
  <si>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</si>
  <si>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</si>
  <si>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</si>
  <si>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</si>
  <si>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</si>
  <si>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</si>
  <si>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</si>
  <si>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</si>
  <si>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</si>
  <si>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</si>
  <si>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</si>
  <si>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</si>
  <si>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</si>
  <si>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</si>
  <si>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</si>
  <si>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</si>
  <si>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</si>
  <si>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</si>
  <si>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</si>
  <si>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</si>
  <si>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</si>
  <si>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</si>
  <si>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</si>
  <si>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</si>
  <si>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</si>
  <si>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</si>
  <si>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</si>
  <si>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</si>
  <si>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</si>
  <si>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</si>
  <si>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</si>
  <si>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</si>
  <si>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</si>
  <si>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</si>
  <si>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</si>
  <si>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</si>
  <si>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</si>
  <si>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</si>
  <si>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</si>
  <si>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</si>
  <si>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</si>
  <si>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</si>
  <si>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</si>
  <si>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</si>
  <si>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</si>
  <si>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</si>
  <si>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</si>
  <si>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</si>
  <si>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</si>
  <si>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</si>
  <si>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</si>
  <si>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</si>
  <si>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</si>
  <si>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</si>
  <si>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</si>
  <si>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</si>
  <si>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</si>
  <si>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</si>
  <si>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</si>
  <si>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</si>
  <si>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</si>
  <si>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</si>
  <si>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</si>
  <si>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</si>
  <si>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</si>
  <si>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</si>
  <si>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</si>
  <si>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</si>
  <si>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</si>
  <si>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</si>
  <si>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</si>
  <si>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</si>
  <si>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</si>
  <si>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</si>
  <si>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</si>
  <si>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</si>
  <si>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</si>
  <si>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</si>
  <si>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</si>
  <si>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</si>
  <si>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</si>
  <si>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</si>
  <si>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</si>
  <si>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</si>
  <si>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</si>
  <si>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</si>
  <si>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</si>
  <si>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</si>
  <si>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</si>
  <si>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</si>
  <si>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</si>
  <si>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</si>
  <si>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</si>
  <si>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</si>
  <si>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</si>
  <si>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</si>
  <si>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</si>
  <si>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</si>
  <si>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</si>
  <si>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</si>
  <si>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</si>
  <si>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</si>
  <si>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</si>
  <si>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</si>
  <si>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</si>
  <si>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</si>
  <si>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</si>
  <si>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</si>
  <si>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</si>
  <si>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</si>
  <si>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</si>
  <si>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</si>
  <si>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</si>
  <si>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</si>
  <si>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</si>
  <si>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</si>
  <si>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</si>
  <si>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</si>
  <si>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</si>
  <si>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</si>
  <si>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</si>
  <si>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</si>
  <si>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</si>
  <si>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</si>
  <si>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</si>
  <si>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</si>
  <si>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</si>
  <si>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</si>
  <si>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</si>
  <si>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</si>
  <si>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</si>
  <si>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</si>
  <si>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</si>
  <si>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</si>
  <si>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</si>
  <si>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</si>
  <si>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</si>
  <si>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</si>
  <si>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</si>
  <si>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</si>
  <si>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</si>
  <si>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</si>
  <si>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</si>
  <si>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</si>
  <si>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</si>
  <si>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</si>
  <si>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</si>
  <si>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</si>
  <si>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</si>
  <si>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</si>
  <si>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</si>
  <si>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</si>
  <si>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</si>
  <si>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</si>
  <si>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</si>
  <si>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</si>
  <si>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</si>
  <si>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</si>
  <si>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</si>
  <si>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</si>
  <si>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</si>
  <si>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</si>
  <si>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</si>
  <si>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</si>
  <si>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</si>
  <si>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</si>
  <si>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</si>
  <si>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</si>
  <si>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</si>
  <si>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</si>
  <si>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</si>
  <si>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</si>
  <si>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</si>
  <si>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</si>
  <si>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</si>
  <si>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</si>
  <si>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</si>
  <si>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</si>
  <si>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</si>
  <si>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</si>
  <si>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</si>
  <si>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</si>
  <si>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</si>
  <si>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</si>
  <si>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</si>
  <si>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</si>
  <si>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</si>
  <si>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</si>
  <si>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</si>
  <si>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</si>
  <si>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</si>
  <si>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</si>
  <si>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</si>
  <si>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</si>
  <si>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</si>
  <si>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</si>
  <si>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</si>
  <si>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</si>
  <si>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</si>
  <si>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</si>
  <si>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</si>
  <si>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</si>
  <si>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</si>
  <si>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</si>
  <si>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</si>
  <si>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</si>
  <si>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</si>
  <si>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</si>
  <si>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</si>
  <si>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</si>
  <si>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</si>
  <si>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</si>
  <si>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</si>
  <si>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</si>
  <si>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</si>
  <si>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</si>
  <si>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</si>
  <si>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</si>
  <si>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</si>
  <si>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</si>
  <si>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</si>
  <si>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</si>
  <si>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</si>
  <si>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</si>
  <si>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</si>
  <si>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</si>
  <si>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</si>
  <si>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</si>
  <si>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</si>
  <si>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</si>
  <si>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</si>
  <si>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</si>
  <si>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</si>
  <si>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</si>
  <si>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</si>
  <si>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</si>
  <si>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</si>
  <si>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</si>
  <si>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</si>
  <si>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</si>
  <si>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</si>
  <si>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</si>
  <si>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</si>
  <si>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</si>
  <si>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</si>
  <si>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</si>
  <si>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</si>
  <si>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</si>
  <si>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</si>
  <si>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</si>
  <si>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</si>
  <si>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</si>
  <si>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</si>
  <si>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</si>
  <si>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</si>
  <si>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</si>
  <si>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</si>
  <si>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</si>
  <si>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</si>
  <si>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</si>
  <si>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</si>
  <si>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</si>
  <si>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</si>
  <si>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</si>
  <si>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</si>
  <si>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</si>
  <si>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</si>
  <si>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</si>
  <si>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</si>
  <si>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</si>
  <si>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</si>
  <si>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</si>
  <si>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</si>
  <si>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</si>
  <si>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</si>
  <si>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</si>
  <si>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</si>
  <si>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</si>
  <si>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</si>
  <si>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</si>
  <si>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</si>
  <si>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</si>
  <si>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</si>
  <si>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</si>
  <si>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</si>
  <si>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</si>
  <si>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</si>
  <si>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</si>
  <si>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</si>
  <si>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</si>
  <si>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</si>
  <si>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</si>
  <si>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</si>
  <si>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</si>
  <si>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</si>
  <si>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</si>
  <si>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</si>
  <si>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</si>
  <si>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</si>
  <si>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</si>
  <si>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</si>
  <si>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</si>
  <si>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</si>
  <si>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</si>
  <si>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</si>
  <si>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</si>
  <si>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</si>
  <si>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</si>
  <si>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</si>
  <si>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</si>
  <si>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</si>
  <si>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</si>
  <si>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</si>
  <si>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</si>
  <si>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</si>
  <si>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</si>
  <si>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</si>
  <si>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</si>
  <si>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</si>
  <si>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</si>
  <si>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</si>
  <si>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</si>
  <si>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</si>
  <si>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</si>
  <si>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</si>
  <si>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</si>
  <si>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</si>
  <si>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</si>
  <si>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</si>
  <si>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</si>
  <si>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</si>
  <si>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</si>
  <si>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</si>
  <si>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</si>
  <si>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</si>
  <si>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</si>
  <si>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</si>
  <si>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</si>
  <si>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</si>
  <si>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</si>
  <si>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</si>
  <si>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</si>
  <si>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</si>
  <si>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</si>
  <si>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</si>
  <si>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</si>
  <si>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</si>
  <si>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</si>
  <si>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</si>
  <si>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</si>
  <si>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</si>
  <si>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</si>
  <si>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</si>
  <si>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</si>
  <si>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</si>
  <si>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</si>
  <si>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</si>
  <si>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</si>
  <si>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</si>
  <si>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</si>
  <si>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</si>
  <si>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</si>
  <si>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</si>
  <si>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</si>
  <si>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</si>
  <si>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</si>
  <si>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</si>
  <si>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</si>
  <si>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</si>
  <si>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</si>
  <si>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</si>
  <si>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</si>
  <si>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</si>
  <si>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</si>
  <si>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</si>
  <si>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</si>
  <si>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</si>
  <si>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</si>
  <si>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</si>
  <si>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</si>
  <si>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</si>
  <si>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</si>
  <si>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</si>
  <si>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</si>
  <si>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</si>
  <si>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</si>
  <si>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</si>
  <si>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</si>
  <si>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</si>
  <si>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</si>
  <si>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</si>
  <si>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</si>
  <si>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</si>
  <si>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</si>
  <si>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</si>
  <si>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</si>
  <si>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</si>
  <si>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</si>
  <si>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</si>
  <si>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</si>
  <si>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</si>
  <si>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</si>
  <si>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</si>
  <si>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</si>
  <si>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</si>
  <si>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</si>
  <si>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</si>
  <si>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</si>
  <si>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</si>
  <si>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</si>
  <si>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</si>
  <si>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</si>
  <si>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</si>
  <si>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</si>
  <si>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</si>
  <si>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</si>
  <si>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</si>
  <si>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</si>
  <si>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</si>
  <si>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</si>
  <si>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</si>
  <si>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</si>
  <si>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</si>
  <si>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</si>
  <si>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</si>
  <si>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</si>
  <si>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</si>
  <si>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</si>
  <si>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</si>
  <si>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</si>
  <si>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</si>
  <si>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</si>
  <si>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</si>
  <si>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</si>
  <si>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</si>
  <si>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</si>
  <si>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</si>
  <si>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</si>
  <si>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</si>
  <si>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</si>
  <si>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</si>
  <si>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</si>
  <si>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</si>
  <si>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</si>
  <si>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</si>
  <si>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</si>
  <si>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</si>
  <si>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</si>
  <si>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</si>
  <si>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</si>
  <si>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</si>
  <si>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</si>
  <si>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</si>
  <si>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</si>
  <si>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</si>
  <si>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</si>
  <si>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</si>
  <si>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</si>
  <si>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</si>
  <si>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</si>
  <si>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</si>
  <si>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</si>
  <si>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</si>
  <si>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</si>
  <si>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</si>
  <si>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</si>
  <si>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</si>
  <si>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</si>
  <si>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</si>
  <si>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</si>
  <si>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</si>
  <si>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</si>
  <si>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</si>
  <si>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</si>
  <si>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</si>
  <si>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</si>
  <si>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</si>
  <si>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</si>
  <si>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</si>
  <si>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</si>
  <si>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</si>
  <si>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</si>
  <si>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</si>
  <si>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</si>
  <si>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</si>
  <si>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</si>
  <si>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</si>
  <si>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</si>
  <si>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</si>
  <si>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</si>
  <si>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</si>
  <si>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</si>
  <si>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</si>
  <si>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</si>
  <si>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</si>
  <si>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</si>
  <si>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</si>
  <si>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</si>
  <si>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</si>
  <si>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</si>
  <si>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</si>
  <si>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</si>
  <si>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</si>
  <si>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</si>
  <si>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</si>
  <si>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</si>
  <si>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</si>
  <si>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</si>
  <si>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</si>
  <si>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</si>
  <si>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</si>
  <si>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</si>
  <si>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</si>
  <si>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</si>
  <si>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</si>
  <si>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</si>
  <si>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</si>
  <si>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</si>
  <si>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</si>
  <si>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</si>
  <si>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</si>
  <si>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</si>
  <si>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</si>
  <si>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</si>
  <si>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</si>
  <si>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</si>
  <si>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</si>
  <si>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</si>
  <si>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</si>
  <si>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</si>
  <si>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</si>
  <si>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</si>
  <si>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</si>
  <si>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</si>
  <si>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</si>
  <si>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</si>
  <si>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</si>
  <si>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</si>
  <si>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</si>
  <si>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</si>
  <si>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</si>
  <si>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</si>
  <si>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</si>
  <si>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</si>
  <si>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</si>
  <si>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</si>
  <si>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</si>
  <si>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</si>
  <si>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</si>
  <si>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</si>
  <si>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</si>
  <si>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</si>
  <si>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</si>
  <si>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</si>
  <si>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</si>
  <si>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</si>
  <si>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</si>
  <si>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</si>
  <si>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</si>
  <si>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</si>
  <si>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</si>
  <si>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</si>
  <si>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</si>
  <si>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</si>
  <si>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</si>
  <si>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</si>
  <si>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</si>
  <si>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</si>
  <si>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</si>
  <si>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</si>
  <si>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</si>
  <si>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</si>
  <si>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</si>
  <si>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</si>
  <si>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</si>
  <si>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</si>
  <si>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</si>
  <si>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</si>
  <si>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</si>
  <si>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</si>
  <si>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</si>
  <si>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</si>
  <si>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</si>
  <si>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</si>
  <si>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</si>
  <si>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</si>
  <si>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</si>
  <si>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</si>
  <si>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</si>
  <si>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</si>
  <si>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</si>
  <si>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</si>
  <si>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</si>
  <si>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</si>
  <si>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</si>
  <si>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</si>
  <si>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</si>
  <si>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</si>
  <si>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</si>
  <si>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</si>
  <si>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</si>
  <si>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</si>
  <si>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</si>
  <si>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</si>
  <si>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</si>
  <si>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</si>
  <si>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</si>
  <si>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</si>
  <si>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</si>
  <si>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</si>
  <si>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</si>
  <si>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</si>
  <si>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</si>
  <si>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</si>
  <si>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</si>
  <si>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</si>
  <si>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</si>
  <si>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</si>
  <si>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</si>
  <si>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</si>
  <si>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</si>
  <si>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</si>
  <si>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</si>
  <si>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</si>
  <si>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</si>
  <si>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</si>
  <si>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</si>
  <si>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</si>
  <si>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</si>
  <si>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</si>
  <si>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</si>
  <si>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</si>
  <si>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</si>
  <si>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</si>
  <si>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</si>
  <si>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</si>
  <si>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</si>
  <si>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</si>
  <si>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</si>
  <si>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</si>
  <si>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</si>
  <si>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</si>
  <si>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</si>
  <si>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</si>
  <si>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</si>
  <si>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</si>
  <si>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</si>
  <si>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</si>
  <si>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</si>
  <si>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</si>
  <si>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</si>
  <si>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</si>
  <si>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</si>
  <si>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</si>
  <si>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</si>
  <si>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</si>
  <si>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</si>
  <si>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</si>
  <si>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</si>
  <si>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</si>
  <si>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</si>
  <si>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</si>
  <si>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</si>
  <si>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</si>
  <si>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</si>
  <si>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</si>
  <si>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</si>
  <si>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</si>
  <si>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</si>
  <si>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</si>
  <si>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</si>
  <si>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</si>
  <si>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</si>
  <si>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</si>
  <si>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</si>
  <si>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</si>
  <si>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</si>
  <si>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</si>
  <si>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</si>
  <si>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</si>
  <si>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</si>
  <si>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</si>
  <si>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</si>
  <si>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</si>
  <si>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</si>
  <si>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</si>
  <si>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</si>
  <si>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</si>
  <si>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</si>
  <si>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</si>
  <si>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</si>
  <si>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</si>
  <si>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</si>
  <si>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</si>
  <si>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</si>
  <si>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</si>
  <si>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</si>
  <si>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</si>
  <si>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</si>
  <si>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</si>
  <si>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</si>
  <si>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</si>
  <si>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</si>
  <si>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</si>
  <si>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</si>
  <si>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</si>
  <si>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</si>
  <si>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</si>
  <si>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</si>
  <si>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</si>
  <si>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</si>
  <si>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</si>
  <si>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</si>
  <si>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</si>
  <si>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</si>
  <si>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</si>
  <si>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</si>
  <si>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</si>
  <si>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</si>
  <si>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</si>
  <si>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</si>
  <si>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</si>
  <si>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</si>
  <si>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</si>
  <si>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</si>
  <si>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</si>
  <si>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</si>
  <si>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</si>
  <si>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</si>
  <si>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</si>
  <si>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</si>
  <si>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</si>
  <si>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</si>
  <si>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</si>
  <si>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</si>
  <si>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</si>
  <si>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</si>
  <si>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</si>
  <si>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</si>
  <si>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</si>
  <si>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</si>
  <si>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</si>
  <si>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</si>
  <si>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</si>
  <si>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</si>
  <si>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</si>
  <si>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</si>
  <si>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</si>
  <si>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</si>
  <si>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</si>
  <si>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</si>
  <si>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</si>
  <si>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</si>
  <si>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</si>
  <si>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</si>
  <si>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</si>
  <si>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</si>
  <si>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</si>
  <si>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</si>
  <si>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</si>
  <si>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</si>
  <si>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</si>
  <si>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</si>
  <si>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</si>
  <si>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</si>
  <si>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</si>
  <si>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</si>
  <si>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</si>
  <si>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</si>
  <si>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</si>
  <si>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</si>
  <si>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</si>
  <si>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</si>
  <si>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</si>
  <si>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</si>
  <si>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</si>
  <si>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</si>
  <si>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</si>
  <si>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</si>
  <si>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</si>
  <si>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</si>
  <si>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</si>
  <si>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</si>
  <si>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</si>
  <si>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</si>
  <si>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</si>
  <si>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</si>
  <si>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</si>
  <si>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</si>
  <si>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</si>
  <si>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</si>
  <si>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</si>
  <si>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</si>
  <si>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</si>
  <si>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</si>
  <si>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</si>
  <si>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</si>
  <si>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</si>
  <si>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</si>
  <si>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</si>
  <si>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</si>
  <si>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</si>
  <si>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</si>
  <si>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</si>
  <si>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</si>
  <si>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</si>
  <si>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</si>
  <si>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</si>
  <si>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</si>
  <si>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</si>
  <si>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</si>
  <si>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</si>
  <si>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</si>
  <si>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</si>
  <si>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</si>
  <si>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</si>
  <si>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</si>
  <si>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</si>
  <si>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</si>
  <si>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</si>
  <si>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</si>
  <si>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</si>
  <si>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</si>
  <si>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</si>
  <si>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</si>
  <si>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</si>
  <si>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</si>
  <si>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</si>
  <si>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</si>
  <si>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</si>
  <si>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</si>
  <si>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</si>
  <si>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</si>
  <si>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</si>
  <si>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</si>
  <si>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</si>
  <si>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</si>
  <si>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</si>
  <si>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</si>
  <si>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</si>
  <si>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</si>
  <si>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</si>
  <si>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</si>
  <si>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</si>
  <si>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</si>
  <si>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</si>
  <si>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</si>
  <si>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</si>
  <si>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</si>
  <si>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</si>
  <si>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</si>
  <si>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</si>
  <si>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</si>
  <si>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</si>
  <si>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</si>
  <si>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</si>
  <si>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</si>
  <si>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</si>
  <si>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</si>
  <si>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</si>
  <si>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</si>
  <si>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</si>
  <si>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</si>
  <si>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</si>
  <si>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</si>
  <si>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</si>
  <si>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</si>
  <si>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</si>
  <si>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</si>
  <si>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</si>
  <si>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</si>
  <si>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</si>
  <si>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</si>
  <si>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</si>
  <si>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</si>
  <si>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</si>
  <si>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</si>
  <si>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</si>
  <si>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</si>
  <si>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</si>
  <si>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</si>
  <si>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</si>
  <si>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</si>
  <si>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</si>
  <si>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</si>
  <si>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</si>
  <si>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</si>
  <si>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</si>
  <si>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</si>
  <si>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</si>
  <si>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</si>
  <si>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</si>
  <si>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</si>
  <si>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</si>
  <si>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</si>
  <si>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</si>
  <si>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</si>
  <si>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</si>
  <si>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</si>
  <si>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</si>
  <si>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</si>
  <si>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</si>
  <si>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</si>
  <si>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</si>
  <si>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</si>
  <si>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</si>
  <si>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</si>
  <si>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</si>
  <si>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</si>
  <si>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</si>
  <si>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</si>
  <si>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</si>
  <si>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</si>
  <si>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</si>
  <si>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</si>
  <si>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</si>
  <si>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</si>
  <si>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</si>
  <si>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</si>
  <si>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</si>
  <si>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</si>
  <si>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</si>
  <si>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</si>
  <si>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</si>
  <si>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</si>
  <si>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</si>
  <si>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</si>
  <si>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</si>
  <si>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</si>
  <si>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</si>
  <si>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</si>
  <si>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</si>
  <si>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</si>
  <si>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</si>
  <si>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</si>
  <si>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</si>
  <si>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</si>
  <si>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</si>
  <si>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</si>
  <si>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</si>
  <si>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</si>
  <si>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</si>
  <si>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</si>
  <si>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</si>
  <si>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</si>
  <si>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</si>
  <si>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</si>
  <si>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</si>
  <si>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</si>
  <si>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</si>
  <si>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</si>
  <si>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</si>
  <si>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</si>
  <si>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</si>
  <si>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</si>
  <si>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</si>
  <si>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</si>
  <si>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</si>
  <si>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</si>
  <si>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</si>
  <si>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</si>
  <si>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</si>
  <si>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</si>
  <si>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</si>
  <si>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</si>
  <si>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</si>
  <si>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</si>
  <si>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</si>
  <si>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</si>
  <si>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</si>
  <si>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</si>
  <si>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</si>
  <si>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</si>
  <si>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</si>
  <si>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</si>
  <si>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</si>
  <si>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</si>
  <si>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</si>
  <si>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</si>
  <si>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</si>
  <si>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</si>
  <si>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</si>
  <si>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</si>
  <si>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</si>
  <si>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</si>
  <si>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</si>
  <si>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</si>
  <si>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</si>
  <si>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</si>
  <si>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</si>
  <si>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</si>
  <si>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</si>
  <si>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</si>
  <si>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</si>
  <si>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</si>
  <si>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</si>
  <si>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</si>
  <si>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</si>
  <si>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</si>
  <si>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</si>
  <si>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</si>
  <si>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</si>
  <si>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</si>
  <si>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</si>
  <si>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</si>
  <si>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</si>
  <si>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</si>
  <si>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</si>
  <si>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</si>
  <si>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</si>
  <si>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</si>
  <si>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</si>
  <si>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</si>
  <si>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</si>
  <si>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</si>
  <si>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</si>
  <si>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</si>
  <si>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</si>
  <si>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</si>
  <si>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</si>
  <si>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</si>
  <si>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</si>
  <si>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</si>
  <si>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</si>
  <si>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</si>
  <si>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</si>
  <si>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</si>
  <si>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</si>
  <si>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</si>
  <si>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</si>
  <si>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</si>
  <si>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</si>
  <si>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</si>
  <si>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</si>
  <si>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</si>
  <si>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</si>
  <si>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</si>
  <si>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</si>
  <si>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</si>
  <si>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</si>
  <si>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</si>
  <si>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</si>
  <si>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</si>
  <si>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</si>
  <si>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</si>
  <si>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</si>
  <si>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</si>
  <si>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</si>
  <si>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</si>
  <si>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</si>
  <si>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</si>
  <si>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</si>
  <si>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</si>
  <si>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</si>
  <si>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</si>
  <si>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</si>
  <si>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</si>
  <si>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</si>
  <si>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</si>
  <si>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</si>
  <si>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</si>
  <si>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</si>
  <si>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</si>
  <si>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</si>
  <si>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</si>
  <si>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</si>
  <si>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</si>
  <si>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</si>
  <si>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</si>
  <si>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</si>
  <si>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</si>
  <si>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</si>
  <si>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</si>
  <si>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</si>
  <si>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</si>
  <si>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</si>
  <si>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</si>
  <si>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</si>
  <si>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</si>
  <si>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</si>
  <si>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</si>
  <si>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</si>
  <si>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</si>
  <si>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</si>
  <si>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</si>
  <si>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</si>
  <si>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</si>
  <si>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</si>
  <si>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</si>
  <si>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</si>
  <si>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</si>
  <si>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</si>
  <si>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</si>
  <si>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</si>
  <si>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</si>
  <si>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</si>
  <si>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</si>
  <si>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</si>
  <si>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</si>
  <si>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</si>
  <si>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</si>
  <si>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</si>
  <si>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</si>
  <si>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</si>
  <si>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</si>
  <si>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</si>
  <si>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</si>
  <si>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</si>
  <si>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</si>
  <si>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</si>
  <si>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</si>
  <si>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</si>
  <si>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</si>
  <si>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</si>
  <si>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</si>
  <si>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</si>
  <si>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</si>
  <si>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</si>
  <si>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</si>
  <si>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</si>
  <si>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</si>
  <si>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</si>
  <si>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</si>
  <si>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</si>
  <si>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</si>
  <si>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</si>
  <si>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</si>
  <si>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</si>
  <si>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</si>
  <si>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</si>
  <si>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</si>
  <si>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</si>
  <si>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</si>
  <si>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</si>
  <si>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</si>
  <si>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</si>
  <si>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</si>
  <si>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</si>
  <si>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</si>
  <si>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</si>
  <si>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</si>
  <si>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</si>
  <si>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</si>
  <si>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</si>
  <si>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</si>
  <si>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</si>
  <si>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</si>
  <si>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</si>
  <si>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</si>
  <si>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</si>
  <si>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</si>
  <si>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</si>
  <si>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</si>
  <si>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</si>
  <si>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</si>
  <si>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</si>
  <si>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</si>
  <si>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</si>
  <si>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</si>
  <si>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</si>
  <si>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</si>
  <si>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</si>
  <si>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</si>
  <si>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</si>
  <si>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</si>
  <si>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</si>
  <si>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</si>
  <si>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</si>
  <si>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</si>
  <si>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</si>
  <si>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</si>
  <si>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</si>
  <si>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</si>
  <si>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</si>
  <si>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</si>
  <si>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</si>
  <si>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</si>
  <si>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</si>
  <si>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</si>
  <si>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</si>
  <si>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</si>
  <si>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</si>
  <si>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</si>
  <si>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</si>
  <si>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</si>
  <si>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</si>
  <si>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</si>
  <si>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</si>
  <si>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</si>
  <si>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</si>
  <si>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</si>
  <si>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</si>
  <si>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</si>
  <si>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</si>
  <si>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</si>
  <si>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</si>
  <si>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</si>
  <si>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</si>
  <si>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</si>
  <si>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</si>
  <si>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</si>
  <si>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</si>
  <si>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</si>
  <si>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</si>
  <si>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</si>
  <si>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</si>
  <si>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</si>
  <si>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</si>
  <si>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</si>
  <si>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</si>
  <si>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</si>
  <si>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</si>
  <si>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</si>
  <si>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</si>
  <si>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</si>
  <si>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</si>
  <si>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</si>
  <si>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</si>
  <si>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</si>
  <si>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</si>
  <si>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</si>
  <si>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</si>
  <si>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</si>
  <si>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</si>
  <si>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</si>
  <si>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</si>
  <si>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</si>
  <si>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</si>
  <si>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</si>
  <si>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</si>
  <si>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</si>
  <si>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</si>
  <si>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</si>
  <si>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</si>
  <si>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</si>
  <si>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</si>
  <si>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</si>
  <si>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</si>
  <si>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</si>
  <si>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</si>
  <si>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</si>
  <si>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</si>
  <si>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</si>
  <si>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</si>
  <si>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</si>
  <si>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</si>
  <si>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</si>
  <si>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</si>
  <si>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</si>
  <si>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</si>
  <si>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</si>
  <si>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</si>
  <si>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</si>
  <si>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</si>
  <si>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</si>
  <si>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</si>
  <si>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</si>
  <si>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</si>
  <si>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</si>
  <si>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</si>
  <si>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</si>
  <si>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</si>
  <si>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</si>
  <si>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</si>
  <si>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</si>
  <si>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</si>
  <si>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</si>
  <si>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</si>
  <si>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</si>
  <si>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</si>
  <si>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</si>
  <si>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</si>
  <si>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</si>
  <si>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</si>
  <si>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</si>
  <si>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</si>
  <si>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</si>
  <si>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</si>
  <si>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</si>
  <si>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</si>
  <si>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</si>
  <si>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</si>
  <si>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</si>
  <si>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</si>
  <si>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</si>
  <si>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</si>
  <si>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</si>
  <si>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</si>
  <si>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</si>
  <si>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</si>
  <si>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</si>
  <si>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</si>
  <si>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</si>
  <si>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</si>
  <si>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</si>
  <si>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</si>
  <si>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</si>
  <si>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</si>
  <si>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</si>
  <si>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</si>
  <si>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</si>
  <si>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</si>
  <si>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</si>
  <si>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</si>
  <si>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</si>
  <si>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</si>
  <si>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</si>
  <si>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</si>
  <si>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</si>
  <si>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</si>
  <si>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</si>
  <si>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</si>
  <si>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</si>
  <si>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</si>
  <si>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</si>
  <si>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</si>
  <si>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</si>
  <si>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</si>
  <si>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</si>
  <si>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</si>
  <si>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</si>
  <si>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</si>
  <si>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</si>
  <si>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</si>
  <si>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</si>
  <si>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</si>
  <si>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</si>
  <si>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</si>
  <si>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</si>
  <si>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</si>
  <si>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</si>
  <si>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</si>
  <si>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</si>
  <si>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</si>
  <si>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</si>
  <si>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</si>
  <si>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</si>
  <si>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</si>
  <si>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</si>
  <si>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</si>
  <si>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</si>
  <si>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</si>
  <si>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</si>
  <si>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</si>
  <si>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</si>
  <si>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</si>
  <si>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</si>
  <si>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</si>
  <si>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</si>
  <si>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</si>
  <si>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</si>
  <si>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</si>
  <si>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</si>
  <si>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</si>
  <si>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</si>
  <si>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</si>
  <si>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</si>
  <si>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</si>
  <si>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</si>
  <si>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</si>
  <si>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</si>
  <si>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</si>
  <si>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</si>
  <si>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</si>
  <si>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</si>
  <si>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</si>
  <si>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</si>
  <si>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</si>
  <si>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</si>
  <si>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</si>
  <si>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</si>
  <si>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</si>
  <si>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</si>
  <si>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</si>
  <si>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</si>
  <si>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</si>
  <si>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</si>
  <si>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</si>
  <si>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</si>
  <si>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</si>
  <si>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</si>
  <si>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</si>
  <si>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</si>
  <si>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</si>
  <si>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</si>
  <si>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</si>
  <si>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</si>
  <si>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</si>
  <si>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</si>
  <si>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</si>
  <si>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</si>
  <si>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</si>
  <si>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</si>
  <si>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</si>
  <si>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</si>
  <si>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</si>
  <si>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</si>
  <si>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</si>
  <si>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</si>
  <si>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</si>
  <si>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</si>
  <si>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</si>
  <si>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</si>
  <si>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</si>
  <si>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</si>
  <si>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</si>
  <si>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</si>
  <si>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</si>
  <si>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</si>
  <si>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</si>
  <si>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</si>
  <si>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</si>
  <si>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</si>
  <si>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</si>
  <si>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</si>
  <si>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</si>
  <si>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</si>
  <si>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</si>
  <si>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</si>
  <si>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</si>
  <si>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</si>
  <si>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</si>
  <si>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</si>
  <si>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</si>
  <si>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</si>
  <si>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</si>
  <si>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</si>
  <si>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</si>
  <si>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</si>
  <si>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</si>
  <si>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</si>
  <si>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</si>
  <si>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</si>
  <si>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</si>
  <si>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</si>
  <si>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</si>
  <si>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</si>
  <si>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</si>
  <si>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</si>
  <si>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</si>
  <si>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</si>
  <si>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</si>
  <si>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</si>
  <si>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</si>
  <si>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</si>
  <si>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</si>
  <si>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</si>
  <si>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</si>
  <si>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</si>
  <si>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</si>
  <si>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</si>
  <si>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</si>
  <si>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</si>
  <si>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</si>
  <si>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</si>
  <si>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</si>
  <si>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</si>
  <si>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</si>
  <si>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</si>
  <si>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</si>
  <si>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</si>
  <si>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</si>
  <si>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</si>
  <si>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</si>
  <si>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</si>
  <si>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</si>
  <si>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</si>
  <si>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</si>
  <si>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</si>
  <si>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</si>
  <si>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</si>
  <si>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</si>
  <si>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</si>
  <si>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</si>
  <si>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</si>
  <si>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</si>
  <si>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</si>
  <si>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</si>
  <si>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</si>
  <si>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</si>
  <si>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</si>
  <si>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</si>
  <si>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</si>
  <si>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</si>
  <si>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</si>
  <si>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</si>
  <si>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</si>
  <si>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</si>
  <si>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</si>
  <si>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</si>
  <si>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</si>
  <si>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</si>
  <si>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</si>
  <si>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</si>
  <si>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</si>
  <si>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</si>
  <si>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</si>
  <si>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</si>
  <si>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</si>
  <si>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</si>
  <si>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</si>
  <si>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</si>
  <si>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</si>
  <si>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</si>
  <si>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</si>
  <si>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</si>
  <si>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</si>
  <si>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</si>
  <si>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</si>
  <si>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</si>
  <si>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</si>
  <si>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</si>
  <si>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</si>
  <si>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</si>
  <si>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</si>
  <si>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</si>
  <si>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</si>
  <si>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</si>
  <si>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</si>
  <si>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</si>
  <si>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</si>
  <si>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</si>
  <si>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</si>
  <si>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</si>
  <si>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</si>
  <si>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</si>
  <si>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</si>
  <si>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</si>
  <si>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</si>
  <si>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</si>
  <si>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</si>
  <si>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</si>
  <si>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</si>
  <si>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</si>
  <si>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</si>
  <si>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</si>
  <si>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</si>
  <si>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</si>
  <si>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</si>
  <si>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</si>
  <si>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</si>
  <si>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</si>
  <si>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</si>
  <si>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</si>
  <si>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</si>
  <si>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</si>
  <si>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</si>
  <si>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</si>
  <si>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</si>
  <si>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</si>
  <si>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</si>
  <si>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</si>
  <si>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</si>
  <si>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</si>
  <si>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</si>
  <si>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</si>
  <si>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</si>
  <si>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</si>
  <si>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</si>
  <si>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</si>
  <si>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</si>
  <si>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</si>
  <si>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</si>
  <si>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</si>
  <si>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</si>
  <si>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</si>
  <si>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</si>
  <si>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</si>
  <si>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</si>
  <si>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</si>
  <si>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</si>
  <si>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</si>
  <si>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</si>
  <si>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</si>
  <si>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</si>
  <si>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</si>
  <si>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</si>
  <si>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</si>
  <si>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</si>
  <si>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</si>
  <si>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</si>
  <si>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</si>
  <si>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</si>
  <si>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</si>
  <si>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</si>
  <si>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</si>
  <si>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</si>
  <si>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</si>
  <si>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</si>
  <si>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</si>
  <si>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</si>
  <si>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</si>
  <si>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</si>
  <si>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</si>
  <si>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</si>
  <si>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</si>
  <si>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</si>
  <si>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</si>
  <si>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</si>
  <si>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</si>
  <si>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</si>
  <si>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</si>
  <si>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</si>
  <si>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</si>
  <si>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</si>
  <si>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</si>
  <si>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</si>
  <si>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</si>
  <si>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</si>
  <si>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</si>
  <si>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</si>
  <si>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</si>
  <si>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</si>
  <si>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</si>
  <si>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</si>
  <si>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</si>
  <si>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</si>
  <si>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</si>
  <si>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</si>
  <si>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</si>
  <si>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</si>
  <si>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</si>
  <si>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</si>
  <si>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</si>
  <si>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</si>
  <si>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</si>
  <si>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</si>
  <si>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</si>
  <si>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</si>
  <si>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</si>
  <si>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</si>
  <si>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</si>
  <si>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</si>
  <si>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</si>
  <si>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</si>
  <si>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</si>
  <si>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</si>
  <si>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</si>
  <si>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</si>
  <si>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</si>
  <si>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</si>
  <si>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</si>
  <si>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</si>
  <si>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</si>
  <si>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</si>
  <si>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</si>
  <si>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</si>
  <si>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</si>
  <si>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</si>
  <si>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</si>
  <si>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</si>
  <si>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</si>
  <si>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</si>
  <si>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</si>
  <si>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</si>
  <si>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</si>
  <si>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</si>
  <si>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</si>
  <si>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</si>
  <si>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</si>
  <si>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</si>
  <si>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</si>
  <si>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</si>
  <si>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</si>
  <si>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</si>
  <si>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</si>
  <si>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</si>
  <si>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</si>
  <si>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</si>
  <si>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</si>
  <si>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</si>
  <si>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</si>
  <si>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</si>
  <si>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</si>
  <si>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</si>
  <si>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</si>
  <si>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</si>
  <si>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</si>
  <si>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</si>
  <si>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</si>
  <si>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</si>
  <si>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</si>
  <si>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</si>
  <si>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</si>
  <si>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</si>
  <si>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</si>
  <si>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</si>
  <si>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</si>
  <si>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</si>
  <si>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</si>
  <si>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</si>
  <si>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</si>
  <si>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</si>
  <si>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</si>
  <si>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</si>
  <si>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</si>
  <si>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</si>
  <si>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</si>
  <si>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</si>
  <si>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</si>
  <si>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</si>
  <si>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</si>
  <si>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</si>
  <si>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</si>
  <si>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</si>
  <si>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</si>
  <si>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</si>
  <si>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</si>
  <si>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</si>
  <si>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</si>
  <si>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</si>
  <si>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</si>
  <si>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</si>
  <si>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</si>
  <si>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</si>
  <si>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</si>
  <si>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</si>
  <si>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</si>
  <si>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</si>
  <si>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</si>
  <si>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</si>
  <si>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</si>
  <si>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</si>
  <si>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</si>
  <si>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</si>
  <si>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</si>
  <si>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</si>
  <si>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</si>
  <si>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</si>
  <si>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</si>
  <si>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</si>
  <si>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</si>
  <si>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</si>
  <si>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</si>
  <si>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</si>
  <si>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</si>
  <si>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</si>
  <si>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</si>
  <si>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</si>
  <si>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</si>
  <si>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</si>
  <si>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</si>
  <si>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</si>
  <si>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</si>
  <si>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</si>
  <si>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</si>
  <si>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</si>
  <si>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</si>
  <si>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</si>
  <si>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</si>
  <si>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</si>
  <si>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</si>
  <si>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</si>
  <si>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</si>
  <si>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</si>
  <si>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</si>
  <si>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</si>
  <si>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</si>
  <si>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</si>
  <si>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</si>
  <si>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</si>
  <si>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</si>
  <si>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</si>
  <si>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</si>
  <si>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</si>
  <si>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</si>
  <si>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</si>
  <si>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</si>
  <si>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</si>
  <si>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</si>
  <si>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</si>
  <si>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</si>
  <si>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</si>
  <si>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</si>
  <si>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</si>
  <si>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</si>
  <si>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</si>
  <si>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</si>
  <si>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</si>
  <si>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</si>
  <si>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</si>
  <si>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</si>
  <si>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</si>
  <si>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</si>
  <si>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</si>
  <si>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</si>
  <si>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</si>
  <si>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</si>
  <si>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</si>
  <si>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</si>
  <si>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</si>
  <si>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</si>
  <si>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</si>
  <si>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</si>
  <si>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</si>
  <si>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</si>
  <si>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</si>
  <si>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</si>
  <si>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</si>
  <si>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</si>
  <si>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</si>
  <si>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</si>
  <si>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</si>
  <si>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</si>
  <si>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</si>
  <si>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</si>
  <si>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</si>
  <si>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</si>
  <si>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</si>
  <si>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</si>
  <si>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</si>
  <si>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</si>
  <si>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</si>
  <si>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</si>
  <si>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</si>
  <si>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</si>
  <si>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</si>
  <si>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</si>
  <si>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</si>
  <si>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</si>
  <si>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</si>
  <si>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</si>
  <si>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</si>
  <si>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</si>
  <si>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</si>
  <si>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</si>
  <si>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</si>
  <si>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</si>
  <si>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</si>
  <si>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</si>
  <si>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</si>
  <si>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</si>
  <si>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</si>
  <si>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</si>
  <si>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</si>
  <si>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</si>
  <si>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</si>
  <si>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</si>
  <si>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</si>
  <si>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</si>
  <si>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</si>
  <si>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</si>
  <si>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</si>
  <si>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</si>
  <si>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</si>
  <si>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</si>
  <si>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</si>
  <si>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</si>
  <si>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</si>
  <si>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</si>
  <si>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</si>
  <si>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</si>
  <si>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</si>
  <si>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</si>
  <si>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</si>
  <si>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</si>
  <si>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</si>
  <si>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</si>
  <si>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</si>
  <si>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</si>
  <si>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</si>
  <si>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</si>
  <si>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</si>
  <si>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</si>
  <si>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</si>
  <si>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</si>
  <si>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</si>
  <si>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</si>
  <si>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</si>
  <si>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</si>
  <si>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</si>
  <si>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</si>
  <si>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</si>
  <si>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</si>
  <si>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</si>
  <si>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</si>
  <si>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</si>
  <si>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</si>
  <si>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</si>
  <si>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</si>
  <si>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</si>
  <si>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</si>
  <si>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</si>
  <si>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</si>
  <si>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</si>
  <si>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</si>
  <si>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</si>
  <si>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</si>
  <si>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</si>
  <si>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</si>
  <si>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</si>
  <si>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</si>
  <si>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</si>
  <si>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</si>
  <si>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</si>
  <si>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</si>
  <si>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</si>
  <si>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</si>
  <si>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</si>
  <si>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</si>
  <si>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</si>
  <si>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</si>
  <si>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</si>
  <si>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</si>
  <si>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</si>
  <si>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</si>
  <si>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</si>
  <si>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</si>
  <si>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</si>
  <si>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</si>
  <si>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</si>
  <si>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</si>
  <si>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</si>
  <si>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</si>
  <si>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</si>
  <si>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</si>
  <si>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</si>
  <si>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</si>
  <si>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</si>
  <si>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</si>
  <si>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</si>
  <si>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</si>
  <si>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</si>
  <si>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</si>
  <si>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</si>
  <si>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</si>
  <si>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</si>
  <si>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</si>
  <si>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</si>
  <si>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</si>
  <si>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</si>
  <si>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</si>
  <si>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</si>
  <si>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</si>
  <si>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</si>
  <si>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</si>
  <si>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</si>
  <si>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</si>
  <si>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</si>
  <si>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</si>
  <si>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</si>
  <si>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</si>
  <si>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</si>
  <si>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</si>
  <si>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</si>
  <si>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</si>
  <si>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</si>
  <si>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</si>
  <si>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</si>
  <si>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</si>
  <si>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</si>
  <si>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</si>
  <si>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</si>
  <si>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</si>
  <si>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</si>
  <si>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</si>
  <si>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</si>
  <si>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</si>
  <si>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</si>
  <si>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</si>
  <si>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</si>
  <si>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</si>
  <si>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</si>
  <si>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</si>
  <si>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</si>
  <si>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</si>
  <si>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</si>
  <si>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</si>
  <si>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</si>
  <si>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</si>
  <si>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</si>
  <si>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</si>
  <si>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</si>
  <si>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</si>
  <si>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</si>
  <si>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</si>
  <si>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</si>
  <si>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</si>
  <si>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</si>
  <si>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</si>
  <si>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</si>
  <si>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</si>
  <si>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</si>
  <si>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</si>
  <si>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</si>
  <si>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</si>
  <si>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</si>
  <si>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</si>
  <si>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</si>
  <si>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</si>
  <si>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</si>
  <si>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</si>
  <si>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</si>
  <si>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</si>
  <si>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</si>
  <si>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</si>
  <si>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</si>
  <si>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</si>
  <si>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</si>
  <si>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</si>
  <si>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</si>
  <si>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</si>
  <si>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</si>
  <si>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</si>
  <si>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</si>
  <si>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</si>
  <si>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</si>
  <si>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</si>
  <si>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</si>
  <si>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</si>
  <si>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</si>
  <si>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</si>
  <si>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</si>
  <si>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</si>
  <si>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</si>
  <si>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</si>
  <si>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</si>
  <si>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</si>
  <si>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</si>
  <si>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</si>
  <si>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</si>
  <si>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</si>
  <si>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</si>
  <si>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</si>
  <si>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</si>
  <si>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</si>
  <si>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</si>
  <si>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</si>
  <si>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</si>
  <si>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</si>
  <si>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</si>
  <si>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</si>
  <si>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</si>
  <si>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</si>
  <si>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</si>
  <si>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</si>
  <si>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</si>
  <si>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</si>
  <si>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</si>
  <si>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</si>
  <si>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</si>
  <si>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</si>
  <si>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</si>
  <si>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</si>
  <si>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</si>
  <si>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</si>
  <si>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</si>
  <si>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</si>
  <si>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</si>
  <si>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</si>
  <si>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</si>
  <si>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</si>
  <si>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</si>
  <si>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</si>
  <si>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</si>
  <si>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</si>
  <si>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</si>
  <si>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</si>
  <si>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</si>
  <si>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</si>
  <si>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</si>
  <si>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</si>
  <si>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</si>
  <si>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</si>
  <si>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</si>
  <si>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</si>
  <si>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</si>
  <si>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</si>
  <si>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</si>
  <si>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</si>
  <si>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</si>
  <si>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</si>
  <si>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</si>
  <si>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</si>
  <si>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</si>
  <si>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</si>
  <si>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</si>
  <si>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</si>
  <si>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</si>
  <si>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</si>
  <si>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</si>
  <si>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</si>
  <si>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</si>
  <si>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</si>
  <si>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</si>
  <si>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</si>
  <si>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</si>
  <si>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</si>
  <si>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</si>
  <si>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</si>
  <si>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</si>
  <si>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</si>
  <si>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</si>
  <si>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</si>
  <si>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</si>
  <si>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</si>
  <si>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</si>
  <si>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</si>
  <si>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</si>
  <si>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</si>
  <si>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</si>
  <si>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</si>
  <si>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</si>
  <si>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</si>
  <si>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</si>
  <si>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</si>
  <si>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</si>
  <si>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</si>
  <si>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</si>
  <si>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</si>
  <si>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</si>
  <si>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</si>
  <si>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</si>
  <si>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</si>
  <si>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</si>
  <si>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</si>
  <si>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</si>
  <si>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</si>
  <si>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</si>
  <si>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</si>
  <si>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</si>
  <si>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</si>
  <si>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</si>
  <si>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</si>
  <si>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</si>
  <si>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</si>
  <si>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</si>
  <si>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</si>
  <si>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</si>
  <si>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</si>
  <si>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</si>
  <si>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</si>
  <si>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</si>
  <si>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</si>
  <si>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</si>
  <si>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</si>
  <si>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</si>
  <si>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</si>
  <si>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</si>
  <si>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</si>
  <si>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</si>
  <si>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</si>
  <si>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</si>
  <si>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</si>
  <si>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</si>
  <si>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</si>
  <si>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</si>
  <si>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</si>
  <si>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</si>
  <si>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</si>
  <si>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</si>
  <si>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</si>
  <si>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</si>
  <si>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</si>
  <si>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</si>
  <si>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</si>
  <si>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</si>
  <si>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</si>
  <si>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</si>
  <si>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</si>
  <si>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</si>
  <si>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</si>
  <si>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</si>
  <si>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</si>
  <si>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</si>
  <si>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</si>
  <si>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</si>
  <si>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</si>
  <si>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</si>
  <si>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</si>
  <si>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</si>
  <si>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</si>
  <si>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</si>
  <si>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</si>
  <si>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</si>
  <si>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</si>
  <si>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</si>
  <si>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</si>
  <si>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</si>
  <si>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</si>
  <si>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</si>
  <si>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</si>
  <si>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</si>
  <si>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</si>
  <si>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</si>
  <si>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</si>
  <si>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</si>
  <si>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</si>
  <si>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</si>
  <si>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</si>
  <si>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</si>
  <si>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</si>
  <si>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</si>
  <si>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</si>
  <si>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</si>
  <si>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</si>
  <si>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</si>
  <si>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</si>
  <si>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</si>
  <si>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</si>
  <si>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</si>
  <si>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</si>
  <si>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</si>
  <si>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</si>
  <si>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</si>
  <si>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</si>
  <si>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</si>
  <si>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</si>
  <si>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</si>
  <si>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</si>
  <si>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</si>
  <si>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</si>
  <si>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</si>
  <si>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</si>
  <si>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</si>
  <si>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</si>
  <si>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</si>
  <si>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</si>
  <si>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</si>
  <si>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</si>
  <si>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</si>
  <si>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</si>
  <si>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</si>
  <si>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</si>
  <si>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</si>
  <si>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</si>
  <si>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</si>
  <si>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</si>
  <si>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</si>
  <si>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</si>
  <si>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</si>
  <si>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</si>
  <si>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</si>
  <si>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</si>
  <si>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</si>
  <si>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</si>
  <si>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</si>
  <si>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</si>
  <si>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</si>
  <si>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</si>
  <si>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</si>
  <si>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</si>
  <si>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</si>
  <si>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</si>
  <si>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</si>
  <si>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</si>
  <si>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</si>
  <si>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</si>
  <si>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</si>
  <si>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</si>
  <si>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</si>
  <si>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</si>
  <si>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</si>
  <si>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</si>
  <si>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</si>
  <si>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</si>
  <si>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</si>
  <si>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</si>
  <si>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</si>
  <si>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</si>
  <si>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</si>
  <si>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</si>
  <si>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</si>
  <si>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</si>
  <si>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</si>
  <si>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</si>
  <si>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</si>
  <si>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</si>
  <si>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</si>
  <si>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</si>
  <si>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</si>
  <si>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</si>
  <si>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</si>
  <si>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</si>
  <si>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</si>
  <si>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</si>
  <si>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</si>
  <si>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</si>
  <si>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</si>
  <si>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</si>
  <si>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</si>
  <si>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</si>
  <si>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</si>
  <si>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</si>
  <si>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</si>
  <si>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</si>
  <si>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</si>
  <si>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</si>
  <si>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</si>
  <si>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</si>
  <si>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</si>
  <si>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</si>
  <si>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</si>
  <si>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</si>
  <si>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</si>
  <si>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</si>
  <si>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</si>
  <si>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</si>
  <si>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</si>
  <si>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</si>
  <si>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</si>
  <si>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</si>
  <si>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</si>
  <si>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</si>
  <si>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</si>
  <si>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</si>
  <si>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</si>
  <si>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</si>
  <si>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</si>
  <si>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</si>
  <si>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</si>
  <si>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</si>
  <si>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</si>
  <si>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</si>
  <si>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</si>
  <si>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</si>
  <si>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</si>
  <si>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</si>
  <si>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</si>
  <si>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</si>
  <si>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</si>
  <si>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</si>
  <si>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</si>
  <si>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</si>
  <si>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</si>
  <si>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</si>
  <si>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</si>
  <si>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</si>
  <si>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</si>
  <si>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</si>
  <si>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</si>
  <si>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</si>
  <si>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</si>
  <si>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</si>
  <si>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</si>
  <si>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</si>
  <si>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</si>
  <si>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</si>
  <si>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</si>
  <si>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</si>
  <si>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</si>
  <si>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</si>
  <si>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</si>
  <si>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</si>
  <si>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</si>
  <si>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</si>
  <si>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</si>
  <si>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</si>
  <si>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</si>
  <si>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</si>
  <si>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</si>
  <si>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</si>
  <si>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</si>
  <si>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</si>
  <si>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</si>
  <si>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</si>
  <si>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</si>
  <si>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</si>
  <si>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</si>
  <si>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</si>
  <si>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</si>
  <si>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</si>
  <si>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</si>
  <si>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</si>
  <si>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</si>
  <si>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</si>
  <si>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</si>
  <si>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</si>
  <si>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</si>
  <si>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</si>
  <si>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</si>
  <si>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</si>
  <si>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</si>
  <si>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</si>
  <si>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</si>
  <si>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</si>
  <si>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</si>
  <si>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</si>
  <si>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</si>
  <si>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</si>
  <si>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</si>
  <si>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</si>
  <si>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</si>
  <si>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</si>
  <si>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</si>
  <si>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</si>
  <si>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</si>
  <si>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</si>
  <si>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</si>
  <si>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</si>
  <si>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</si>
  <si>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</si>
  <si>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</si>
  <si>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</si>
  <si>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</si>
  <si>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</si>
  <si>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</si>
  <si>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</si>
  <si>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</si>
  <si>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</si>
  <si>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</si>
  <si>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</si>
  <si>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</si>
  <si>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</si>
  <si>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</si>
  <si>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</si>
  <si>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</si>
  <si>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</si>
  <si>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</si>
  <si>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</si>
  <si>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</si>
  <si>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</si>
  <si>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</si>
  <si>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</si>
  <si>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</si>
  <si>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</si>
  <si>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</si>
  <si>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</si>
  <si>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</si>
  <si>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</si>
  <si>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</si>
  <si>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</si>
  <si>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</si>
  <si>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</si>
  <si>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</si>
  <si>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</si>
  <si>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</si>
  <si>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</si>
  <si>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</si>
  <si>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</si>
  <si>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</si>
  <si>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</si>
  <si>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</si>
  <si>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</si>
  <si>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</si>
  <si>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</si>
  <si>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</si>
  <si>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</si>
  <si>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</si>
  <si>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</si>
  <si>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</si>
  <si>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</si>
  <si>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</si>
  <si>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</si>
  <si>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</si>
  <si>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</si>
  <si>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</si>
  <si>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</si>
  <si>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</si>
  <si>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</si>
  <si>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</si>
  <si>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</si>
  <si>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</si>
  <si>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</si>
  <si>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</si>
  <si>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</si>
  <si>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</si>
  <si>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</si>
  <si>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</si>
  <si>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</si>
  <si>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</si>
  <si>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</si>
  <si>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</si>
  <si>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</si>
  <si>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</si>
  <si>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</si>
  <si>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</si>
  <si>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</si>
  <si>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</si>
  <si>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</si>
  <si>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</si>
  <si>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</si>
  <si>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</si>
  <si>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</si>
  <si>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</si>
  <si>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</si>
  <si>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</si>
  <si>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</si>
  <si>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</si>
  <si>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</si>
  <si>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</si>
  <si>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</si>
  <si>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</si>
  <si>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</si>
  <si>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</si>
  <si>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</si>
  <si>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</si>
  <si>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</si>
  <si>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</si>
  <si>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</si>
  <si>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</si>
  <si>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</si>
  <si>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</si>
  <si>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</si>
  <si>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</si>
  <si>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</si>
  <si>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</si>
  <si>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</si>
  <si>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</si>
  <si>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</si>
  <si>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</si>
  <si>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</si>
  <si>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</si>
  <si>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</si>
  <si>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</si>
  <si>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</si>
  <si>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</si>
  <si>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</si>
  <si>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</si>
  <si>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</si>
  <si>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</si>
  <si>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</si>
  <si>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</si>
  <si>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</si>
  <si>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</si>
  <si>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</si>
  <si>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</si>
  <si>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</si>
  <si>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</si>
  <si>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</si>
  <si>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</si>
  <si>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</si>
  <si>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</si>
  <si>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</si>
  <si>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</si>
  <si>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</si>
  <si>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</si>
  <si>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</si>
  <si>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</si>
  <si>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</si>
  <si>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</si>
  <si>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</si>
  <si>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</si>
  <si>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</si>
  <si>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</si>
  <si>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</si>
  <si>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</si>
  <si>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</si>
  <si>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</si>
  <si>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</si>
  <si>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</si>
  <si>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</si>
  <si>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</si>
  <si>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</si>
  <si>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</si>
  <si>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</si>
  <si>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</si>
  <si>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</si>
  <si>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</si>
  <si>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</si>
  <si>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</si>
  <si>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</si>
  <si>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</si>
  <si>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</si>
  <si>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</si>
  <si>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</si>
  <si>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</si>
  <si>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</si>
  <si>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</si>
  <si>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</si>
  <si>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</si>
  <si>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</si>
  <si>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</si>
  <si>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</si>
  <si>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</si>
  <si>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</si>
  <si>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</si>
  <si>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</si>
  <si>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</si>
  <si>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</si>
  <si>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</si>
  <si>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</si>
  <si>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</si>
  <si>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</si>
  <si>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</si>
  <si>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</si>
  <si>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</si>
  <si>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</si>
  <si>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</si>
  <si>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</si>
  <si>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</si>
  <si>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</si>
  <si>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</si>
  <si>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</si>
  <si>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</si>
  <si>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</si>
  <si>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</si>
  <si>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</si>
  <si>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</si>
  <si>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</si>
  <si>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</si>
  <si>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</si>
  <si>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</si>
  <si>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</si>
  <si>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</si>
  <si>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</si>
  <si>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</si>
  <si>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</si>
  <si>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</si>
  <si>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</si>
  <si>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</si>
  <si>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</si>
  <si>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</si>
  <si>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</si>
  <si>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</si>
  <si>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</si>
  <si>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</si>
  <si>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</si>
  <si>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</si>
  <si>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</si>
  <si>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</si>
  <si>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</si>
  <si>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</si>
  <si>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</si>
  <si>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</si>
  <si>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</si>
  <si>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</si>
  <si>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</si>
  <si>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</si>
  <si>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</si>
  <si>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</si>
  <si>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</si>
  <si>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</si>
  <si>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</si>
  <si>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</si>
  <si>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</si>
  <si>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</si>
  <si>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</si>
  <si>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</si>
  <si>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</si>
  <si>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</si>
  <si>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</si>
  <si>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</si>
  <si>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</si>
  <si>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</si>
  <si>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</si>
  <si>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</si>
  <si>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</si>
  <si>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</si>
  <si>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</si>
  <si>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</si>
  <si>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</si>
  <si>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</si>
  <si>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</si>
  <si>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</si>
  <si>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</si>
  <si>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</si>
  <si>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</si>
  <si>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</si>
  <si>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</si>
  <si>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</si>
  <si>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</si>
  <si>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</si>
  <si>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</si>
  <si>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</si>
  <si>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</si>
  <si>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</si>
  <si>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</si>
  <si>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</si>
  <si>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</si>
  <si>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</si>
  <si>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</si>
  <si>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</si>
  <si>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</si>
  <si>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</si>
  <si>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</si>
  <si>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</si>
  <si>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</si>
  <si>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</si>
  <si>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</si>
  <si>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</si>
  <si>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</si>
  <si>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</si>
  <si>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</si>
  <si>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</si>
  <si>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</si>
  <si>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</si>
  <si>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</si>
  <si>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</si>
  <si>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</si>
  <si>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</si>
  <si>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</si>
  <si>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</si>
  <si>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</si>
  <si>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</si>
  <si>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</si>
  <si>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</si>
  <si>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</si>
  <si>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</si>
  <si>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</si>
  <si>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</si>
  <si>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</si>
  <si>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</si>
  <si>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</si>
  <si>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</si>
  <si>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</si>
  <si>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</si>
  <si>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</si>
  <si>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</si>
  <si>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</si>
  <si>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</si>
  <si>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</si>
  <si>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</si>
  <si>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</si>
  <si>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</si>
  <si>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</si>
  <si>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</si>
  <si>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</si>
  <si>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</si>
  <si>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</si>
  <si>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</si>
  <si>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</si>
  <si>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</si>
  <si>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</si>
  <si>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</si>
  <si>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</si>
  <si>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</si>
  <si>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</si>
  <si>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</si>
  <si>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</si>
  <si>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</si>
  <si>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</si>
  <si>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</si>
  <si>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</si>
  <si>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</si>
  <si>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</si>
  <si>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</si>
  <si>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</si>
  <si>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</si>
  <si>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</si>
  <si>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</si>
  <si>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</si>
  <si>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</si>
  <si>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</si>
  <si>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</si>
  <si>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</si>
  <si>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</si>
  <si>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</si>
  <si>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</si>
  <si>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</si>
  <si>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</si>
  <si>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</si>
  <si>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</si>
  <si>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</si>
  <si>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</si>
  <si>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</si>
  <si>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</si>
  <si>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</si>
  <si>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</si>
  <si>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</si>
  <si>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</si>
  <si>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</si>
  <si>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</si>
  <si>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</si>
  <si>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</si>
  <si>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</si>
  <si>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</si>
  <si>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</si>
  <si>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</si>
  <si>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</si>
  <si>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</si>
  <si>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</si>
  <si>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</si>
  <si>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</si>
  <si>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</si>
  <si>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</si>
  <si>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</si>
  <si>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</si>
  <si>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</si>
  <si>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</si>
  <si>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</si>
  <si>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</si>
  <si>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</si>
  <si>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</si>
  <si>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</si>
  <si>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</si>
  <si>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</si>
  <si>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</si>
  <si>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</si>
  <si>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</si>
  <si>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</si>
  <si>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</si>
  <si>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</si>
  <si>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</si>
  <si>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</si>
  <si>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</si>
  <si>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</si>
  <si>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</si>
  <si>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</si>
  <si>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</si>
  <si>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</si>
  <si>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</si>
  <si>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</si>
  <si>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</si>
  <si>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</si>
  <si>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</si>
  <si>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</si>
  <si>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</si>
  <si>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</si>
  <si>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</si>
  <si>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</si>
  <si>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</si>
  <si>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</si>
  <si>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</si>
  <si>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</si>
  <si>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</si>
  <si>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</si>
  <si>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</si>
  <si>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</si>
  <si>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</si>
  <si>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</si>
  <si>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</si>
  <si>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</si>
  <si>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</si>
  <si>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</si>
  <si>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</si>
  <si>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</si>
  <si>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</si>
  <si>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</si>
  <si>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</si>
  <si>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</si>
  <si>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</si>
  <si>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</si>
  <si>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</si>
  <si>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</si>
  <si>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</si>
  <si>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</si>
  <si>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</si>
  <si>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</si>
  <si>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</si>
  <si>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</si>
  <si>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</si>
  <si>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</si>
  <si>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</si>
  <si>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</si>
  <si>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</si>
  <si>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</si>
  <si>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</si>
  <si>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</si>
  <si>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</si>
  <si>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</si>
  <si>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</si>
  <si>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</si>
  <si>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</si>
  <si>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</si>
  <si>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</si>
  <si>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</si>
  <si>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</si>
  <si>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</si>
  <si>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</si>
  <si>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</si>
  <si>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</si>
  <si>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</si>
  <si>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</si>
  <si>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</si>
  <si>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</si>
  <si>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</si>
  <si>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</si>
  <si>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</si>
  <si>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</si>
  <si>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</si>
  <si>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</si>
  <si>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</si>
  <si>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</si>
  <si>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</si>
  <si>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</si>
  <si>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</si>
  <si>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</si>
  <si>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</si>
  <si>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</si>
  <si>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</si>
  <si>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</si>
  <si>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</si>
  <si>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</si>
  <si>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</si>
  <si>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</si>
  <si>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</si>
  <si>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</si>
  <si>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</si>
  <si>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</si>
  <si>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</si>
  <si>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</si>
  <si>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</si>
  <si>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</si>
  <si>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</si>
  <si>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</si>
  <si>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</si>
  <si>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</si>
  <si>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</si>
  <si>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</si>
  <si>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</si>
  <si>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</si>
  <si>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</si>
  <si>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</si>
  <si>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</si>
  <si>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</si>
  <si>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</si>
  <si>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</si>
  <si>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</si>
  <si>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</si>
  <si>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</si>
  <si>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</si>
  <si>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</si>
  <si>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</si>
  <si>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</si>
  <si>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</si>
  <si>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</si>
  <si>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</si>
  <si>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</si>
  <si>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</si>
  <si>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</si>
  <si>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</si>
  <si>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</si>
  <si>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</si>
  <si>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</si>
  <si>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</si>
  <si>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</si>
  <si>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</si>
  <si>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</si>
  <si>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</si>
  <si>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</si>
  <si>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</si>
  <si>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</si>
  <si>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</si>
  <si>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</si>
  <si>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</si>
  <si>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</si>
  <si>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</si>
  <si>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</si>
  <si>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</si>
  <si>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</si>
  <si>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</si>
  <si>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</si>
  <si>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</si>
  <si>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</si>
  <si>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</si>
  <si>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</si>
  <si>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</si>
  <si>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</si>
  <si>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</si>
  <si>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</si>
  <si>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</si>
  <si>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</si>
  <si>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</si>
  <si>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</si>
  <si>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</si>
  <si>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</si>
  <si>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</si>
  <si>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</si>
  <si>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</si>
  <si>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</si>
  <si>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</si>
  <si>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</si>
  <si>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</si>
  <si>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</si>
  <si>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</si>
  <si>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</si>
  <si>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</si>
  <si>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</si>
  <si>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</si>
  <si>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</si>
  <si>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</si>
  <si>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</si>
  <si>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</si>
  <si>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</si>
  <si>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</si>
  <si>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</si>
  <si>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</si>
  <si>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</si>
  <si>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</si>
  <si>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</si>
  <si>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</si>
  <si>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</si>
  <si>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</si>
  <si>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</si>
  <si>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</si>
  <si>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</si>
  <si>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</si>
  <si>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</si>
  <si>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</si>
  <si>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</si>
  <si>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</si>
  <si>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</si>
  <si>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</si>
  <si>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</si>
  <si>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</si>
  <si>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</si>
  <si>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</si>
  <si>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</si>
  <si>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</si>
  <si>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</si>
  <si>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</si>
  <si>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</si>
  <si>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</si>
  <si>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</si>
  <si>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</si>
  <si>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</si>
  <si>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</si>
  <si>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</si>
  <si>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</si>
  <si>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</si>
  <si>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</si>
  <si>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</si>
  <si>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</si>
  <si>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</si>
  <si>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</si>
  <si>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</si>
  <si>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</si>
  <si>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</si>
  <si>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</si>
  <si>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</si>
  <si>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</si>
  <si>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</si>
  <si>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</si>
  <si>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</si>
  <si>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</si>
  <si>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</si>
  <si>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</si>
  <si>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</si>
  <si>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</si>
  <si>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</si>
  <si>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</si>
  <si>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</si>
  <si>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</si>
  <si>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</si>
  <si>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</si>
  <si>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</si>
  <si>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</si>
  <si>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</si>
  <si>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</si>
  <si>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</si>
  <si>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</si>
  <si>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</si>
  <si>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</si>
  <si>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</si>
  <si>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</si>
  <si>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</si>
  <si>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</si>
  <si>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</si>
  <si>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</si>
  <si>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</si>
  <si>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</si>
  <si>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</si>
  <si>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</si>
  <si>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</si>
  <si>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</si>
  <si>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</si>
  <si>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</si>
  <si>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</si>
  <si>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</si>
  <si>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</si>
  <si>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</si>
  <si>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</si>
  <si>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</si>
  <si>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</si>
  <si>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</si>
  <si>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</si>
  <si>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</si>
  <si>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</si>
  <si>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</si>
  <si>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</si>
  <si>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</si>
  <si>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</si>
  <si>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</si>
  <si>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</si>
  <si>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</si>
  <si>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</si>
  <si>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</si>
  <si>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</si>
  <si>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</si>
  <si>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</si>
  <si>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</si>
  <si>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</si>
  <si>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</si>
  <si>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</si>
  <si>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</si>
  <si>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</si>
  <si>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</si>
  <si>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</si>
  <si>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</si>
  <si>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</si>
  <si>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</si>
  <si>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</si>
  <si>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</si>
  <si>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</si>
  <si>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</si>
  <si>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</si>
  <si>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</si>
  <si>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</si>
  <si>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</si>
  <si>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</si>
  <si>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</si>
  <si>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</si>
  <si>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</si>
  <si>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</si>
  <si>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</si>
  <si>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</si>
  <si>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</si>
  <si>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</si>
  <si>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</si>
  <si>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</si>
  <si>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</si>
  <si>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</si>
  <si>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</si>
  <si>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</si>
  <si>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</si>
  <si>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</si>
  <si>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</si>
  <si>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</si>
  <si>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</si>
  <si>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</si>
  <si>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</si>
  <si>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</si>
  <si>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</si>
  <si>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</si>
  <si>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</si>
  <si>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</si>
  <si>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</si>
  <si>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</si>
  <si>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</si>
  <si>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</si>
  <si>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</si>
  <si>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</si>
  <si>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</si>
  <si>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</si>
  <si>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</si>
  <si>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</si>
  <si>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</si>
  <si>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</si>
  <si>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</si>
  <si>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</si>
  <si>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</si>
  <si>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</si>
  <si>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</si>
  <si>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</si>
  <si>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</si>
  <si>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</si>
  <si>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</si>
  <si>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</si>
  <si>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</si>
  <si>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</si>
  <si>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</si>
  <si>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</si>
  <si>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</si>
  <si>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</si>
  <si>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</si>
  <si>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</si>
  <si>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</si>
  <si>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</si>
  <si>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</si>
  <si>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</si>
  <si>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</si>
  <si>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</si>
  <si>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</si>
  <si>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</si>
  <si>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</si>
  <si>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</si>
  <si>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</si>
  <si>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</si>
  <si>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</si>
  <si>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</si>
  <si>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</si>
  <si>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</si>
  <si>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</si>
  <si>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</si>
  <si>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</si>
  <si>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</si>
  <si>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</si>
  <si>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</si>
  <si>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</si>
  <si>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</si>
  <si>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</si>
  <si>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</si>
  <si>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</si>
  <si>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</si>
  <si>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</si>
  <si>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</si>
  <si>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</si>
  <si>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</si>
  <si>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</si>
  <si>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</si>
  <si>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</si>
  <si>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</si>
  <si>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</si>
  <si>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</si>
  <si>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</si>
  <si>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</si>
  <si>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</si>
  <si>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</si>
  <si>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</si>
  <si>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</si>
  <si>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</si>
  <si>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</si>
  <si>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</si>
  <si>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</si>
  <si>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</si>
  <si>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</si>
  <si>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</si>
  <si>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</si>
  <si>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</si>
  <si>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</si>
  <si>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</si>
  <si>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</si>
  <si>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</si>
  <si>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</si>
  <si>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</si>
  <si>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</si>
  <si>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</si>
  <si>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</si>
  <si>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</si>
  <si>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</si>
  <si>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</si>
  <si>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</si>
  <si>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</si>
  <si>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</si>
  <si>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</si>
  <si>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</si>
  <si>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</si>
  <si>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</si>
  <si>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</si>
  <si>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</si>
  <si>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</si>
  <si>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</si>
  <si>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</si>
  <si>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</si>
  <si>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</si>
  <si>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</si>
  <si>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</si>
  <si>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</si>
  <si>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</si>
  <si>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</si>
  <si>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</si>
  <si>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</si>
  <si>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</si>
  <si>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</si>
  <si>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</si>
  <si>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</si>
  <si>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</si>
  <si>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</si>
  <si>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</si>
  <si>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</si>
  <si>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</si>
  <si>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</si>
  <si>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</si>
  <si>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</si>
  <si>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</si>
  <si>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</si>
  <si>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</si>
  <si>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</si>
  <si>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</si>
  <si>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</si>
  <si>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</si>
  <si>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</si>
  <si>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</si>
  <si>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</si>
  <si>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</si>
  <si>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</si>
  <si>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</si>
  <si>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</si>
  <si>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</si>
  <si>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</si>
  <si>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</si>
  <si>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</si>
  <si>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</si>
  <si>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</si>
  <si>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</si>
  <si>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</si>
  <si>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</si>
  <si>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</si>
  <si>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</si>
  <si>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</si>
  <si>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</si>
  <si>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</si>
  <si>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</si>
  <si>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</si>
  <si>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</si>
  <si>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</si>
  <si>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</si>
  <si>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</si>
  <si>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</si>
  <si>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</si>
  <si>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</si>
  <si>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</si>
  <si>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</si>
  <si>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</si>
  <si>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</si>
  <si>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</si>
  <si>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</si>
  <si>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</si>
  <si>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</si>
  <si>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</si>
  <si>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</si>
  <si>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</si>
  <si>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</si>
  <si>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</si>
  <si>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</si>
  <si>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</si>
  <si>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</si>
  <si>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</si>
  <si>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</si>
  <si>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</si>
  <si>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</si>
  <si>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</si>
  <si>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</si>
  <si>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</si>
  <si>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</si>
  <si>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</si>
  <si>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</si>
  <si>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</si>
  <si>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</si>
  <si>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</si>
  <si>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</si>
  <si>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</si>
  <si>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</si>
  <si>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</si>
  <si>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</si>
  <si>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</si>
  <si>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</si>
  <si>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</si>
  <si>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</si>
  <si>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</si>
  <si>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</si>
  <si>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</si>
  <si>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</si>
  <si>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</si>
  <si>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</si>
  <si>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</si>
  <si>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</si>
  <si>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</si>
  <si>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</si>
  <si>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</si>
  <si>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</si>
  <si>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</si>
  <si>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</si>
  <si>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</si>
  <si>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</si>
  <si>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</si>
  <si>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</si>
  <si>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</si>
  <si>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</si>
  <si>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</si>
  <si>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</si>
  <si>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</si>
  <si>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</si>
  <si>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</si>
  <si>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</si>
  <si>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</si>
  <si>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</si>
  <si>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</si>
  <si>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</si>
  <si>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</si>
  <si>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</si>
  <si>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</si>
  <si>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</si>
  <si>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</si>
  <si>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</si>
  <si>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</si>
  <si>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</si>
  <si>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</si>
  <si>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</si>
  <si>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</si>
  <si>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</si>
  <si>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</si>
  <si>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</si>
  <si>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</si>
  <si>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</si>
  <si>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</si>
  <si>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</si>
  <si>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</si>
  <si>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</si>
  <si>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</si>
  <si>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</si>
  <si>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</si>
  <si>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</si>
  <si>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</si>
  <si>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</si>
  <si>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</si>
  <si>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</si>
  <si>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</si>
  <si>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</si>
  <si>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</si>
  <si>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</si>
  <si>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</si>
  <si>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</si>
  <si>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</si>
  <si>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</si>
  <si>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</si>
  <si>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</si>
  <si>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</si>
  <si>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</si>
  <si>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</si>
  <si>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</si>
  <si>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</si>
  <si>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</si>
  <si>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</si>
  <si>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</si>
  <si>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</si>
  <si>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</si>
  <si>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</si>
  <si>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</si>
  <si>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</si>
  <si>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</si>
  <si>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</si>
  <si>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</si>
  <si>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</si>
  <si>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</si>
  <si>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</si>
  <si>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</si>
  <si>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</si>
  <si>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</si>
  <si>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</si>
  <si>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</si>
  <si>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</si>
  <si>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</si>
  <si>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</si>
  <si>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</si>
  <si>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</si>
  <si>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</si>
  <si>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</si>
  <si>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</si>
  <si>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</si>
  <si>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</si>
  <si>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</si>
  <si>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</si>
  <si>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</si>
  <si>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</si>
  <si>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</si>
  <si>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</si>
  <si>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</si>
  <si>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</si>
  <si>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</si>
  <si>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</si>
  <si>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</si>
  <si>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</si>
  <si>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</si>
  <si>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</si>
  <si>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</si>
  <si>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</si>
  <si>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</si>
  <si>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</si>
  <si>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</si>
  <si>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</si>
  <si>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</si>
  <si>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</si>
  <si>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</si>
  <si>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</si>
  <si>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</si>
  <si>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</si>
  <si>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</si>
  <si>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</si>
  <si>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</si>
  <si>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</si>
  <si>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</si>
  <si>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</si>
  <si>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</si>
  <si>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</si>
  <si>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</si>
  <si>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</si>
  <si>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</si>
  <si>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</si>
  <si>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</si>
  <si>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</si>
  <si>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</si>
  <si>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</si>
  <si>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</si>
  <si>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</si>
  <si>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</si>
  <si>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</si>
  <si>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</si>
  <si>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</si>
  <si>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</si>
  <si>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</si>
  <si>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</si>
  <si>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</si>
  <si>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</si>
  <si>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</si>
  <si>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</si>
  <si>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</si>
  <si>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</si>
  <si>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</si>
  <si>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</si>
  <si>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</si>
  <si>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</si>
  <si>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</si>
  <si>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</si>
  <si>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</si>
  <si>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</si>
  <si>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</si>
  <si>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</si>
  <si>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</si>
  <si>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</si>
  <si>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</si>
  <si>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</si>
  <si>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</si>
  <si>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</si>
  <si>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</si>
  <si>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</si>
  <si>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</si>
  <si>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</si>
  <si>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</si>
  <si>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</si>
  <si>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</si>
  <si>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</si>
  <si>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</si>
  <si>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</si>
  <si>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</si>
  <si>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</si>
  <si>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</si>
  <si>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</si>
  <si>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</si>
  <si>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</si>
  <si>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</si>
  <si>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</si>
  <si>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</si>
  <si>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</si>
  <si>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</si>
  <si>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</si>
  <si>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</si>
  <si>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</si>
  <si>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</si>
  <si>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</si>
  <si>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</si>
  <si>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</si>
  <si>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</si>
  <si>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</si>
  <si>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</si>
  <si>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</si>
  <si>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</si>
  <si>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</si>
  <si>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</si>
  <si>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</si>
  <si>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</si>
  <si>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</si>
  <si>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</si>
  <si>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</si>
  <si>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</si>
  <si>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</si>
  <si>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</si>
  <si>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</si>
  <si>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</si>
  <si>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</si>
  <si>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</si>
  <si>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</si>
  <si>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</si>
  <si>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</si>
  <si>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</si>
  <si>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</si>
  <si>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</si>
  <si>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</si>
  <si>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</si>
  <si>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</si>
  <si>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</si>
  <si>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</si>
  <si>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</si>
  <si>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</si>
  <si>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</si>
  <si>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</si>
  <si>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</si>
  <si>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</si>
  <si>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</si>
  <si>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</si>
  <si>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</si>
  <si>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</si>
  <si>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</si>
  <si>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</si>
  <si>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</si>
  <si>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</si>
  <si>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</si>
  <si>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</si>
  <si>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</si>
  <si>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</si>
  <si>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</si>
  <si>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</si>
  <si>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</si>
  <si>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</si>
  <si>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</si>
  <si>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</si>
  <si>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</si>
  <si>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</si>
  <si>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</si>
  <si>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</si>
  <si>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</si>
  <si>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</si>
  <si>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</si>
  <si>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</si>
  <si>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</si>
  <si>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</si>
  <si>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</si>
  <si>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</si>
  <si>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</si>
  <si>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</si>
  <si>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</si>
  <si>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</si>
  <si>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</si>
  <si>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</si>
  <si>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</si>
  <si>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</si>
  <si>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</si>
  <si>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</si>
  <si>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</si>
  <si>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</si>
  <si>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</si>
  <si>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</si>
  <si>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</si>
  <si>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</si>
  <si>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</si>
  <si>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</si>
  <si>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</si>
  <si>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</si>
  <si>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</si>
  <si>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</si>
  <si>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</si>
  <si>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</si>
  <si>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</si>
  <si>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</si>
  <si>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</si>
  <si>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</si>
  <si>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</si>
  <si>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</si>
  <si>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</si>
  <si>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</si>
  <si>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</si>
  <si>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</si>
  <si>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</si>
  <si>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</si>
  <si>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</si>
  <si>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</si>
  <si>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</si>
  <si>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</si>
  <si>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</si>
  <si>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</si>
  <si>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</si>
  <si>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</si>
  <si>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</si>
  <si>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</si>
  <si>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</si>
  <si>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</si>
  <si>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</si>
  <si>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</si>
  <si>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</si>
  <si>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</si>
  <si>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</si>
  <si>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</si>
  <si>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</si>
  <si>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</si>
  <si>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</si>
  <si>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</si>
  <si>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</si>
  <si>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</si>
  <si>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</si>
  <si>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</si>
  <si>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</si>
  <si>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</si>
  <si>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</si>
  <si>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</si>
  <si>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</si>
  <si>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</si>
  <si>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</si>
  <si>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</si>
  <si>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</si>
  <si>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</si>
  <si>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</si>
  <si>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</si>
  <si>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</si>
  <si>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</si>
  <si>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</si>
  <si>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</si>
  <si>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</si>
  <si>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</si>
  <si>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</si>
  <si>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</si>
  <si>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</si>
  <si>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</si>
  <si>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</si>
  <si>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</si>
  <si>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</si>
  <si>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</si>
  <si>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</si>
  <si>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</si>
  <si>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</si>
  <si>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</si>
  <si>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</si>
  <si>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</si>
  <si>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</si>
  <si>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</si>
  <si>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</si>
  <si>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</si>
  <si>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</si>
  <si>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</si>
  <si>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</si>
  <si>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</si>
  <si>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</si>
  <si>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</si>
  <si>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</si>
  <si>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</si>
  <si>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</si>
  <si>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</si>
  <si>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</si>
  <si>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</si>
  <si>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</si>
  <si>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</si>
  <si>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</si>
  <si>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</si>
  <si>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</si>
  <si>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</si>
  <si>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</si>
  <si>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</si>
  <si>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</si>
  <si>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</si>
  <si>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</si>
  <si>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</si>
  <si>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</si>
  <si>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</si>
  <si>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</si>
  <si>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</si>
  <si>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</si>
  <si>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</si>
  <si>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</si>
  <si>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</si>
  <si>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</si>
  <si>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</si>
  <si>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</si>
  <si>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</si>
  <si>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</si>
  <si>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</si>
  <si>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</si>
  <si>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</si>
  <si>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</si>
  <si>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</si>
  <si>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</si>
  <si>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</si>
  <si>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</si>
  <si>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</si>
  <si>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</si>
  <si>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</si>
  <si>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</si>
  <si>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</si>
  <si>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</si>
  <si>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</si>
  <si>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</si>
  <si>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</si>
  <si>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</si>
  <si>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</si>
  <si>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</si>
  <si>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</si>
  <si>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</si>
  <si>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</si>
  <si>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</si>
  <si>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</si>
  <si>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</si>
  <si>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</si>
  <si>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</si>
  <si>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</si>
  <si>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</si>
  <si>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</si>
  <si>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</si>
  <si>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</si>
  <si>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</si>
  <si>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</si>
  <si>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</si>
  <si>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</si>
  <si>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</si>
  <si>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</si>
  <si>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</si>
  <si>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</si>
  <si>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</si>
  <si>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</si>
  <si>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</si>
  <si>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</si>
  <si>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</si>
  <si>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</si>
  <si>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</si>
  <si>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</si>
  <si>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</si>
  <si>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</si>
  <si>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</si>
  <si>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</si>
  <si>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</si>
  <si>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</si>
  <si>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</si>
  <si>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</si>
  <si>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</si>
  <si>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</si>
  <si>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</si>
  <si>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</si>
  <si>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</si>
  <si>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</si>
  <si>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</si>
  <si>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</si>
  <si>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</si>
  <si>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</si>
  <si>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</si>
  <si>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</si>
  <si>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</si>
  <si>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</si>
  <si>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</si>
  <si>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</si>
  <si>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</si>
  <si>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</si>
  <si>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</si>
  <si>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</si>
  <si>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</si>
  <si>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</si>
  <si>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</si>
  <si>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</si>
  <si>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</si>
  <si>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</si>
  <si>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</si>
  <si>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</si>
  <si>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</si>
  <si>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</si>
  <si>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</si>
  <si>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</si>
  <si>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</si>
  <si>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</si>
  <si>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</si>
  <si>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</si>
  <si>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</si>
  <si>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</si>
  <si>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</si>
  <si>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</si>
  <si>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</si>
  <si>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</si>
  <si>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</si>
  <si>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</si>
  <si>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</si>
  <si>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</si>
  <si>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</si>
  <si>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</si>
  <si>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</si>
  <si>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</si>
  <si>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</si>
  <si>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</si>
  <si>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</si>
  <si>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</si>
  <si>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</si>
  <si>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</si>
  <si>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</si>
  <si>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</si>
  <si>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</si>
  <si>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</si>
  <si>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</si>
  <si>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</si>
  <si>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</si>
  <si>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</si>
  <si>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</si>
  <si>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</si>
  <si>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</si>
  <si>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</si>
  <si>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</si>
  <si>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</si>
  <si>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</si>
  <si>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</si>
  <si>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</si>
  <si>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</si>
  <si>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</si>
  <si>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</si>
  <si>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</si>
  <si>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</si>
  <si>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</si>
  <si>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</si>
  <si>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</si>
  <si>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</si>
  <si>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</si>
  <si>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</si>
  <si>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</si>
  <si>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</si>
  <si>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</si>
  <si>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</si>
  <si>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</si>
  <si>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</si>
  <si>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</si>
  <si>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</si>
  <si>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</si>
  <si>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</si>
  <si>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</si>
  <si>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</si>
  <si>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</si>
  <si>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</si>
  <si>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</si>
  <si>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</si>
  <si>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</si>
  <si>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</si>
  <si>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</si>
  <si>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</si>
  <si>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</si>
  <si>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</si>
  <si>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</si>
  <si>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</si>
  <si>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</si>
  <si>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</si>
  <si>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</si>
  <si>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</si>
  <si>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</si>
  <si>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</si>
  <si>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</si>
  <si>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</si>
  <si>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</si>
  <si>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</si>
  <si>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</si>
  <si>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</si>
  <si>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</si>
  <si>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</si>
  <si>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</si>
  <si>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</si>
  <si>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</si>
  <si>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</si>
  <si>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</si>
  <si>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</si>
  <si>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</si>
  <si>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</si>
  <si>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</si>
  <si>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</si>
  <si>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</si>
  <si>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</si>
  <si>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</si>
  <si>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</si>
  <si>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</si>
  <si>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</si>
  <si>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</si>
  <si>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</si>
  <si>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</si>
  <si>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</si>
  <si>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</si>
  <si>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</si>
  <si>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</si>
  <si>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</si>
  <si>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</si>
  <si>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</si>
  <si>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</si>
  <si>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</si>
  <si>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</si>
  <si>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</si>
  <si>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</si>
  <si>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</si>
  <si>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</si>
  <si>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</si>
  <si>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</si>
  <si>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</si>
  <si>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</si>
  <si>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</si>
  <si>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</si>
  <si>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</si>
  <si>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</si>
  <si>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</si>
  <si>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</si>
  <si>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</si>
  <si>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</si>
  <si>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</si>
  <si>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</si>
  <si>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</si>
  <si>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</si>
  <si>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</si>
  <si>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</si>
  <si>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</si>
  <si>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</si>
  <si>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</si>
  <si>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</si>
  <si>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</si>
  <si>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</si>
  <si>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</si>
  <si>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</si>
  <si>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</si>
  <si>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</si>
  <si>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</si>
  <si>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</si>
  <si>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</si>
  <si>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</si>
  <si>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</si>
  <si>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</si>
  <si>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</si>
  <si>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</si>
  <si>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</si>
  <si>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</si>
  <si>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</si>
  <si>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</si>
  <si>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</si>
  <si>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</si>
  <si>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</si>
  <si>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</si>
  <si>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</si>
  <si>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</si>
  <si>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</si>
  <si>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</si>
  <si>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</si>
  <si>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</si>
  <si>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</si>
  <si>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</si>
  <si>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</si>
  <si>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</si>
  <si>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</si>
  <si>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</si>
  <si>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</si>
  <si>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</si>
  <si>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</si>
  <si>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</si>
  <si>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</si>
  <si>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</si>
  <si>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</si>
  <si>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</si>
  <si>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</si>
  <si>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</si>
  <si>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</si>
  <si>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</si>
  <si>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</si>
  <si>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</si>
  <si>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</si>
  <si>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</si>
  <si>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</si>
  <si>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</si>
  <si>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</si>
  <si>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</si>
  <si>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</si>
  <si>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</si>
  <si>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</si>
  <si>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</si>
  <si>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</si>
  <si>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</si>
  <si>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</si>
  <si>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</si>
  <si>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</si>
  <si>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</si>
  <si>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</si>
  <si>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</si>
  <si>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</si>
  <si>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</si>
  <si>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</si>
  <si>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</si>
  <si>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</si>
  <si>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</si>
  <si>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</si>
  <si>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</si>
  <si>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</si>
  <si>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</si>
  <si>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</si>
  <si>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</si>
  <si>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</si>
  <si>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</si>
  <si>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</si>
  <si>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</si>
  <si>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</si>
  <si>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</si>
  <si>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</si>
  <si>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</si>
  <si>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</si>
  <si>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</si>
  <si>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</si>
  <si>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</si>
  <si>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</si>
  <si>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</si>
  <si>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</si>
  <si>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</si>
  <si>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</si>
  <si>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</si>
  <si>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</si>
  <si>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</si>
  <si>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</si>
  <si>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</si>
  <si>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</si>
  <si>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</si>
  <si>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</si>
  <si>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</si>
  <si>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</si>
  <si>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</si>
  <si>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</si>
  <si>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</si>
  <si>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</si>
  <si>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</si>
  <si>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</si>
  <si>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</si>
  <si>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</si>
  <si>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</si>
  <si>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</si>
  <si>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</si>
  <si>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</si>
  <si>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</si>
  <si>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</si>
  <si>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</si>
  <si>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</si>
  <si>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</si>
  <si>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</si>
  <si>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</si>
  <si>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</si>
  <si>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</si>
  <si>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</si>
  <si>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</si>
  <si>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</si>
  <si>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</si>
  <si>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</si>
  <si>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</si>
  <si>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</si>
  <si>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</si>
  <si>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</si>
  <si>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</si>
  <si>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</si>
  <si>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</si>
  <si>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</si>
  <si>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</si>
  <si>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</si>
  <si>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</si>
  <si>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</si>
  <si>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</si>
  <si>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</si>
  <si>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</si>
  <si>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</si>
  <si>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</si>
  <si>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</si>
  <si>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</si>
  <si>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</si>
  <si>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</si>
  <si>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</si>
  <si>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</si>
  <si>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</si>
  <si>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</si>
  <si>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</si>
  <si>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</si>
  <si>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</si>
  <si>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</si>
  <si>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</si>
  <si>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</si>
  <si>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</si>
  <si>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</si>
  <si>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</si>
  <si>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</si>
  <si>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</si>
  <si>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</si>
  <si>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</si>
  <si>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</si>
  <si>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</si>
  <si>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</si>
  <si>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</si>
  <si>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</si>
  <si>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</si>
  <si>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</si>
  <si>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</si>
  <si>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</si>
  <si>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</si>
  <si>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</si>
  <si>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</si>
  <si>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</si>
  <si>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</si>
  <si>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</si>
  <si>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</si>
  <si>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</si>
  <si>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</si>
  <si>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</si>
  <si>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</si>
  <si>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</si>
  <si>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</si>
  <si>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</si>
  <si>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</si>
  <si>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</si>
  <si>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</si>
  <si>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</si>
  <si>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</si>
  <si>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</si>
  <si>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</si>
  <si>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</si>
  <si>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</si>
  <si>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</si>
  <si>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</si>
  <si>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</si>
  <si>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</si>
  <si>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</si>
  <si>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</si>
  <si>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</si>
  <si>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</si>
  <si>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</si>
  <si>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</si>
  <si>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</si>
  <si>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</si>
  <si>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</si>
  <si>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</si>
  <si>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</si>
  <si>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</si>
  <si>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</si>
  <si>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</si>
  <si>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</si>
  <si>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</si>
  <si>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</si>
  <si>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</si>
  <si>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</si>
  <si>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</si>
  <si>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</si>
  <si>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</si>
  <si>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</si>
  <si>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</si>
  <si>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</si>
  <si>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</si>
  <si>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</si>
  <si>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</si>
  <si>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</si>
  <si>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</si>
  <si>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</si>
  <si>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</si>
  <si>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</si>
  <si>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</si>
  <si>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</si>
  <si>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</si>
  <si>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</si>
  <si>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</si>
  <si>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</si>
  <si>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</si>
  <si>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</si>
  <si>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</si>
  <si>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</si>
  <si>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</si>
  <si>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</si>
  <si>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</si>
  <si>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</si>
  <si>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</si>
  <si>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</si>
  <si>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</si>
  <si>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</si>
  <si>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</si>
  <si>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</si>
  <si>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</si>
  <si>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</si>
  <si>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</si>
  <si>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</si>
  <si>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</si>
  <si>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</si>
  <si>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</si>
  <si>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</si>
  <si>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</si>
  <si>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</si>
  <si>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</si>
  <si>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</si>
  <si>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</si>
  <si>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</si>
  <si>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</si>
  <si>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</si>
  <si>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</si>
  <si>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</si>
  <si>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</si>
  <si>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</si>
  <si>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</si>
  <si>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</si>
  <si>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</si>
  <si>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</si>
  <si>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</si>
  <si>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</si>
  <si>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</si>
  <si>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</si>
  <si>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</si>
  <si>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</si>
  <si>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</si>
  <si>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</si>
  <si>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</si>
  <si>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</si>
  <si>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</si>
  <si>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</si>
  <si>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</si>
  <si>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</si>
  <si>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</si>
  <si>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</si>
  <si>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</si>
  <si>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</si>
  <si>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</si>
  <si>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</si>
  <si>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</si>
  <si>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</si>
  <si>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</si>
  <si>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</si>
  <si>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</si>
  <si>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</si>
  <si>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</si>
  <si>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</si>
  <si>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</si>
  <si>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</si>
  <si>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</si>
  <si>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</si>
  <si>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</si>
  <si>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</si>
  <si>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</si>
  <si>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</si>
  <si>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</si>
  <si>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</si>
  <si>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</si>
  <si>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</si>
  <si>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</si>
  <si>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</si>
  <si>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</si>
  <si>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</si>
  <si>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</si>
  <si>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</si>
  <si>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</si>
  <si>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</si>
  <si>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</si>
  <si>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</si>
  <si>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</si>
  <si>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</si>
  <si>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</si>
  <si>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</si>
  <si>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</si>
  <si>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</si>
  <si>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</si>
  <si>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</si>
  <si>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</si>
  <si>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</si>
  <si>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</si>
  <si>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</si>
  <si>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</si>
  <si>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</si>
  <si>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</si>
  <si>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</si>
  <si>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</si>
  <si>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</si>
  <si>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</si>
  <si>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</si>
  <si>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</si>
  <si>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</si>
  <si>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</si>
  <si>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</si>
  <si>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</si>
  <si>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</si>
  <si>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</si>
  <si>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</si>
  <si>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</si>
  <si>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</si>
  <si>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</si>
  <si>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</si>
  <si>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</si>
  <si>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</si>
  <si>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</si>
  <si>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</si>
  <si>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</si>
  <si>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</si>
  <si>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</si>
  <si>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</si>
  <si>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</si>
  <si>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</si>
  <si>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</si>
  <si>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</si>
  <si>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</si>
  <si>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</si>
  <si>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</si>
  <si>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</si>
  <si>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</si>
  <si>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</si>
  <si>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</si>
  <si>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</si>
  <si>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</si>
  <si>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</si>
  <si>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</si>
  <si>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</si>
  <si>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</si>
  <si>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</si>
  <si>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</si>
  <si>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</si>
  <si>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</si>
  <si>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</si>
  <si>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</si>
  <si>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</si>
  <si>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</si>
  <si>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</si>
  <si>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</si>
  <si>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</si>
  <si>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</si>
  <si>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</si>
  <si>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</si>
  <si>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</si>
  <si>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</si>
  <si>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</si>
  <si>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</si>
  <si>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</si>
  <si>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</si>
  <si>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</si>
  <si>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</si>
  <si>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</si>
  <si>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</si>
  <si>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</si>
  <si>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</si>
  <si>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</si>
  <si>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</si>
  <si>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</si>
  <si>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</si>
  <si>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</si>
  <si>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</si>
  <si>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</si>
  <si>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</si>
  <si>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</si>
  <si>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</si>
  <si>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</si>
  <si>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</si>
  <si>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</si>
  <si>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</si>
  <si>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</si>
  <si>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</si>
  <si>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</si>
  <si>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</si>
  <si>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</si>
  <si>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</si>
  <si>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</si>
  <si>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</si>
  <si>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</si>
  <si>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</si>
  <si>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</si>
  <si>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</si>
  <si>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</si>
  <si>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</si>
  <si>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</si>
  <si>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</si>
  <si>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</si>
  <si>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</si>
  <si>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</si>
  <si>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</si>
  <si>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</si>
  <si>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</si>
  <si>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</si>
  <si>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</si>
  <si>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</si>
  <si>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</si>
  <si>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</si>
  <si>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</si>
  <si>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</si>
  <si>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</si>
  <si>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</si>
  <si>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</si>
  <si>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</si>
  <si>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</si>
  <si>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</si>
  <si>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</si>
  <si>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</si>
  <si>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</si>
  <si>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</si>
  <si>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</si>
  <si>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</si>
  <si>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</si>
  <si>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</si>
  <si>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</si>
  <si>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</si>
  <si>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</si>
  <si>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</si>
  <si>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</si>
  <si>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</si>
  <si>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</si>
  <si>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</si>
  <si>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</si>
  <si>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</si>
  <si>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</si>
  <si>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</si>
  <si>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</si>
  <si>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</si>
  <si>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</si>
  <si>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</si>
  <si>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</si>
  <si>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</si>
  <si>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</si>
  <si>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</si>
  <si>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</si>
  <si>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</si>
  <si>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</si>
  <si>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</si>
  <si>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</si>
  <si>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</si>
  <si>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</si>
  <si>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</si>
  <si>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</si>
  <si>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</si>
  <si>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</si>
  <si>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</si>
  <si>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</si>
  <si>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</si>
  <si>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</si>
  <si>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</si>
  <si>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</si>
  <si>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</si>
  <si>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</si>
  <si>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</si>
  <si>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</si>
  <si>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</si>
  <si>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</si>
  <si>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</si>
  <si>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</si>
  <si>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</si>
  <si>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</si>
  <si>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</si>
  <si>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</si>
  <si>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</si>
  <si>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</si>
  <si>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</si>
  <si>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</si>
  <si>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</si>
  <si>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</si>
  <si>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</si>
  <si>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</si>
  <si>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</si>
  <si>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</si>
  <si>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</si>
  <si>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</si>
  <si>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</si>
  <si>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</si>
  <si>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</si>
  <si>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</si>
  <si>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</si>
  <si>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</si>
  <si>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</si>
  <si>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</si>
  <si>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</si>
  <si>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</si>
  <si>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</si>
  <si>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</si>
  <si>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</si>
  <si>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</si>
  <si>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</si>
  <si>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</si>
  <si>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</si>
  <si>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</si>
  <si>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</si>
  <si>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</si>
  <si>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</si>
  <si>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</si>
  <si>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</si>
  <si>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</si>
  <si>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</si>
  <si>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</si>
  <si>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</si>
  <si>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</si>
  <si>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</si>
  <si>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</si>
  <si>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</si>
  <si>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</si>
  <si>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</si>
  <si>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</si>
  <si>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</si>
  <si>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</si>
  <si>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</si>
  <si>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</si>
  <si>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</si>
  <si>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</si>
  <si>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</si>
  <si>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</si>
  <si>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</si>
  <si>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</si>
  <si>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</si>
  <si>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</si>
  <si>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</si>
  <si>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</si>
  <si>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</si>
  <si>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</si>
  <si>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</si>
  <si>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</si>
  <si>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</si>
  <si>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</si>
  <si>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</si>
  <si>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</si>
  <si>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</si>
  <si>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</si>
  <si>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</si>
  <si>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</si>
  <si>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</si>
  <si>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</si>
  <si>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</si>
  <si>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</si>
  <si>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</si>
  <si>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</si>
  <si>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</si>
  <si>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</si>
  <si>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</si>
  <si>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</si>
  <si>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</si>
  <si>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</si>
  <si>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</si>
  <si>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</si>
  <si>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</si>
  <si>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</si>
  <si>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</si>
  <si>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</si>
  <si>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</si>
  <si>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</si>
  <si>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</si>
  <si>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</si>
  <si>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</si>
  <si>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</si>
  <si>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</si>
  <si>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</si>
  <si>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</si>
  <si>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</si>
  <si>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</si>
  <si>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</si>
  <si>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</si>
  <si>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</si>
  <si>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</si>
  <si>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</si>
  <si>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</si>
  <si>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</si>
  <si>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</si>
  <si>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</si>
  <si>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</si>
  <si>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</si>
  <si>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</si>
  <si>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</si>
  <si>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</si>
  <si>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</si>
  <si>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</si>
  <si>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</si>
  <si>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</si>
  <si>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</si>
  <si>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</si>
  <si>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</si>
  <si>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</si>
  <si>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</si>
  <si>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</si>
  <si>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</si>
  <si>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</si>
  <si>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</si>
  <si>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</si>
  <si>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</si>
  <si>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</si>
  <si>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</si>
  <si>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</si>
  <si>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</si>
  <si>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</si>
  <si>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</si>
  <si>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</si>
  <si>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</si>
  <si>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</si>
  <si>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</si>
  <si>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</si>
  <si>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</si>
  <si>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</si>
  <si>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</si>
  <si>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</si>
  <si>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</si>
  <si>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</si>
  <si>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</si>
  <si>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</si>
  <si>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</si>
  <si>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</si>
  <si>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</si>
  <si>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</si>
  <si>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</si>
  <si>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</si>
  <si>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</si>
  <si>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</si>
  <si>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</si>
  <si>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</si>
  <si>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</si>
  <si>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</si>
  <si>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</si>
  <si>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</si>
  <si>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</si>
  <si>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</si>
  <si>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</si>
  <si>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</si>
  <si>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</si>
  <si>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</si>
  <si>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</si>
  <si>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</si>
  <si>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</si>
  <si>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</si>
  <si>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</si>
  <si>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</si>
  <si>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</si>
  <si>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</si>
  <si>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</si>
  <si>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</si>
  <si>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</si>
  <si>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</si>
  <si>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</si>
  <si>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</si>
  <si>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</si>
  <si>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</si>
  <si>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</si>
  <si>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</si>
  <si>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</si>
  <si>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</si>
  <si>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</si>
  <si>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</si>
  <si>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</si>
  <si>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</si>
  <si>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</si>
  <si>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</si>
  <si>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</si>
  <si>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</si>
  <si>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</si>
  <si>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</si>
  <si>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</si>
  <si>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</si>
  <si>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</si>
  <si>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</si>
  <si>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</si>
  <si>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</si>
  <si>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</si>
  <si>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</si>
  <si>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</si>
  <si>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</si>
  <si>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</si>
  <si>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</si>
  <si>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</si>
  <si>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</si>
  <si>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</si>
  <si>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</si>
  <si>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</si>
  <si>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</si>
  <si>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</si>
  <si>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</si>
  <si>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</si>
  <si>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</si>
  <si>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</si>
  <si>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</si>
  <si>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</si>
  <si>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</si>
  <si>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</si>
  <si>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</si>
  <si>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</si>
  <si>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</si>
  <si>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</si>
  <si>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</si>
  <si>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</si>
  <si>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</si>
  <si>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</si>
  <si>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</si>
  <si>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</si>
  <si>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</si>
  <si>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</si>
  <si>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</si>
  <si>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</si>
  <si>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</si>
  <si>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</si>
  <si>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</si>
  <si>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</si>
  <si>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</si>
  <si>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</si>
  <si>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</si>
  <si>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</si>
  <si>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</si>
  <si>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</si>
  <si>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</si>
  <si>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</si>
  <si>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</si>
  <si>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</si>
  <si>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</si>
  <si>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</si>
  <si>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</si>
  <si>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</si>
  <si>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</si>
  <si>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</si>
  <si>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</si>
  <si>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</si>
  <si>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</si>
  <si>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</si>
  <si>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</si>
  <si>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</si>
  <si>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</si>
  <si>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</si>
  <si>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</si>
  <si>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</si>
  <si>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</si>
  <si>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</si>
  <si>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</si>
  <si>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</si>
  <si>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</si>
  <si>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</si>
  <si>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</si>
  <si>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</si>
  <si>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</si>
  <si>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</si>
  <si>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</si>
  <si>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</si>
  <si>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</si>
  <si>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</si>
  <si>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</si>
  <si>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</si>
  <si>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</si>
  <si>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</si>
  <si>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</si>
  <si>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</si>
  <si>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</si>
  <si>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</si>
  <si>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</si>
  <si>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</si>
  <si>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</si>
  <si>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</si>
  <si>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</si>
  <si>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</si>
  <si>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</si>
  <si>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</si>
  <si>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</si>
  <si>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</si>
  <si>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</si>
  <si>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</si>
  <si>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</si>
  <si>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</si>
  <si>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</si>
  <si>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</si>
  <si>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</si>
  <si>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</si>
  <si>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</si>
  <si>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</si>
  <si>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</si>
  <si>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</si>
  <si>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</si>
  <si>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</si>
  <si>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</si>
  <si>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</si>
  <si>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</si>
  <si>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</si>
  <si>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</si>
  <si>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</si>
  <si>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</si>
  <si>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</si>
  <si>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</si>
  <si>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</si>
  <si>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</si>
  <si>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Goal</t>
  </si>
  <si>
    <t>Country</t>
  </si>
  <si>
    <t>Currency</t>
  </si>
  <si>
    <t>Category</t>
  </si>
  <si>
    <t>Sub-Category</t>
  </si>
  <si>
    <t>film &amp; video</t>
  </si>
  <si>
    <t>food</t>
  </si>
  <si>
    <t>games</t>
  </si>
  <si>
    <t>journalism</t>
  </si>
  <si>
    <t>music</t>
  </si>
  <si>
    <t>photography</t>
  </si>
  <si>
    <t>publishing</t>
  </si>
  <si>
    <t>technology</t>
  </si>
  <si>
    <t>theater</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</si>
  <si>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</si>
  <si>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</si>
  <si>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</si>
  <si>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</si>
  <si>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</si>
  <si>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</si>
  <si>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</si>
  <si>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</si>
  <si>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</si>
  <si>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</si>
  <si>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</si>
  <si>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</si>
  <si>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</si>
  <si>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</si>
  <si>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</si>
  <si>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</si>
  <si>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</si>
  <si>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</si>
  <si>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</si>
  <si>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</si>
  <si>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</si>
  <si>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</si>
  <si>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</si>
  <si>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</si>
  <si>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</si>
  <si>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</si>
  <si>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</si>
  <si>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</si>
  <si>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</si>
  <si>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</si>
  <si>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</si>
  <si>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</si>
  <si>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</si>
  <si>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</si>
  <si>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</si>
  <si>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</si>
  <si>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</si>
  <si>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</si>
  <si>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</si>
  <si>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</si>
  <si>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</si>
  <si>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</si>
  <si>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</si>
  <si>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Col</t>
  </si>
  <si>
    <t>Sub_Category</t>
  </si>
  <si>
    <t>Number</t>
  </si>
  <si>
    <t>Date Created Conversion</t>
  </si>
  <si>
    <t>Average Donation</t>
  </si>
  <si>
    <t>Date Ended Conversion</t>
  </si>
  <si>
    <t>2009</t>
  </si>
  <si>
    <t>Qtr2</t>
  </si>
  <si>
    <t>May</t>
  </si>
  <si>
    <t>Qtr3</t>
  </si>
  <si>
    <t>Jul</t>
  </si>
  <si>
    <t>Aug</t>
  </si>
  <si>
    <t>Sep</t>
  </si>
  <si>
    <t>Qtr4</t>
  </si>
  <si>
    <t>Oct</t>
  </si>
  <si>
    <t>Nov</t>
  </si>
  <si>
    <t>2010</t>
  </si>
  <si>
    <t>Qtr1</t>
  </si>
  <si>
    <t>Jan</t>
  </si>
  <si>
    <t>Feb</t>
  </si>
  <si>
    <t>Mar</t>
  </si>
  <si>
    <t>Apr</t>
  </si>
  <si>
    <t>Jun</t>
  </si>
  <si>
    <t>Dec</t>
  </si>
  <si>
    <t>2011</t>
  </si>
  <si>
    <t>2012</t>
  </si>
  <si>
    <t>2013</t>
  </si>
  <si>
    <t>2014</t>
  </si>
  <si>
    <t>2015</t>
  </si>
  <si>
    <t>2016</t>
  </si>
  <si>
    <t>2017</t>
  </si>
  <si>
    <t>(All)</t>
  </si>
  <si>
    <t>Years</t>
  </si>
  <si>
    <t>Quantity</t>
  </si>
  <si>
    <t>Launch Month</t>
  </si>
  <si>
    <t>Quarters</t>
  </si>
  <si>
    <t>2009 Total</t>
  </si>
  <si>
    <t>2010 Total</t>
  </si>
  <si>
    <t>2011 Total</t>
  </si>
  <si>
    <t>2012 Total</t>
  </si>
  <si>
    <t>2013 Total</t>
  </si>
  <si>
    <t>2014 Total</t>
  </si>
  <si>
    <t>2015 Total</t>
  </si>
  <si>
    <t>2016 Total</t>
  </si>
  <si>
    <t>2017 Total</t>
  </si>
  <si>
    <t>Homework Objective</t>
  </si>
  <si>
    <t>Tab</t>
  </si>
  <si>
    <t>Additional Notes</t>
  </si>
  <si>
    <t>Using the Excel table provided, modify and analyze the data of 4,000 past Kickstarter projects as you attempt to uncover some market trends.</t>
  </si>
  <si>
    <t>Raw_Data</t>
  </si>
  <si>
    <t>Conditional Formating for "state"  Uses  a red-yellow-green-grey scheme due to familiar connotation of the red-green-yellow with grey signifying an unknown outcome</t>
  </si>
  <si>
    <t>Conditional formating from red-green-blue at 0-100%-200% Dark but not the darkest colors were used to ensure readability</t>
  </si>
  <si>
    <t>AmtPledged</t>
  </si>
  <si>
    <t>Mult</t>
  </si>
  <si>
    <t>Australian Dollar</t>
  </si>
  <si>
    <t>Canadian Dollar</t>
  </si>
  <si>
    <t>Swiss Franc</t>
  </si>
  <si>
    <t>Danish Krone</t>
  </si>
  <si>
    <t>Euro</t>
  </si>
  <si>
    <t>British Pound</t>
  </si>
  <si>
    <t>Hong Kong Dollar</t>
  </si>
  <si>
    <t>Mexican Peso</t>
  </si>
  <si>
    <t>Norwegian Krone</t>
  </si>
  <si>
    <t>New Zealand Dollar</t>
  </si>
  <si>
    <t>Swedish Krona</t>
  </si>
  <si>
    <t>Singapore Dollar</t>
  </si>
  <si>
    <t>Dollar</t>
  </si>
  <si>
    <t>Currency_Name</t>
  </si>
  <si>
    <t>Columns Added:</t>
  </si>
  <si>
    <t xml:space="preserve">Average Donation </t>
  </si>
  <si>
    <t xml:space="preserve">USD </t>
  </si>
  <si>
    <t>Not proscribed by Instructor - A table was used to convert all currency to USD for subsequent analysis - Convesions based on Sept  7, 2020 Morningstar conversion rates</t>
  </si>
  <si>
    <t>Pledged/Backers_count</t>
  </si>
  <si>
    <t>Used link provided by instructor to get conversion formula</t>
  </si>
  <si>
    <t>String manipulation using built-in excel functions</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</si>
  <si>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</si>
  <si>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</si>
  <si>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Pivot table added - categories were listed based on how I would expect a client to see them. Labels were changed based on my imagined client specifications</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</si>
  <si>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</si>
  <si>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</si>
  <si>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 xml:space="preserve"> The Chart was sorted largest - smallest to enhance "story-telling".
An arrow was created to instruct the user how to change the view by country</t>
  </si>
  <si>
    <t xml:space="preserve"> The Chart was sorted largest - smallest to enhance "story-telling".
The arrow shape was added to provide user instructions</t>
  </si>
  <si>
    <t>* Create a new sheet with a pivot table with a column of `state`, rows of `Date Created Conversion`, values based on the count of `state`, and filters based on `parent category` and `Years`.</t>
  </si>
  <si>
    <t>* Now create a pivot chart line graph that visualizes this new table.</t>
  </si>
  <si>
    <t>Date-Month</t>
  </si>
  <si>
    <t>Date Extra</t>
  </si>
  <si>
    <t>Date -Extra was created to show how I might prefer to present the data, Chronologically by year and quarter. This is just something extra for my analysis</t>
  </si>
  <si>
    <t>Same approach as the items discussed above</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</si>
  <si>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</si>
  <si>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</si>
  <si>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</si>
  <si>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</si>
  <si>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</si>
  <si>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</si>
  <si>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</si>
  <si>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</si>
  <si>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</si>
  <si>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</si>
  <si>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</si>
  <si>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</si>
  <si>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</si>
  <si>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</si>
  <si>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</si>
  <si>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</si>
  <si>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</si>
  <si>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</si>
  <si>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</si>
  <si>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I do not like the way the above categories  will look in an axis - so I am making it look nicer.</t>
  </si>
  <si>
    <t>Successful</t>
  </si>
  <si>
    <t>Failed</t>
  </si>
  <si>
    <t>Canceled</t>
  </si>
  <si>
    <t>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</si>
  <si>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</si>
  <si>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</si>
  <si>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Bonus</t>
  </si>
  <si>
    <t>Total</t>
  </si>
  <si>
    <t>Sum of USD</t>
  </si>
  <si>
    <t>Mean</t>
  </si>
  <si>
    <t>Median</t>
  </si>
  <si>
    <t>Min</t>
  </si>
  <si>
    <t>Max</t>
  </si>
  <si>
    <t>Variance</t>
  </si>
  <si>
    <t>Standard Deviation</t>
  </si>
  <si>
    <t>Backers Per Campaign</t>
  </si>
  <si>
    <t>Overall</t>
  </si>
  <si>
    <t>Goal Limit 
(Native Currency)</t>
  </si>
  <si>
    <t>Goal Limit (USD)</t>
  </si>
  <si>
    <t>Create a new worksheet in your workbook, and create a column each for the number of backers of successful campaigns and unsuccessful campaigns.</t>
  </si>
  <si>
    <t>Use Excel to evaluate the following for successful campaigns, and then for unsuccessful campaigns:
The mean number of backers.
The median number of backers.
The minimum number of backers.
The maximum number of backers.
The variance of the number of backers.
The standard deviation of the number of backers.</t>
  </si>
  <si>
    <t>BonusStat_HW</t>
  </si>
  <si>
    <t>BonusStatMyWay</t>
  </si>
  <si>
    <t>Uses Array Formulas to avoid haivng to copy the columns to a new spread sheet.
I did it this way then reread that I was supposed to add the data to the bonus sheet. Oh well. It is cool if you want to do it sometime.</t>
  </si>
  <si>
    <t xml:space="preserve">I noticed that the currency  column was populated with varied currencies. What would happen if the values in the pledged fields were not previously converted to USD? </t>
  </si>
  <si>
    <t>Alpha-3</t>
  </si>
  <si>
    <t>Alpha-2</t>
  </si>
  <si>
    <t>Numeric</t>
  </si>
  <si>
    <t>2015 PC GDP PPP</t>
  </si>
  <si>
    <t>Source: https://www.iban.com/country-codes</t>
  </si>
  <si>
    <t>Afghanistan</t>
  </si>
  <si>
    <t>AFG</t>
  </si>
  <si>
    <t>AF</t>
  </si>
  <si>
    <t>Albania</t>
  </si>
  <si>
    <t>ALB</t>
  </si>
  <si>
    <t>AL</t>
  </si>
  <si>
    <t>Algeria</t>
  </si>
  <si>
    <t>DZA</t>
  </si>
  <si>
    <t>DZ</t>
  </si>
  <si>
    <t>American Samoa</t>
  </si>
  <si>
    <t>ASM</t>
  </si>
  <si>
    <t>AS</t>
  </si>
  <si>
    <t>Andorra</t>
  </si>
  <si>
    <t>AND</t>
  </si>
  <si>
    <t>AD</t>
  </si>
  <si>
    <t>Angola</t>
  </si>
  <si>
    <t>AGO</t>
  </si>
  <si>
    <t>AO</t>
  </si>
  <si>
    <t>Anguilla</t>
  </si>
  <si>
    <t>AIA</t>
  </si>
  <si>
    <t>AI</t>
  </si>
  <si>
    <t>Antarctica</t>
  </si>
  <si>
    <t>ATA</t>
  </si>
  <si>
    <t>AQ</t>
  </si>
  <si>
    <t>Antigua and Barbuda</t>
  </si>
  <si>
    <t>ATG</t>
  </si>
  <si>
    <t>AG</t>
  </si>
  <si>
    <t>Argentina</t>
  </si>
  <si>
    <t>ARG</t>
  </si>
  <si>
    <t>AR</t>
  </si>
  <si>
    <t>Armenia</t>
  </si>
  <si>
    <t>ARM</t>
  </si>
  <si>
    <t>AM</t>
  </si>
  <si>
    <t>Aruba</t>
  </si>
  <si>
    <t>ABW</t>
  </si>
  <si>
    <t>AW</t>
  </si>
  <si>
    <t>Australia</t>
  </si>
  <si>
    <t>AUS</t>
  </si>
  <si>
    <t>Austria</t>
  </si>
  <si>
    <t>AUT</t>
  </si>
  <si>
    <t>Azerbaijan</t>
  </si>
  <si>
    <t>AZE</t>
  </si>
  <si>
    <t>AZ</t>
  </si>
  <si>
    <t>Bahamas (the)</t>
  </si>
  <si>
    <t>BHS</t>
  </si>
  <si>
    <t>BS</t>
  </si>
  <si>
    <t>Bahrain</t>
  </si>
  <si>
    <t>BHR</t>
  </si>
  <si>
    <t>BH</t>
  </si>
  <si>
    <t>Bangladesh</t>
  </si>
  <si>
    <t>BGD</t>
  </si>
  <si>
    <t>BD</t>
  </si>
  <si>
    <t>Barbados</t>
  </si>
  <si>
    <t>BRB</t>
  </si>
  <si>
    <t>BB</t>
  </si>
  <si>
    <t>Belarus</t>
  </si>
  <si>
    <t>BLR</t>
  </si>
  <si>
    <t>BY</t>
  </si>
  <si>
    <t>Belgium</t>
  </si>
  <si>
    <t>BEL</t>
  </si>
  <si>
    <t>Belize</t>
  </si>
  <si>
    <t>BLZ</t>
  </si>
  <si>
    <t>BZ</t>
  </si>
  <si>
    <t>Benin</t>
  </si>
  <si>
    <t>BEN</t>
  </si>
  <si>
    <t>BJ</t>
  </si>
  <si>
    <t>Bermuda</t>
  </si>
  <si>
    <t>BMU</t>
  </si>
  <si>
    <t>BM</t>
  </si>
  <si>
    <t>Bhutan</t>
  </si>
  <si>
    <t>BTN</t>
  </si>
  <si>
    <t>BT</t>
  </si>
  <si>
    <t>Bolivia (Plurinational State of)</t>
  </si>
  <si>
    <t>BOL</t>
  </si>
  <si>
    <t>BO</t>
  </si>
  <si>
    <t>Bonaire, Sint Eustatius and Saba</t>
  </si>
  <si>
    <t>BES</t>
  </si>
  <si>
    <t>BQ</t>
  </si>
  <si>
    <t>Bosnia and Herzegovina</t>
  </si>
  <si>
    <t>BIH</t>
  </si>
  <si>
    <t>BA</t>
  </si>
  <si>
    <t>Botswana</t>
  </si>
  <si>
    <t>BWA</t>
  </si>
  <si>
    <t>BW</t>
  </si>
  <si>
    <t>Bouvet Island</t>
  </si>
  <si>
    <t>BVT</t>
  </si>
  <si>
    <t>BV</t>
  </si>
  <si>
    <t>Brazil</t>
  </si>
  <si>
    <t>BRA</t>
  </si>
  <si>
    <t>BR</t>
  </si>
  <si>
    <t>British Indian Ocean Territory (the)</t>
  </si>
  <si>
    <t>IOT</t>
  </si>
  <si>
    <t>IO</t>
  </si>
  <si>
    <t>Brunei Darussalam</t>
  </si>
  <si>
    <t>BRN</t>
  </si>
  <si>
    <t>BN</t>
  </si>
  <si>
    <t>Bulgaria</t>
  </si>
  <si>
    <t>BGR</t>
  </si>
  <si>
    <t>BG</t>
  </si>
  <si>
    <t>Burkina Faso</t>
  </si>
  <si>
    <t>BFA</t>
  </si>
  <si>
    <t>BF</t>
  </si>
  <si>
    <t>Burundi</t>
  </si>
  <si>
    <t>BDI</t>
  </si>
  <si>
    <t>BI</t>
  </si>
  <si>
    <t>Cabo Verde</t>
  </si>
  <si>
    <t>CPV</t>
  </si>
  <si>
    <t>CV</t>
  </si>
  <si>
    <t>Cambodia</t>
  </si>
  <si>
    <t>KHM</t>
  </si>
  <si>
    <t>KH</t>
  </si>
  <si>
    <t>Cameroon</t>
  </si>
  <si>
    <t>CMR</t>
  </si>
  <si>
    <t>CM</t>
  </si>
  <si>
    <t>Canada</t>
  </si>
  <si>
    <t>CAN</t>
  </si>
  <si>
    <t>Cayman Islands (the)</t>
  </si>
  <si>
    <t>CYM</t>
  </si>
  <si>
    <t>KY</t>
  </si>
  <si>
    <t>Central African Republic (the)</t>
  </si>
  <si>
    <t>CAF</t>
  </si>
  <si>
    <t>CF</t>
  </si>
  <si>
    <t>Chad</t>
  </si>
  <si>
    <t>TCD</t>
  </si>
  <si>
    <t>TD</t>
  </si>
  <si>
    <t>Chile</t>
  </si>
  <si>
    <t>CHL</t>
  </si>
  <si>
    <t>CL</t>
  </si>
  <si>
    <t>China</t>
  </si>
  <si>
    <t>CHN</t>
  </si>
  <si>
    <t>CN</t>
  </si>
  <si>
    <t>Christmas Island</t>
  </si>
  <si>
    <t>CXR</t>
  </si>
  <si>
    <t>CX</t>
  </si>
  <si>
    <t>Cocos (Keeling) Islands (the)</t>
  </si>
  <si>
    <t>CCK</t>
  </si>
  <si>
    <t>CC</t>
  </si>
  <si>
    <t>Colombia</t>
  </si>
  <si>
    <t>COL</t>
  </si>
  <si>
    <t>CO</t>
  </si>
  <si>
    <t>Comoros (the)</t>
  </si>
  <si>
    <t>COM</t>
  </si>
  <si>
    <t>KM</t>
  </si>
  <si>
    <t>Congo (the Democratic Republic of the)</t>
  </si>
  <si>
    <t>COD</t>
  </si>
  <si>
    <t>CD</t>
  </si>
  <si>
    <t>Congo (the)</t>
  </si>
  <si>
    <t>COG</t>
  </si>
  <si>
    <t>CG</t>
  </si>
  <si>
    <t>Cook Islands (the)</t>
  </si>
  <si>
    <t>COK</t>
  </si>
  <si>
    <t>CK</t>
  </si>
  <si>
    <t>Costa Rica</t>
  </si>
  <si>
    <t>CRI</t>
  </si>
  <si>
    <t>CR</t>
  </si>
  <si>
    <t>Croatia</t>
  </si>
  <si>
    <t>HRV</t>
  </si>
  <si>
    <t>HR</t>
  </si>
  <si>
    <t>Cuba</t>
  </si>
  <si>
    <t>CUB</t>
  </si>
  <si>
    <t>CU</t>
  </si>
  <si>
    <t>Curaçao</t>
  </si>
  <si>
    <t>CUW</t>
  </si>
  <si>
    <t>CW</t>
  </si>
  <si>
    <t>Cyprus</t>
  </si>
  <si>
    <t>CYP</t>
  </si>
  <si>
    <t>CY</t>
  </si>
  <si>
    <t>Czechia</t>
  </si>
  <si>
    <t>CZE</t>
  </si>
  <si>
    <t>CZ</t>
  </si>
  <si>
    <t>Côte d'Ivoire</t>
  </si>
  <si>
    <t>CIV</t>
  </si>
  <si>
    <t>CI</t>
  </si>
  <si>
    <t>Denmark</t>
  </si>
  <si>
    <t>DNK</t>
  </si>
  <si>
    <t>Djibouti</t>
  </si>
  <si>
    <t>DJI</t>
  </si>
  <si>
    <t>DJ</t>
  </si>
  <si>
    <t>Dominica</t>
  </si>
  <si>
    <t>DMA</t>
  </si>
  <si>
    <t>DM</t>
  </si>
  <si>
    <t>Dominican Republic (the)</t>
  </si>
  <si>
    <t>DOM</t>
  </si>
  <si>
    <t>DO</t>
  </si>
  <si>
    <t>Ecuador</t>
  </si>
  <si>
    <t>ECU</t>
  </si>
  <si>
    <t>EC</t>
  </si>
  <si>
    <t>Egypt</t>
  </si>
  <si>
    <t>EGY</t>
  </si>
  <si>
    <t>EG</t>
  </si>
  <si>
    <t>El Salvador</t>
  </si>
  <si>
    <t>SLV</t>
  </si>
  <si>
    <t>SV</t>
  </si>
  <si>
    <t>Equatorial Guinea</t>
  </si>
  <si>
    <t>GNQ</t>
  </si>
  <si>
    <t>GQ</t>
  </si>
  <si>
    <t>Eritrea</t>
  </si>
  <si>
    <t>ERI</t>
  </si>
  <si>
    <t>ER</t>
  </si>
  <si>
    <t>Estonia</t>
  </si>
  <si>
    <t>EST</t>
  </si>
  <si>
    <t>EE</t>
  </si>
  <si>
    <t>Eswatini</t>
  </si>
  <si>
    <t>SWZ</t>
  </si>
  <si>
    <t>SZ</t>
  </si>
  <si>
    <t>Ethiopia</t>
  </si>
  <si>
    <t>ETH</t>
  </si>
  <si>
    <t>ET</t>
  </si>
  <si>
    <t>Falkland Islands (the) [Malvinas]</t>
  </si>
  <si>
    <t>FLK</t>
  </si>
  <si>
    <t>FK</t>
  </si>
  <si>
    <t>Faroe Islands (the)</t>
  </si>
  <si>
    <t>FRO</t>
  </si>
  <si>
    <t>FO</t>
  </si>
  <si>
    <t>Fiji</t>
  </si>
  <si>
    <t>FJI</t>
  </si>
  <si>
    <t>FJ</t>
  </si>
  <si>
    <t>Finland</t>
  </si>
  <si>
    <t>FIN</t>
  </si>
  <si>
    <t>FI</t>
  </si>
  <si>
    <t>France</t>
  </si>
  <si>
    <t>FRA</t>
  </si>
  <si>
    <t>French Guiana</t>
  </si>
  <si>
    <t>GUF</t>
  </si>
  <si>
    <t>GF</t>
  </si>
  <si>
    <t>French Polynesia</t>
  </si>
  <si>
    <t>PYF</t>
  </si>
  <si>
    <t>PF</t>
  </si>
  <si>
    <t>French Southern Territories (the)</t>
  </si>
  <si>
    <t>ATF</t>
  </si>
  <si>
    <t>TF</t>
  </si>
  <si>
    <t>Gabon</t>
  </si>
  <si>
    <t>GAB</t>
  </si>
  <si>
    <t>GA</t>
  </si>
  <si>
    <t>Gambia (the)</t>
  </si>
  <si>
    <t>GMB</t>
  </si>
  <si>
    <t>GM</t>
  </si>
  <si>
    <t>Georgia</t>
  </si>
  <si>
    <t>GEO</t>
  </si>
  <si>
    <t>GE</t>
  </si>
  <si>
    <t>Germany</t>
  </si>
  <si>
    <t>DEU</t>
  </si>
  <si>
    <t>Ghana</t>
  </si>
  <si>
    <t>GHA</t>
  </si>
  <si>
    <t>GH</t>
  </si>
  <si>
    <t>Gibraltar</t>
  </si>
  <si>
    <t>GIB</t>
  </si>
  <si>
    <t>GI</t>
  </si>
  <si>
    <t>Greece</t>
  </si>
  <si>
    <t>GRC</t>
  </si>
  <si>
    <t>GR</t>
  </si>
  <si>
    <t>Greenland</t>
  </si>
  <si>
    <t>GRL</t>
  </si>
  <si>
    <t>GL</t>
  </si>
  <si>
    <t>Grenada</t>
  </si>
  <si>
    <t>GRD</t>
  </si>
  <si>
    <t>GD</t>
  </si>
  <si>
    <t>Guadeloupe</t>
  </si>
  <si>
    <t>GLP</t>
  </si>
  <si>
    <t>GP</t>
  </si>
  <si>
    <t>Guam</t>
  </si>
  <si>
    <t>GUM</t>
  </si>
  <si>
    <t>GU</t>
  </si>
  <si>
    <t>Guatemala</t>
  </si>
  <si>
    <t>GTM</t>
  </si>
  <si>
    <t>GT</t>
  </si>
  <si>
    <t>Guernsey</t>
  </si>
  <si>
    <t>GGY</t>
  </si>
  <si>
    <t>GG</t>
  </si>
  <si>
    <t>Guinea</t>
  </si>
  <si>
    <t>GIN</t>
  </si>
  <si>
    <t>GN</t>
  </si>
  <si>
    <t>Guinea-Bissau</t>
  </si>
  <si>
    <t>GNB</t>
  </si>
  <si>
    <t>GW</t>
  </si>
  <si>
    <t>Guyana</t>
  </si>
  <si>
    <t>GUY</t>
  </si>
  <si>
    <t>GY</t>
  </si>
  <si>
    <t>Haiti</t>
  </si>
  <si>
    <t>HTI</t>
  </si>
  <si>
    <t>HT</t>
  </si>
  <si>
    <t>Heard Island and McDonald Islands</t>
  </si>
  <si>
    <t>HMD</t>
  </si>
  <si>
    <t>HM</t>
  </si>
  <si>
    <t>Holy See (the)</t>
  </si>
  <si>
    <t>VAT</t>
  </si>
  <si>
    <t>VA</t>
  </si>
  <si>
    <t>Honduras</t>
  </si>
  <si>
    <t>HND</t>
  </si>
  <si>
    <t>HN</t>
  </si>
  <si>
    <t>Hong Kong</t>
  </si>
  <si>
    <t>HKG</t>
  </si>
  <si>
    <t>Hungary</t>
  </si>
  <si>
    <t>HUN</t>
  </si>
  <si>
    <t>HU</t>
  </si>
  <si>
    <t>Iceland</t>
  </si>
  <si>
    <t>ISL</t>
  </si>
  <si>
    <t>IS</t>
  </si>
  <si>
    <t>India</t>
  </si>
  <si>
    <t>IND</t>
  </si>
  <si>
    <t>IN</t>
  </si>
  <si>
    <t>Indonesia</t>
  </si>
  <si>
    <t>IDN</t>
  </si>
  <si>
    <t>ID</t>
  </si>
  <si>
    <t>Iran (Islamic Republic of)</t>
  </si>
  <si>
    <t>IRN</t>
  </si>
  <si>
    <t>IR</t>
  </si>
  <si>
    <t>Iraq</t>
  </si>
  <si>
    <t>IRQ</t>
  </si>
  <si>
    <t>IQ</t>
  </si>
  <si>
    <t>Ireland</t>
  </si>
  <si>
    <t>IRL</t>
  </si>
  <si>
    <t>Isle of Man</t>
  </si>
  <si>
    <t>IMN</t>
  </si>
  <si>
    <t>IM</t>
  </si>
  <si>
    <t>Israel</t>
  </si>
  <si>
    <t>ISR</t>
  </si>
  <si>
    <t>IL</t>
  </si>
  <si>
    <t>Italy</t>
  </si>
  <si>
    <t>ITA</t>
  </si>
  <si>
    <t>Jamaica</t>
  </si>
  <si>
    <t>JAM</t>
  </si>
  <si>
    <t>JM</t>
  </si>
  <si>
    <t>Japan</t>
  </si>
  <si>
    <t>JPN</t>
  </si>
  <si>
    <t>JP</t>
  </si>
  <si>
    <t>Jersey</t>
  </si>
  <si>
    <t>JEY</t>
  </si>
  <si>
    <t>JE</t>
  </si>
  <si>
    <t>Jordan</t>
  </si>
  <si>
    <t>JOR</t>
  </si>
  <si>
    <t>JO</t>
  </si>
  <si>
    <t>Kazakhstan</t>
  </si>
  <si>
    <t>KAZ</t>
  </si>
  <si>
    <t>KZ</t>
  </si>
  <si>
    <t>Kenya</t>
  </si>
  <si>
    <t>KEN</t>
  </si>
  <si>
    <t>KE</t>
  </si>
  <si>
    <t>Kiribati</t>
  </si>
  <si>
    <t>KIR</t>
  </si>
  <si>
    <t>KI</t>
  </si>
  <si>
    <t>Korea (the Democratic People's Republic of)</t>
  </si>
  <si>
    <t>PRK</t>
  </si>
  <si>
    <t>KP</t>
  </si>
  <si>
    <t>Korea (the Republic of)</t>
  </si>
  <si>
    <t>KOR</t>
  </si>
  <si>
    <t>KR</t>
  </si>
  <si>
    <t>Kuwait</t>
  </si>
  <si>
    <t>KWT</t>
  </si>
  <si>
    <t>KW</t>
  </si>
  <si>
    <t>Kyrgyzstan</t>
  </si>
  <si>
    <t>KGZ</t>
  </si>
  <si>
    <t>KG</t>
  </si>
  <si>
    <t>Lao People's Democratic Republic (the)</t>
  </si>
  <si>
    <t>LAO</t>
  </si>
  <si>
    <t>LA</t>
  </si>
  <si>
    <t>Latvia</t>
  </si>
  <si>
    <t>LVA</t>
  </si>
  <si>
    <t>LV</t>
  </si>
  <si>
    <t>Lebanon</t>
  </si>
  <si>
    <t>LBN</t>
  </si>
  <si>
    <t>LB</t>
  </si>
  <si>
    <t>Lesotho</t>
  </si>
  <si>
    <t>LSO</t>
  </si>
  <si>
    <t>LS</t>
  </si>
  <si>
    <t>Liberia</t>
  </si>
  <si>
    <t>LBR</t>
  </si>
  <si>
    <t>LR</t>
  </si>
  <si>
    <t>Libya</t>
  </si>
  <si>
    <t>LBY</t>
  </si>
  <si>
    <t>LY</t>
  </si>
  <si>
    <t>Liechtenstein</t>
  </si>
  <si>
    <t>LIE</t>
  </si>
  <si>
    <t>LI</t>
  </si>
  <si>
    <t>Lithuania</t>
  </si>
  <si>
    <t>LTU</t>
  </si>
  <si>
    <t>LT</t>
  </si>
  <si>
    <t>Luxembourg</t>
  </si>
  <si>
    <t>LUX</t>
  </si>
  <si>
    <t>Macao</t>
  </si>
  <si>
    <t>MAC</t>
  </si>
  <si>
    <t>MO</t>
  </si>
  <si>
    <t>Madagascar</t>
  </si>
  <si>
    <t>MDG</t>
  </si>
  <si>
    <t>MG</t>
  </si>
  <si>
    <t>Malawi</t>
  </si>
  <si>
    <t>MWI</t>
  </si>
  <si>
    <t>MW</t>
  </si>
  <si>
    <t>Malaysia</t>
  </si>
  <si>
    <t>MYS</t>
  </si>
  <si>
    <t>MY</t>
  </si>
  <si>
    <t>Maldives</t>
  </si>
  <si>
    <t>MDV</t>
  </si>
  <si>
    <t>MV</t>
  </si>
  <si>
    <t>Mali</t>
  </si>
  <si>
    <t>MLI</t>
  </si>
  <si>
    <t>ML</t>
  </si>
  <si>
    <t>Malta</t>
  </si>
  <si>
    <t>MLT</t>
  </si>
  <si>
    <t>MT</t>
  </si>
  <si>
    <t>Marshall Islands (the)</t>
  </si>
  <si>
    <t>MHL</t>
  </si>
  <si>
    <t>MH</t>
  </si>
  <si>
    <t>Martinique</t>
  </si>
  <si>
    <t>MTQ</t>
  </si>
  <si>
    <t>MQ</t>
  </si>
  <si>
    <t>Mauritania</t>
  </si>
  <si>
    <t>MRT</t>
  </si>
  <si>
    <t>MR</t>
  </si>
  <si>
    <t>Mauritius</t>
  </si>
  <si>
    <t>MUS</t>
  </si>
  <si>
    <t>MU</t>
  </si>
  <si>
    <t>Mayotte</t>
  </si>
  <si>
    <t>MYT</t>
  </si>
  <si>
    <t>YT</t>
  </si>
  <si>
    <t>Mexico</t>
  </si>
  <si>
    <t>MEX</t>
  </si>
  <si>
    <t>Micronesia (Federated States of)</t>
  </si>
  <si>
    <t>FSM</t>
  </si>
  <si>
    <t>FM</t>
  </si>
  <si>
    <t>Moldova (the Republic of)</t>
  </si>
  <si>
    <t>MDA</t>
  </si>
  <si>
    <t>MD</t>
  </si>
  <si>
    <t>Monaco</t>
  </si>
  <si>
    <t>MCO</t>
  </si>
  <si>
    <t>MC</t>
  </si>
  <si>
    <t>Mongolia</t>
  </si>
  <si>
    <t>MNG</t>
  </si>
  <si>
    <t>MN</t>
  </si>
  <si>
    <t>Montenegro</t>
  </si>
  <si>
    <t>MNE</t>
  </si>
  <si>
    <t>ME</t>
  </si>
  <si>
    <t>Montserrat</t>
  </si>
  <si>
    <t>MSR</t>
  </si>
  <si>
    <t>MS</t>
  </si>
  <si>
    <t>Morocco</t>
  </si>
  <si>
    <t>MAR</t>
  </si>
  <si>
    <t>MA</t>
  </si>
  <si>
    <t>Mozambique</t>
  </si>
  <si>
    <t>MOZ</t>
  </si>
  <si>
    <t>MZ</t>
  </si>
  <si>
    <t>Myanmar</t>
  </si>
  <si>
    <t>MMR</t>
  </si>
  <si>
    <t>MM</t>
  </si>
  <si>
    <t>Namibia</t>
  </si>
  <si>
    <t>NAM</t>
  </si>
  <si>
    <t>NA</t>
  </si>
  <si>
    <t>Nauru</t>
  </si>
  <si>
    <t>NRU</t>
  </si>
  <si>
    <t>NR</t>
  </si>
  <si>
    <t>Nepal</t>
  </si>
  <si>
    <t>NPL</t>
  </si>
  <si>
    <t>NP</t>
  </si>
  <si>
    <t>Netherlands (the)</t>
  </si>
  <si>
    <t>NLD</t>
  </si>
  <si>
    <t>New Caledonia</t>
  </si>
  <si>
    <t>NCL</t>
  </si>
  <si>
    <t>NC</t>
  </si>
  <si>
    <t>New Zealand</t>
  </si>
  <si>
    <t>NZL</t>
  </si>
  <si>
    <t>Nicaragua</t>
  </si>
  <si>
    <t>NIC</t>
  </si>
  <si>
    <t>NI</t>
  </si>
  <si>
    <t>Niger (the)</t>
  </si>
  <si>
    <t>NER</t>
  </si>
  <si>
    <t>NE</t>
  </si>
  <si>
    <t>Nigeria</t>
  </si>
  <si>
    <t>NGA</t>
  </si>
  <si>
    <t>NG</t>
  </si>
  <si>
    <t>Niue</t>
  </si>
  <si>
    <t>NIU</t>
  </si>
  <si>
    <t>NU</t>
  </si>
  <si>
    <t>Norfolk Island</t>
  </si>
  <si>
    <t>NFK</t>
  </si>
  <si>
    <t>NF</t>
  </si>
  <si>
    <t>Northern Mariana Islands (the)</t>
  </si>
  <si>
    <t>MNP</t>
  </si>
  <si>
    <t>MP</t>
  </si>
  <si>
    <t>Norway</t>
  </si>
  <si>
    <t>NOR</t>
  </si>
  <si>
    <t>Oman</t>
  </si>
  <si>
    <t>OMN</t>
  </si>
  <si>
    <t>OM</t>
  </si>
  <si>
    <t>Pakistan</t>
  </si>
  <si>
    <t>PAK</t>
  </si>
  <si>
    <t>PK</t>
  </si>
  <si>
    <t>Palau</t>
  </si>
  <si>
    <t>PLW</t>
  </si>
  <si>
    <t>PW</t>
  </si>
  <si>
    <t>Palestine, State of</t>
  </si>
  <si>
    <t>PSE</t>
  </si>
  <si>
    <t>PS</t>
  </si>
  <si>
    <t>Panama</t>
  </si>
  <si>
    <t>PAN</t>
  </si>
  <si>
    <t>PA</t>
  </si>
  <si>
    <t>Papua New Guinea</t>
  </si>
  <si>
    <t>PNG</t>
  </si>
  <si>
    <t>PG</t>
  </si>
  <si>
    <t>Paraguay</t>
  </si>
  <si>
    <t>PRY</t>
  </si>
  <si>
    <t>PY</t>
  </si>
  <si>
    <t>Peru</t>
  </si>
  <si>
    <t>PER</t>
  </si>
  <si>
    <t>PE</t>
  </si>
  <si>
    <t>Philippines (the)</t>
  </si>
  <si>
    <t>PHL</t>
  </si>
  <si>
    <t>PH</t>
  </si>
  <si>
    <t>Pitcairn</t>
  </si>
  <si>
    <t>PCN</t>
  </si>
  <si>
    <t>PN</t>
  </si>
  <si>
    <t>Poland</t>
  </si>
  <si>
    <t>POL</t>
  </si>
  <si>
    <t>PL</t>
  </si>
  <si>
    <t>Portugal</t>
  </si>
  <si>
    <t>PRT</t>
  </si>
  <si>
    <t>PT</t>
  </si>
  <si>
    <t>Puerto Rico</t>
  </si>
  <si>
    <t>PRI</t>
  </si>
  <si>
    <t>PR</t>
  </si>
  <si>
    <t>Qatar</t>
  </si>
  <si>
    <t>QAT</t>
  </si>
  <si>
    <t>QA</t>
  </si>
  <si>
    <t>Republic of North Macedonia</t>
  </si>
  <si>
    <t>MKD</t>
  </si>
  <si>
    <t>MK</t>
  </si>
  <si>
    <t>Romania</t>
  </si>
  <si>
    <t>ROU</t>
  </si>
  <si>
    <t>RO</t>
  </si>
  <si>
    <t>Russian Federation (the)</t>
  </si>
  <si>
    <t>RUS</t>
  </si>
  <si>
    <t>RU</t>
  </si>
  <si>
    <t>Rwanda</t>
  </si>
  <si>
    <t>RWA</t>
  </si>
  <si>
    <t>RW</t>
  </si>
  <si>
    <t>Réunion</t>
  </si>
  <si>
    <t>REU</t>
  </si>
  <si>
    <t>RE</t>
  </si>
  <si>
    <t>Saint Barthélemy</t>
  </si>
  <si>
    <t>BLM</t>
  </si>
  <si>
    <t>BL</t>
  </si>
  <si>
    <t>Saint Helena, Ascension and Tristan da Cunha</t>
  </si>
  <si>
    <t>SHN</t>
  </si>
  <si>
    <t>SH</t>
  </si>
  <si>
    <t>Saint Kitts and Nevis</t>
  </si>
  <si>
    <t>KNA</t>
  </si>
  <si>
    <t>KN</t>
  </si>
  <si>
    <t>Saint Lucia</t>
  </si>
  <si>
    <t>LCA</t>
  </si>
  <si>
    <t>LC</t>
  </si>
  <si>
    <t>Saint Martin (French part)</t>
  </si>
  <si>
    <t>MAF</t>
  </si>
  <si>
    <t>MF</t>
  </si>
  <si>
    <t>Saint Pierre and Miquelon</t>
  </si>
  <si>
    <t>SPM</t>
  </si>
  <si>
    <t>PM</t>
  </si>
  <si>
    <t>Saint Vincent and the Grenadines</t>
  </si>
  <si>
    <t>VCT</t>
  </si>
  <si>
    <t>VC</t>
  </si>
  <si>
    <t>Samoa</t>
  </si>
  <si>
    <t>WSM</t>
  </si>
  <si>
    <t>WS</t>
  </si>
  <si>
    <t>San Marino</t>
  </si>
  <si>
    <t>SMR</t>
  </si>
  <si>
    <t>SM</t>
  </si>
  <si>
    <t>Sao Tome and Principe</t>
  </si>
  <si>
    <t>STP</t>
  </si>
  <si>
    <t>ST</t>
  </si>
  <si>
    <t>Saudi Arabia</t>
  </si>
  <si>
    <t>SAU</t>
  </si>
  <si>
    <t>SA</t>
  </si>
  <si>
    <t>Senegal</t>
  </si>
  <si>
    <t>SEN</t>
  </si>
  <si>
    <t>SN</t>
  </si>
  <si>
    <t>Serbia</t>
  </si>
  <si>
    <t>SRB</t>
  </si>
  <si>
    <t>RS</t>
  </si>
  <si>
    <t>Seychelles</t>
  </si>
  <si>
    <t>SYC</t>
  </si>
  <si>
    <t>SC</t>
  </si>
  <si>
    <t>Sierra Leone</t>
  </si>
  <si>
    <t>SLE</t>
  </si>
  <si>
    <t>SL</t>
  </si>
  <si>
    <t>Singapore</t>
  </si>
  <si>
    <t>SGP</t>
  </si>
  <si>
    <t>Sint Maarten (Dutch part)</t>
  </si>
  <si>
    <t>SXM</t>
  </si>
  <si>
    <t>SX</t>
  </si>
  <si>
    <t>Slovakia</t>
  </si>
  <si>
    <t>SVK</t>
  </si>
  <si>
    <t>SK</t>
  </si>
  <si>
    <t>Slovenia</t>
  </si>
  <si>
    <t>SVN</t>
  </si>
  <si>
    <t>SI</t>
  </si>
  <si>
    <t>Solomon Islands</t>
  </si>
  <si>
    <t>SLB</t>
  </si>
  <si>
    <t>SB</t>
  </si>
  <si>
    <t>Somalia</t>
  </si>
  <si>
    <t>SOM</t>
  </si>
  <si>
    <t>SO</t>
  </si>
  <si>
    <t>South Africa</t>
  </si>
  <si>
    <t>ZAF</t>
  </si>
  <si>
    <t>ZA</t>
  </si>
  <si>
    <t>South Georgia and the South Sandwich Islands</t>
  </si>
  <si>
    <t>SGS</t>
  </si>
  <si>
    <t>GS</t>
  </si>
  <si>
    <t>South Sudan</t>
  </si>
  <si>
    <t>SSD</t>
  </si>
  <si>
    <t>SS</t>
  </si>
  <si>
    <t>Spain</t>
  </si>
  <si>
    <t>ESP</t>
  </si>
  <si>
    <t>Sri Lanka</t>
  </si>
  <si>
    <t>LKA</t>
  </si>
  <si>
    <t>LK</t>
  </si>
  <si>
    <t>Sudan (the)</t>
  </si>
  <si>
    <t>SDN</t>
  </si>
  <si>
    <t>SD</t>
  </si>
  <si>
    <t>Suriname</t>
  </si>
  <si>
    <t>SUR</t>
  </si>
  <si>
    <t>SR</t>
  </si>
  <si>
    <t>Svalbard and Jan Mayen</t>
  </si>
  <si>
    <t>SJM</t>
  </si>
  <si>
    <t>SJ</t>
  </si>
  <si>
    <t>Sweden</t>
  </si>
  <si>
    <t>SWE</t>
  </si>
  <si>
    <t>Switzerland</t>
  </si>
  <si>
    <t>CHE</t>
  </si>
  <si>
    <t>Syrian Arab Republic</t>
  </si>
  <si>
    <t>SYR</t>
  </si>
  <si>
    <t>SY</t>
  </si>
  <si>
    <t>Taiwan (Province of China)</t>
  </si>
  <si>
    <t>TWN</t>
  </si>
  <si>
    <t>TW</t>
  </si>
  <si>
    <t>Tajikistan</t>
  </si>
  <si>
    <t>TJK</t>
  </si>
  <si>
    <t>TJ</t>
  </si>
  <si>
    <t>Tanzania, United Republic of</t>
  </si>
  <si>
    <t>TZA</t>
  </si>
  <si>
    <t>TZ</t>
  </si>
  <si>
    <t>Thailand</t>
  </si>
  <si>
    <t>THA</t>
  </si>
  <si>
    <t>TH</t>
  </si>
  <si>
    <t>Timor-Leste</t>
  </si>
  <si>
    <t>TLS</t>
  </si>
  <si>
    <t>TL</t>
  </si>
  <si>
    <t>Togo</t>
  </si>
  <si>
    <t>TGO</t>
  </si>
  <si>
    <t>TG</t>
  </si>
  <si>
    <t>Tokelau</t>
  </si>
  <si>
    <t>TKL</t>
  </si>
  <si>
    <t>TK</t>
  </si>
  <si>
    <t>Tonga</t>
  </si>
  <si>
    <t>TON</t>
  </si>
  <si>
    <t>TO</t>
  </si>
  <si>
    <t>Trinidad and Tobago</t>
  </si>
  <si>
    <t>TTO</t>
  </si>
  <si>
    <t>TT</t>
  </si>
  <si>
    <t>Tunisia</t>
  </si>
  <si>
    <t>TUN</t>
  </si>
  <si>
    <t>TN</t>
  </si>
  <si>
    <t>Turkey</t>
  </si>
  <si>
    <t>TUR</t>
  </si>
  <si>
    <t>TR</t>
  </si>
  <si>
    <t>Turkmenistan</t>
  </si>
  <si>
    <t>TKM</t>
  </si>
  <si>
    <t>TM</t>
  </si>
  <si>
    <t>Turks and Caicos Islands (the)</t>
  </si>
  <si>
    <t>TCA</t>
  </si>
  <si>
    <t>TC</t>
  </si>
  <si>
    <t>Tuvalu</t>
  </si>
  <si>
    <t>TUV</t>
  </si>
  <si>
    <t>TV</t>
  </si>
  <si>
    <t>Uganda</t>
  </si>
  <si>
    <t>UGA</t>
  </si>
  <si>
    <t>UG</t>
  </si>
  <si>
    <t>Ukraine</t>
  </si>
  <si>
    <t>UKR</t>
  </si>
  <si>
    <t>UA</t>
  </si>
  <si>
    <t>United Arab Emirates (the)</t>
  </si>
  <si>
    <t>ARE</t>
  </si>
  <si>
    <t>AE</t>
  </si>
  <si>
    <t>United Kingdom of Great Britain and Northern Ireland (the)</t>
  </si>
  <si>
    <t>GBR</t>
  </si>
  <si>
    <t>United States Minor Outlying Islands (the)</t>
  </si>
  <si>
    <t>UMI</t>
  </si>
  <si>
    <t>UM</t>
  </si>
  <si>
    <t>United States of America (the)</t>
  </si>
  <si>
    <t>USA</t>
  </si>
  <si>
    <t>Uruguay</t>
  </si>
  <si>
    <t>URY</t>
  </si>
  <si>
    <t>UY</t>
  </si>
  <si>
    <t>Uzbekistan</t>
  </si>
  <si>
    <t>UZB</t>
  </si>
  <si>
    <t>UZ</t>
  </si>
  <si>
    <t>Vanuatu</t>
  </si>
  <si>
    <t>VUT</t>
  </si>
  <si>
    <t>VU</t>
  </si>
  <si>
    <t>Venezuela (Bolivarian Republic of)</t>
  </si>
  <si>
    <t>VEN</t>
  </si>
  <si>
    <t>VE</t>
  </si>
  <si>
    <t>Viet Nam</t>
  </si>
  <si>
    <t>VNM</t>
  </si>
  <si>
    <t>VN</t>
  </si>
  <si>
    <t>Virgin Islands (British)</t>
  </si>
  <si>
    <t>VGB</t>
  </si>
  <si>
    <t>VG</t>
  </si>
  <si>
    <t>Virgin Islands (U.S.)</t>
  </si>
  <si>
    <t>VIR</t>
  </si>
  <si>
    <t>VI</t>
  </si>
  <si>
    <t>Wallis and Futuna</t>
  </si>
  <si>
    <t>WLF</t>
  </si>
  <si>
    <t>WF</t>
  </si>
  <si>
    <t>Western Sahara</t>
  </si>
  <si>
    <t>ESH</t>
  </si>
  <si>
    <t>EH</t>
  </si>
  <si>
    <t>Yemen</t>
  </si>
  <si>
    <t>YEM</t>
  </si>
  <si>
    <t>YE</t>
  </si>
  <si>
    <t>Zambia</t>
  </si>
  <si>
    <t>ZMB</t>
  </si>
  <si>
    <t>ZM</t>
  </si>
  <si>
    <t>Zimbabwe</t>
  </si>
  <si>
    <t>ZWE</t>
  </si>
  <si>
    <t>ZW</t>
  </si>
  <si>
    <t>Åland Islands</t>
  </si>
  <si>
    <t>ALA</t>
  </si>
  <si>
    <t>AX</t>
  </si>
  <si>
    <t>Pledged Amt</t>
  </si>
  <si>
    <t>Wealth</t>
  </si>
  <si>
    <t>The relationship between project goal amount and successful outcomes becomes more unpredictable when all native currencies are changed to USD, Assuming the currency amount is in native currency</t>
  </si>
  <si>
    <t>% Successful</t>
  </si>
  <si>
    <t>% Failed</t>
  </si>
  <si>
    <t>% Canceled</t>
  </si>
  <si>
    <t>Num Successful</t>
  </si>
  <si>
    <t>Number 
Failed</t>
  </si>
  <si>
    <t>Num
Canceled</t>
  </si>
  <si>
    <t>Total
Projects</t>
  </si>
  <si>
    <t>Total Resolved</t>
  </si>
  <si>
    <t>Resolved Projects</t>
  </si>
  <si>
    <t>ExtraUSD</t>
  </si>
  <si>
    <t>Country_Extra</t>
  </si>
  <si>
    <t>Country_Extra$</t>
  </si>
  <si>
    <t>This was suporting data for my analysis</t>
  </si>
  <si>
    <t>This was supporting data for my analysis and edification</t>
  </si>
  <si>
    <t>This assumes the currency needed to be converted</t>
  </si>
  <si>
    <t>This data did no currency conversion</t>
  </si>
  <si>
    <t>Success rate based on $</t>
  </si>
  <si>
    <t>Percentage Success Vs Per Capita Wealth</t>
  </si>
  <si>
    <t>%Success</t>
  </si>
  <si>
    <t>By Avg backers</t>
  </si>
  <si>
    <t>Average of backers_count</t>
  </si>
  <si>
    <t>Row Labels</t>
  </si>
  <si>
    <t>Nbr Of Campaigns</t>
  </si>
  <si>
    <t>Outcome</t>
  </si>
  <si>
    <t>Nbr of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</si>
</sst>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4" formatCode="_(&quot;$&quot;* #,##0.00_);_(&quot;$&quot;* \(#,##0.00\);_(&quot;$&quot;* &quot;-&quot;??_);_(@_)"/>
    <numFmt numFmtId="43" formatCode="_(* #,##0.00_);_(* \(#,##0.00\);_(* &quot;-&quot;??_);_(@_)"/>
    <numFmt numFmtId="164" formatCode="0.0%"/>
    <numFmt numFmtId="165" formatCode="0.0"/>
    <numFmt numFmtId="166" formatCode="_(* #,##0.0_);_(* \(#,##0.0\);_(* &quot;-&quot;??_);_(@_)"/>
    <numFmt numFmtId="167" formatCode="_(&quot;$&quot;* #,##0_);_(&quot;$&quot;* \(#,##0\);_(&quot;$&quot;* &quot;-&quot;??_);_(@_)"/>
  </numFmts>
  <fonts count="23"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sz val="11"/>
      <color theme="0"/>
      <name val="Calibri"/>
      <family val="2"/>
      <scheme val="minor"/>
    </font>
    <font>
      <sz val="9"/>
      <color theme="1"/>
      <name val="Arial"/>
      <family val="2"/>
    </font>
    <font>
      <sz val="9"/>
      <color indexed="81"/>
      <name val="Tahoma"/>
      <family val="2"/>
    </font>
    <font>
      <b/>
      <sz val="9"/>
      <color indexed="81"/>
      <name val="Tahoma"/>
      <family val="2"/>
    </font>
    <font>
      <b/>
      <sz val="12"/>
      <color theme="1"/>
      <name val="Calibri"/>
      <family val="2"/>
      <scheme val="minor"/>
    </font>
    <font>
      <b/>
      <sz val="11"/>
      <color rgb="FF3F3F76"/>
      <name val="Calibri"/>
      <family val="2"/>
      <scheme val="minor"/>
    </font>
    <font>
      <b/>
      <sz val="13"/>
      <color theme="3"/>
      <name val="Calibri"/>
      <family val="2"/>
      <scheme val="minor"/>
    </font>
    <font>
      <b/>
      <sz val="11"/>
      <color theme="3"/>
      <name val="Calibri"/>
      <family val="2"/>
      <scheme val="minor"/>
    </font>
    <font>
      <b/>
      <u/>
      <sz val="11"/>
      <color theme="3"/>
      <name val="Calibri"/>
      <family val="2"/>
      <scheme val="minor"/>
    </font>
    <font>
      <sz val="9"/>
      <color indexed="81"/>
      <name val="Tahoma"/>
      <charset val="1"/>
    </font>
    <font>
      <b/>
      <sz val="9"/>
      <color indexed="81"/>
      <name val="Tahoma"/>
      <charset val="1"/>
    </font>
    <font>
      <b/>
      <sz val="11"/>
      <color rgb="FFFA7D00"/>
      <name val="Calibri"/>
      <family val="2"/>
      <scheme val="minor"/>
    </font>
    <font>
      <i/>
      <sz val="11"/>
      <color theme="1"/>
      <name val="Calibri"/>
      <family val="2"/>
      <scheme val="minor"/>
    </font>
    <font>
      <sz val="14"/>
      <color theme="1"/>
      <name val="Calibri"/>
      <family val="2"/>
      <scheme val="minor"/>
    </font>
    <font>
      <sz val="14"/>
      <color theme="1"/>
      <name val="Calibri Light"/>
      <family val="2"/>
      <scheme val="major"/>
    </font>
    <font>
      <sz val="11"/>
      <color rgb="FF9C5700"/>
      <name val="Arial Narrow"/>
      <family val="2"/>
    </font>
  </fonts>
  <fills count="12">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7" tint="0.79998168889431442"/>
        <bgColor indexed="64"/>
      </patternFill>
    </fill>
    <fill>
      <patternFill patternType="solid">
        <fgColor rgb="FF92D050"/>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FF00"/>
        <bgColor indexed="64"/>
      </patternFill>
    </fill>
  </fills>
  <borders count="1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right/>
      <top/>
      <bottom style="thick">
        <color theme="4" tint="0.49998474074526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4" tint="0.39997558519241921"/>
      </bottom>
      <diagonal/>
    </border>
    <border>
      <left/>
      <right/>
      <top style="thin">
        <color theme="4" tint="0.39997558519241921"/>
      </top>
      <bottom/>
      <diagonal/>
    </border>
  </borders>
  <cellStyleXfs count="12">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1" applyNumberFormat="0" applyAlignment="0" applyProtection="0"/>
    <xf numFmtId="0" fontId="6" fillId="5" borderId="2" applyNumberFormat="0" applyAlignment="0" applyProtection="0"/>
    <xf numFmtId="0" fontId="2" fillId="6" borderId="3" applyNumberFormat="0" applyFont="0" applyAlignment="0" applyProtection="0"/>
    <xf numFmtId="0" fontId="13" fillId="0" borderId="6" applyNumberFormat="0" applyFill="0" applyAlignment="0" applyProtection="0"/>
    <xf numFmtId="0" fontId="14" fillId="0" borderId="0" applyNumberFormat="0" applyFill="0" applyBorder="0" applyAlignment="0" applyProtection="0"/>
    <xf numFmtId="43" fontId="2" fillId="0" borderId="0" applyFont="0" applyFill="0" applyBorder="0" applyAlignment="0" applyProtection="0"/>
    <xf numFmtId="0" fontId="18" fillId="5" borderId="1" applyNumberFormat="0" applyAlignment="0" applyProtection="0"/>
  </cellStyleXfs>
  <cellXfs count="72">
    <xf numFmtId="0" fontId="0" fillId="0" borderId="0" xfId="0"/>
    <xf numFmtId="0" fontId="0" fillId="0" borderId="0" xfId="0" applyAlignment="1">
      <alignment wrapText="1"/>
    </xf>
    <xf numFmtId="14" fontId="0" fillId="0" borderId="0" xfId="0" applyNumberFormat="1" applyAlignment="1">
      <alignment wrapText="1"/>
    </xf>
    <xf numFmtId="9" fontId="0" fillId="0" borderId="0" xfId="2" applyFont="1"/>
    <xf numFmtId="14" fontId="0" fillId="0" borderId="0" xfId="0" applyNumberFormat="1"/>
    <xf numFmtId="44" fontId="0" fillId="0" borderId="0" xfId="1" applyFont="1"/>
    <xf numFmtId="164" fontId="7" fillId="0" borderId="0" xfId="2"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vertical="center" wrapText="1"/>
    </xf>
    <xf numFmtId="0" fontId="0" fillId="0" borderId="0" xfId="0" applyAlignment="1">
      <alignment vertical="center" wrapText="1"/>
    </xf>
    <xf numFmtId="14" fontId="0" fillId="0" borderId="0" xfId="0" applyNumberFormat="1" applyAlignment="1">
      <alignment horizontal="left"/>
    </xf>
    <xf numFmtId="0" fontId="8" fillId="0" borderId="0" xfId="0" applyNumberFormat="1" applyFont="1" applyAlignment="1">
      <alignment vertical="center" wrapText="1"/>
    </xf>
    <xf numFmtId="0" fontId="0" fillId="0" borderId="0" xfId="0" applyAlignment="1">
      <alignment horizontal="left" wrapText="1" indent="1"/>
    </xf>
    <xf numFmtId="2" fontId="1" fillId="0" borderId="0" xfId="0" applyNumberFormat="1" applyFont="1" applyAlignment="1">
      <alignment horizontal="center" vertical="center" wrapText="1"/>
    </xf>
    <xf numFmtId="2" fontId="0" fillId="0" borderId="0" xfId="1" applyNumberFormat="1" applyFont="1"/>
    <xf numFmtId="2" fontId="0" fillId="0" borderId="0" xfId="0" applyNumberFormat="1"/>
    <xf numFmtId="44" fontId="0" fillId="8" borderId="0" xfId="1" applyFont="1" applyFill="1"/>
    <xf numFmtId="0" fontId="4" fillId="3" borderId="0" xfId="4" applyAlignment="1">
      <alignment horizontal="center" vertical="center" wrapText="1"/>
    </xf>
    <xf numFmtId="0" fontId="11" fillId="0" borderId="0" xfId="0" applyFont="1" applyAlignment="1">
      <alignment wrapText="1"/>
    </xf>
    <xf numFmtId="0" fontId="11" fillId="0" borderId="0" xfId="0" applyFont="1"/>
    <xf numFmtId="0" fontId="0" fillId="0" borderId="0" xfId="0" applyAlignment="1">
      <alignment horizontal="center"/>
    </xf>
    <xf numFmtId="0" fontId="0" fillId="0" borderId="0" xfId="0" applyBorder="1"/>
    <xf numFmtId="1" fontId="0" fillId="0" borderId="0" xfId="0" applyNumberFormat="1" applyBorder="1"/>
    <xf numFmtId="0" fontId="0" fillId="0" borderId="10" xfId="0" applyBorder="1"/>
    <xf numFmtId="0" fontId="0" fillId="0" borderId="11" xfId="0" applyBorder="1"/>
    <xf numFmtId="0" fontId="14" fillId="0" borderId="10" xfId="9" applyBorder="1" applyAlignment="1">
      <alignment horizontal="center"/>
    </xf>
    <xf numFmtId="0" fontId="0" fillId="0" borderId="10" xfId="0" applyBorder="1" applyAlignment="1">
      <alignment horizontal="left" indent="2"/>
    </xf>
    <xf numFmtId="0" fontId="0" fillId="0" borderId="12" xfId="0" applyBorder="1"/>
    <xf numFmtId="0" fontId="0" fillId="0" borderId="13" xfId="0" applyBorder="1"/>
    <xf numFmtId="0" fontId="0" fillId="0" borderId="14" xfId="0" applyBorder="1"/>
    <xf numFmtId="0" fontId="15" fillId="0" borderId="0" xfId="9" applyFont="1" applyBorder="1" applyAlignment="1">
      <alignment horizontal="right"/>
    </xf>
    <xf numFmtId="0" fontId="15" fillId="0" borderId="11" xfId="9" applyFont="1" applyBorder="1" applyAlignment="1">
      <alignment horizontal="right"/>
    </xf>
    <xf numFmtId="165" fontId="0" fillId="0" borderId="0" xfId="0" applyNumberFormat="1" applyBorder="1"/>
    <xf numFmtId="165" fontId="0" fillId="0" borderId="11" xfId="0" applyNumberFormat="1" applyBorder="1"/>
    <xf numFmtId="1" fontId="0" fillId="0" borderId="11" xfId="0" applyNumberFormat="1" applyBorder="1"/>
    <xf numFmtId="166" fontId="0" fillId="0" borderId="0" xfId="10" applyNumberFormat="1" applyFont="1" applyBorder="1"/>
    <xf numFmtId="166" fontId="0" fillId="0" borderId="0" xfId="0" applyNumberFormat="1" applyBorder="1"/>
    <xf numFmtId="1" fontId="0" fillId="0" borderId="0" xfId="0" pivotButton="1" applyNumberFormat="1"/>
    <xf numFmtId="1" fontId="0" fillId="0" borderId="0" xfId="0" applyNumberFormat="1"/>
    <xf numFmtId="0" fontId="19" fillId="0" borderId="0" xfId="0" applyFont="1" applyAlignment="1">
      <alignment wrapText="1"/>
    </xf>
    <xf numFmtId="42" fontId="0" fillId="0" borderId="0" xfId="0" applyNumberFormat="1"/>
    <xf numFmtId="0" fontId="18" fillId="5" borderId="1" xfId="11" applyAlignment="1">
      <alignment horizontal="center" vertical="center" textRotation="90"/>
    </xf>
    <xf numFmtId="10" fontId="0" fillId="0" borderId="0" xfId="0" applyNumberFormat="1"/>
    <xf numFmtId="0" fontId="1" fillId="10" borderId="15" xfId="0" applyFont="1" applyFill="1" applyBorder="1"/>
    <xf numFmtId="0" fontId="1" fillId="10" borderId="16" xfId="0" applyFont="1" applyFill="1" applyBorder="1"/>
    <xf numFmtId="10" fontId="1" fillId="10" borderId="16" xfId="0" applyNumberFormat="1" applyFont="1" applyFill="1" applyBorder="1"/>
    <xf numFmtId="0" fontId="0" fillId="0" borderId="0" xfId="0" applyAlignment="1">
      <alignment horizontal="center" vertical="center" wrapText="1"/>
    </xf>
    <xf numFmtId="0" fontId="0" fillId="0" borderId="0" xfId="0" applyAlignment="1">
      <alignment horizontal="left" vertical="center" wrapText="1"/>
    </xf>
    <xf numFmtId="165" fontId="0" fillId="0" borderId="0" xfId="0" applyNumberFormat="1"/>
    <xf numFmtId="0" fontId="22" fillId="3" borderId="0" xfId="4" applyFont="1" applyAlignment="1"/>
    <xf numFmtId="0" fontId="22" fillId="3" borderId="0" xfId="4" applyFont="1" applyAlignment="1">
      <alignment horizontal="center"/>
    </xf>
    <xf numFmtId="167" fontId="0" fillId="0" borderId="0" xfId="1" applyNumberFormat="1" applyFont="1"/>
    <xf numFmtId="0" fontId="1" fillId="10" borderId="15" xfId="0" applyFont="1" applyFill="1" applyBorder="1" applyAlignment="1">
      <alignment horizontal="center" wrapText="1"/>
    </xf>
    <xf numFmtId="0" fontId="1" fillId="10" borderId="15" xfId="0" applyFont="1" applyFill="1" applyBorder="1" applyAlignment="1">
      <alignment horizontal="center"/>
    </xf>
    <xf numFmtId="1" fontId="1" fillId="10" borderId="15" xfId="0" applyNumberFormat="1" applyFont="1" applyFill="1" applyBorder="1" applyAlignment="1">
      <alignment horizontal="center"/>
    </xf>
    <xf numFmtId="1" fontId="0" fillId="0" borderId="0" xfId="0" applyNumberFormat="1" applyAlignment="1">
      <alignment horizontal="left"/>
    </xf>
    <xf numFmtId="0" fontId="3" fillId="2" borderId="0" xfId="3" applyAlignment="1">
      <alignment horizontal="center" vertical="center" textRotation="90"/>
    </xf>
    <xf numFmtId="0" fontId="0" fillId="9" borderId="0" xfId="0" applyFill="1" applyAlignment="1">
      <alignment horizontal="center" vertical="center" textRotation="90"/>
    </xf>
    <xf numFmtId="0" fontId="12" fillId="4" borderId="1" xfId="5" applyFont="1" applyAlignment="1">
      <alignment horizontal="center" vertical="center" textRotation="90" wrapText="1"/>
    </xf>
    <xf numFmtId="0" fontId="1" fillId="6" borderId="4" xfId="7" applyFont="1" applyBorder="1" applyAlignment="1">
      <alignment horizontal="center" vertical="center" textRotation="90"/>
    </xf>
    <xf numFmtId="0" fontId="1" fillId="6" borderId="5" xfId="7" applyFont="1" applyBorder="1" applyAlignment="1">
      <alignment horizontal="center" vertical="center" textRotation="90"/>
    </xf>
    <xf numFmtId="0" fontId="6" fillId="5" borderId="2" xfId="6" applyAlignment="1">
      <alignment horizontal="center" vertical="center" textRotation="90"/>
    </xf>
    <xf numFmtId="0" fontId="3" fillId="2" borderId="1" xfId="3" applyBorder="1" applyAlignment="1">
      <alignment horizontal="center" vertical="center" textRotation="90"/>
    </xf>
    <xf numFmtId="0" fontId="0" fillId="7" borderId="0" xfId="0" applyFill="1" applyAlignment="1">
      <alignment horizontal="center" vertical="center" textRotation="90"/>
    </xf>
    <xf numFmtId="0" fontId="20" fillId="11" borderId="0" xfId="0" applyFont="1" applyFill="1" applyAlignment="1">
      <alignment horizontal="center" wrapText="1"/>
    </xf>
    <xf numFmtId="0" fontId="21" fillId="0" borderId="0" xfId="0" applyFont="1" applyAlignment="1">
      <alignment horizontal="center"/>
    </xf>
    <xf numFmtId="0" fontId="13" fillId="0" borderId="7" xfId="8" applyBorder="1" applyAlignment="1">
      <alignment horizontal="center"/>
    </xf>
    <xf numFmtId="0" fontId="13" fillId="0" borderId="8" xfId="8" applyBorder="1" applyAlignment="1">
      <alignment horizontal="center"/>
    </xf>
    <xf numFmtId="0" fontId="13" fillId="0" borderId="9" xfId="8" applyBorder="1" applyAlignment="1">
      <alignment horizontal="center"/>
    </xf>
    <xf numFmtId="0" fontId="4" fillId="3" borderId="0" xfId="4" applyAlignment="1">
      <alignment horizontal="center"/>
    </xf>
  </cellXfs>
  <cellStyles count="12">
    <cellStyle name="Calculation" xfId="11" builtinId="22"/>
    <cellStyle name="Comma" xfId="10" builtinId="3"/>
    <cellStyle name="Currency" xfId="1" builtinId="4"/>
    <cellStyle name="Good" xfId="3" builtinId="26"/>
    <cellStyle name="Heading 2" xfId="8" builtinId="17"/>
    <cellStyle name="Heading 4" xfId="9" builtinId="19"/>
    <cellStyle name="Input" xfId="5" builtinId="20"/>
    <cellStyle name="Neutral" xfId="4" builtinId="28"/>
    <cellStyle name="Normal" xfId="0" builtinId="0"/>
    <cellStyle name="Note" xfId="7" builtinId="10"/>
    <cellStyle name="Output" xfId="6" builtinId="21"/>
    <cellStyle name="Percent" xfId="2" builtinId="5"/>
  </cellStyles>
  <dxfs count="47">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0"/>
        <name val="Calibri"/>
        <family val="2"/>
        <scheme val="minor"/>
      </font>
      <numFmt numFmtId="164" formatCode="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34" formatCode="_(&quot;$&quot;* #,##0.00_);_(&quot;$&quot;* \(#,##0.00\);_(&quot;$&quot;* &quot;-&quot;??_);_(@_)"/>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i val="0"/>
        <color theme="9" tint="-0.499984740745262"/>
      </font>
      <fill>
        <patternFill>
          <bgColor theme="9" tint="0.79998168889431442"/>
        </patternFill>
      </fill>
    </dxf>
    <dxf>
      <font>
        <b/>
        <i val="0"/>
        <color rgb="FFC00000"/>
      </font>
      <fill>
        <patternFill>
          <bgColor rgb="FFF3D5D9"/>
        </patternFill>
      </fill>
    </dxf>
    <dxf>
      <font>
        <b/>
        <i val="0"/>
        <color theme="7" tint="-0.499984740745262"/>
      </font>
      <fill>
        <patternFill>
          <bgColor theme="7" tint="0.79998168889431442"/>
        </patternFill>
      </fill>
    </dxf>
    <dxf>
      <font>
        <b/>
        <i val="0"/>
        <color theme="1" tint="4.9989318521683403E-2"/>
      </font>
      <fill>
        <patternFill>
          <bgColor theme="0" tint="-0.14996795556505021"/>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4" formatCode="0.00%"/>
    </dxf>
    <dxf>
      <numFmt numFmtId="14" formatCode="0.00%"/>
    </dxf>
    <dxf>
      <alignment horizontal="center" vertical="center" textRotation="0" wrapText="1" indent="0" justifyLastLine="0" shrinkToFit="0" readingOrder="0"/>
    </dxf>
    <dxf>
      <numFmt numFmtId="165" formatCode="0.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2" formatCode="_(&quot;$&quot;* #,##0_);_(&quot;$&quot;* \(#,##0\);_(&quot;$&quot;* &quot;-&quot;_);_(@_)"/>
    </dxf>
    <dxf>
      <numFmt numFmtId="34" formatCode="_(&quot;$&quot;* #,##0.00_);_(&quot;$&quot;* \(#,##0.00\);_(&quot;$&quot;* &quot;-&quot;??_);_(@_)"/>
    </dxf>
  </dxfs>
  <tableStyles count="0" defaultTableStyle="TableStyleMedium2" defaultPivotStyle="PivotStyleLight16"/>
  <colors>
    <mruColors>
      <color rgb="FFC01830"/>
      <color rgb="FFEA867C"/>
      <color rgb="FFE8B2BA"/>
      <color rgb="FFF3D5D9"/>
      <color rgb="FFF3750D"/>
      <color rgb="FFFFFFFF"/>
      <color rgb="FFFD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pivotCacheDefinition" Target="pivotCache/pivotCacheDefinition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worksheet" Target="worksheets/sheet6.xml"/><Relationship Id="rId2" Type="http://schemas.openxmlformats.org/officeDocument/2006/relationships/worksheet" Target="worksheets/sheet1.xml"/><Relationship Id="rId16" Type="http://schemas.openxmlformats.org/officeDocument/2006/relationships/worksheet" Target="worksheets/sheet15.xml"/><Relationship Id="rId20" Type="http://schemas.openxmlformats.org/officeDocument/2006/relationships/pivotCacheDefinition" Target="pivotCache/pivotCacheDefinition4.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9.xml"/><Relationship Id="rId19" Type="http://schemas.openxmlformats.org/officeDocument/2006/relationships/pivotCacheDefinition" Target="pivotCache/pivotCacheDefinition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7.xml"/><Relationship Id="rId3" Type="http://schemas.openxmlformats.org/officeDocument/2006/relationships/worksheet" Target="worksheets/sheet2.xml"/><Relationship Id="rId12" Type="http://schemas.openxmlformats.org/officeDocument/2006/relationships/worksheet" Target="worksheets/sheet11.xml"/><Relationship Id="rId17" Type="http://schemas.openxmlformats.org/officeDocument/2006/relationships/pivotCacheDefinition" Target="pivotCache/pivotCacheDefinition1.xml"/><Relationship Id="rId25" Type="http://schemas.openxmlformats.org/officeDocument/2006/relationships/sheetMetadata" Target="metadata.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[KickStarter_Analysis_SJL.xlsx]Sub_CategoryOLD!PivotTable1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Sub_CategoryOLD!$B$4:$B$5</c:f>
              <c:strCache>
                <c:ptCount val="1"/>
                <c:pt idx="0">
                  <c:v>successful</c:v>
                </c:pt>
              </c:strCache>
            </c:strRef>
          </c:tx>
          <c:spPr>
            <a:solidFill>
              <a:schemeClr val="accent1"/>
            </a:solidFill>
            <a:ln>
              <a:noFill/>
            </a:ln>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FEFE-4F34-BC0E-B431B1F4F49B}"/>
            </c:ext>
          </c:extLst>
        </c:ser>
        <c:ser>
          <c:idx val="1"/>
          <c:order val="1"/>
          <c:tx>
            <c:strRef>
              <c:f>Sub_CategoryOLD!$C$4:$C$5</c:f>
              <c:strCache>
                <c:ptCount val="1"/>
                <c:pt idx="0">
                  <c:v>failed</c:v>
                </c:pt>
              </c:strCache>
            </c:strRef>
          </c:tx>
          <c:spPr>
            <a:solidFill>
              <a:schemeClr val="accent2"/>
            </a:solidFill>
            <a:ln>
              <a:noFill/>
            </a:ln>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FEFE-4F34-BC0E-B431B1F4F49B}"/>
            </c:ext>
          </c:extLst>
        </c:ser>
        <c:ser>
          <c:idx val="2"/>
          <c:order val="2"/>
          <c:tx>
            <c:strRef>
              <c:f>Sub_CategoryOLD!$D$4:$D$5</c:f>
              <c:strCache>
                <c:ptCount val="1"/>
                <c:pt idx="0">
                  <c:v>canceled</c:v>
                </c:pt>
              </c:strCache>
            </c:strRef>
          </c:tx>
          <c:spPr>
            <a:solidFill>
              <a:schemeClr val="accent3"/>
            </a:solidFill>
            <a:ln>
              <a:noFill/>
            </a:ln>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FEFE-4F34-BC0E-B431B1F4F49B}"/>
            </c:ext>
          </c:extLst>
        </c:ser>
        <c:ser>
          <c:idx val="3"/>
          <c:order val="3"/>
          <c:tx>
            <c:strRef>
              <c:f>Sub_CategoryOLD!$E$4:$E$5</c:f>
              <c:strCache>
                <c:ptCount val="1"/>
                <c:pt idx="0">
                  <c:v>live</c:v>
                </c:pt>
              </c:strCache>
            </c:strRef>
          </c:tx>
          <c:spPr>
            <a:solidFill>
              <a:schemeClr val="accent4"/>
            </a:solidFill>
            <a:ln>
              <a:noFill/>
            </a:ln>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FEFE-4F34-BC0E-B431B1F4F49B}"/>
            </c:ext>
          </c:extLst>
        </c:ser>
        <c:dLbls>
          <c:showLegendKey val="0"/>
          <c:showVal val="0"/>
          <c:showCatName val="0"/>
          <c:showSerName val="0"/>
          <c:showPercent val="0"/>
          <c:showBubbleSize val="0"/>
        </c:dLbls>
        <c:gapWidth val="219"/>
        <c:overlap val="-27"/>
        <c:axId val="1372228912"/>
        <c:axId val="1252613920"/>
      </c:barChart>
      <c:catAx>
        <c:axId val="137222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613920"/>
        <c:crosses val="autoZero"/>
        <c:auto val="1"/>
        <c:lblAlgn val="ctr"/>
        <c:lblOffset val="100"/>
        <c:noMultiLvlLbl val="0"/>
      </c:catAx>
      <c:valAx>
        <c:axId val="125261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22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[KickStarter_Analysis_SJL.xlsx]Country_Extra$!PivotTable1</c:name>
    <c:fmtId val="0"/>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D26E-46DA-A44C-23EF1BF61EC5}"/>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D26E-46DA-A44C-23EF1BF61EC5}"/>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D26E-46DA-A44C-23EF1BF61EC5}"/>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[KickStarter_Analysis_SJL.xlsx]Country_Extra$!PivotTable1</c:name>
    <c:fmtId val="2"/>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'Country_Extra$'!$B$6:$B$27</c:f>
              <c:numCache>
                <c:formatCode>_("$"* #,##0_);_("$"* \(#,##0\);_("$"* "-"_);_(@_)</c:formatCode>
                <c:ptCount val="21"/>
                <c:pt idx="0">
                  <c:v>31910402.96000002</c:v>
                </c:pt>
                <c:pt idx="1">
                  <c:v>4287770.1372000007</c:v>
                </c:pt>
                <c:pt idx="2">
                  <c:v>2216935.1834000009</c:v>
                </c:pt>
                <c:pt idx="3">
                  <c:v>554295.56000000006</c:v>
                </c:pt>
                <c:pt idx="4">
                  <c:v>472216.72800000006</c:v>
                </c:pt>
                <c:pt idx="5">
                  <c:v>368709.50960000005</c:v>
                </c:pt>
                <c:pt idx="6">
                  <c:v>494319.69999999995</c:v>
                </c:pt>
                <c:pt idx="7">
                  <c:v>322404.17839999998</c:v>
                </c:pt>
                <c:pt idx="8">
                  <c:v>79270.039999999994</c:v>
                </c:pt>
                <c:pt idx="9">
                  <c:v>164257.45139999999</c:v>
                </c:pt>
                <c:pt idx="10">
                  <c:v>38217.438799999996</c:v>
                </c:pt>
                <c:pt idx="11">
                  <c:v>53599.37</c:v>
                </c:pt>
                <c:pt idx="12">
                  <c:v>31239.840499999998</c:v>
                </c:pt>
                <c:pt idx="13">
                  <c:v>29315.52</c:v>
                </c:pt>
                <c:pt idx="14">
                  <c:v>28260.600000000002</c:v>
                </c:pt>
                <c:pt idx="16">
                  <c:v>18957.29</c:v>
                </c:pt>
                <c:pt idx="17">
                  <c:v>6660.5199999999995</c:v>
                </c:pt>
                <c:pt idx="18">
                  <c:v>4867.72</c:v>
                </c:pt>
                <c:pt idx="19">
                  <c:v>4774.1973999999991</c:v>
                </c:pt>
              </c:numCache>
            </c:numRef>
          </c:val>
          <c:extLst>
            <c:ext xmlns:c16="http://schemas.microsoft.com/office/drawing/2014/chart" uri="{C3380CC4-5D6E-409C-BE32-E72D297353CC}">
              <c16:uniqueId val="{00000000-C01A-41DF-983A-BFB4573B9D1B}"/>
            </c:ext>
          </c:extLst>
        </c:ser>
        <c:ser>
          <c:idx val="1"/>
          <c:order val="1"/>
          <c:tx>
            <c:strRef>
              <c:f>'Country_Extra$'!$C$4:$C$5</c:f>
              <c:strCache>
                <c:ptCount val="1"/>
                <c:pt idx="0">
                  <c:v>failed</c:v>
                </c:pt>
              </c:strCache>
            </c:strRef>
          </c:tx>
          <c:spPr>
            <a:solidFill>
              <a:srgbClr val="EA867C"/>
            </a:solidFill>
            <a:ln>
              <a:solidFill>
                <a:srgbClr val="C00000"/>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'Country_Extra$'!$C$6:$C$27</c:f>
              <c:numCache>
                <c:formatCode>_("$"* #,##0_);_("$"* \(#,##0\);_("$"* "-"_);_(@_)</c:formatCode>
                <c:ptCount val="21"/>
                <c:pt idx="0">
                  <c:v>1670461.72</c:v>
                </c:pt>
                <c:pt idx="1">
                  <c:v>264990.56760000013</c:v>
                </c:pt>
                <c:pt idx="2">
                  <c:v>36591.799999999988</c:v>
                </c:pt>
                <c:pt idx="3">
                  <c:v>38452.660000000003</c:v>
                </c:pt>
                <c:pt idx="4">
                  <c:v>108608.75000000001</c:v>
                </c:pt>
                <c:pt idx="5">
                  <c:v>149767.52999999997</c:v>
                </c:pt>
                <c:pt idx="6">
                  <c:v>1108.02</c:v>
                </c:pt>
                <c:pt idx="7">
                  <c:v>55071.78</c:v>
                </c:pt>
                <c:pt idx="8">
                  <c:v>91062.959999999992</c:v>
                </c:pt>
                <c:pt idx="9">
                  <c:v>309.16000000000003</c:v>
                </c:pt>
                <c:pt idx="10">
                  <c:v>21467.739999999998</c:v>
                </c:pt>
                <c:pt idx="11">
                  <c:v>633.05000000000007</c:v>
                </c:pt>
                <c:pt idx="12">
                  <c:v>17851.349999999999</c:v>
                </c:pt>
                <c:pt idx="13">
                  <c:v>1536.8</c:v>
                </c:pt>
                <c:pt idx="14">
                  <c:v>617.06999999999994</c:v>
                </c:pt>
                <c:pt idx="15">
                  <c:v>26653.25</c:v>
                </c:pt>
                <c:pt idx="18">
                  <c:v>729.56000000000006</c:v>
                </c:pt>
                <c:pt idx="19">
                  <c:v>11.799999999999999</c:v>
                </c:pt>
                <c:pt idx="20">
                  <c:v>1309.1599999999999</c:v>
                </c:pt>
              </c:numCache>
            </c:numRef>
          </c:val>
          <c:extLst>
            <c:ext xmlns:c16="http://schemas.microsoft.com/office/drawing/2014/chart" uri="{C3380CC4-5D6E-409C-BE32-E72D297353CC}">
              <c16:uniqueId val="{00000001-C01A-41DF-983A-BFB4573B9D1B}"/>
            </c:ext>
          </c:extLst>
        </c:ser>
        <c:ser>
          <c:idx val="2"/>
          <c:order val="2"/>
          <c:tx>
            <c:strRef>
              <c:f>'Country_Extra$'!$D$4:$D$5</c:f>
              <c:strCache>
                <c:ptCount val="1"/>
                <c:pt idx="0">
                  <c:v>canceled</c:v>
                </c:pt>
              </c:strCache>
            </c:strRef>
          </c:tx>
          <c:spPr>
            <a:solidFill>
              <a:schemeClr val="accent4">
                <a:lumMod val="40000"/>
                <a:lumOff val="60000"/>
              </a:schemeClr>
            </a:solidFill>
            <a:ln>
              <a:solidFill>
                <a:schemeClr val="accent4">
                  <a:lumMod val="50000"/>
                </a:schemeClr>
              </a:solidFill>
            </a:ln>
            <a:effectLst/>
          </c:spPr>
          <c:invertIfNegative val="0"/>
          <c:cat>
            <c:strRef>
              <c:f>'Country_Extra$'!$A$6:$A$27</c:f>
              <c:strCache>
                <c:ptCount val="21"/>
                <c:pt idx="0">
                  <c:v>US</c:v>
                </c:pt>
                <c:pt idx="1">
                  <c:v>GB</c:v>
                </c:pt>
                <c:pt idx="2">
                  <c:v>DE</c:v>
                </c:pt>
                <c:pt idx="3">
                  <c:v>ES</c:v>
                </c:pt>
                <c:pt idx="4">
                  <c:v>CA</c:v>
                </c:pt>
                <c:pt idx="5">
                  <c:v>AU</c:v>
                </c:pt>
                <c:pt idx="6">
                  <c:v>AT</c:v>
                </c:pt>
                <c:pt idx="7">
                  <c:v>IT</c:v>
                </c:pt>
                <c:pt idx="8">
                  <c:v>NL</c:v>
                </c:pt>
                <c:pt idx="9">
                  <c:v>IE</c:v>
                </c:pt>
                <c:pt idx="10">
                  <c:v>FR</c:v>
                </c:pt>
                <c:pt idx="11">
                  <c:v>NO</c:v>
                </c:pt>
                <c:pt idx="12">
                  <c:v>SE</c:v>
                </c:pt>
                <c:pt idx="13">
                  <c:v>DK</c:v>
                </c:pt>
                <c:pt idx="14">
                  <c:v>NZ</c:v>
                </c:pt>
                <c:pt idx="15">
                  <c:v>HK</c:v>
                </c:pt>
                <c:pt idx="16">
                  <c:v>LU</c:v>
                </c:pt>
                <c:pt idx="17">
                  <c:v>SG</c:v>
                </c:pt>
                <c:pt idx="18">
                  <c:v>CH</c:v>
                </c:pt>
                <c:pt idx="19">
                  <c:v>BE</c:v>
                </c:pt>
                <c:pt idx="20">
                  <c:v>MX</c:v>
                </c:pt>
              </c:strCache>
            </c:strRef>
          </c:cat>
          <c:val>
            <c:numRef>
              <c:f>'Country_Extra$'!$D$6:$D$27</c:f>
              <c:numCache>
                <c:formatCode>_("$"* #,##0_);_("$"* \(#,##0\);_("$"* "-"_);_(@_)</c:formatCode>
                <c:ptCount val="21"/>
                <c:pt idx="0">
                  <c:v>2465244.5099999998</c:v>
                </c:pt>
                <c:pt idx="1">
                  <c:v>60338.51999999999</c:v>
                </c:pt>
                <c:pt idx="2">
                  <c:v>109.74</c:v>
                </c:pt>
                <c:pt idx="3">
                  <c:v>17.7</c:v>
                </c:pt>
                <c:pt idx="4">
                  <c:v>4048.5200000000004</c:v>
                </c:pt>
                <c:pt idx="5">
                  <c:v>2890.8</c:v>
                </c:pt>
                <c:pt idx="7">
                  <c:v>171.1</c:v>
                </c:pt>
                <c:pt idx="8">
                  <c:v>605.33999999999992</c:v>
                </c:pt>
                <c:pt idx="9">
                  <c:v>3.54</c:v>
                </c:pt>
                <c:pt idx="10">
                  <c:v>3824.38</c:v>
                </c:pt>
                <c:pt idx="12">
                  <c:v>677.49</c:v>
                </c:pt>
                <c:pt idx="13">
                  <c:v>1834.72</c:v>
                </c:pt>
                <c:pt idx="14">
                  <c:v>363.81000000000006</c:v>
                </c:pt>
                <c:pt idx="15">
                  <c:v>1.3</c:v>
                </c:pt>
                <c:pt idx="18">
                  <c:v>230</c:v>
                </c:pt>
                <c:pt idx="20">
                  <c:v>11.5</c:v>
                </c:pt>
              </c:numCache>
            </c:numRef>
          </c:val>
          <c:extLst>
            <c:ext xmlns:c16="http://schemas.microsoft.com/office/drawing/2014/chart" uri="{C3380CC4-5D6E-409C-BE32-E72D297353CC}">
              <c16:uniqueId val="{00000002-C01A-41DF-983A-BFB4573B9D1B}"/>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'Country_Extra$'!$C$30</c:f>
              <c:strCache>
                <c:ptCount val="1"/>
                <c:pt idx="0">
                  <c:v>Wealth</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tx>
                <c:rich>
                  <a:bodyPr/>
                  <a:lstStyle/>
                  <a:p>
                    <a:fld id="{A6F28834-B6A6-402C-83CD-374D3C9B9B0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2A6-4B03-B12E-82CA804E9781}"/>
                </c:ext>
              </c:extLst>
            </c:dLbl>
            <c:dLbl>
              <c:idx val="1"/>
              <c:tx>
                <c:rich>
                  <a:bodyPr/>
                  <a:lstStyle/>
                  <a:p>
                    <a:fld id="{79523F79-7412-4022-B05B-31A8CDA5257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2A6-4B03-B12E-82CA804E9781}"/>
                </c:ext>
              </c:extLst>
            </c:dLbl>
            <c:dLbl>
              <c:idx val="2"/>
              <c:tx>
                <c:rich>
                  <a:bodyPr/>
                  <a:lstStyle/>
                  <a:p>
                    <a:fld id="{09E789FA-D5D2-4920-AD7F-06578CEC50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2A6-4B03-B12E-82CA804E9781}"/>
                </c:ext>
              </c:extLst>
            </c:dLbl>
            <c:dLbl>
              <c:idx val="3"/>
              <c:tx>
                <c:rich>
                  <a:bodyPr/>
                  <a:lstStyle/>
                  <a:p>
                    <a:fld id="{BA8175DF-E118-4D74-BF63-4C0CCD5AAB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A6-4B03-B12E-82CA804E9781}"/>
                </c:ext>
              </c:extLst>
            </c:dLbl>
            <c:dLbl>
              <c:idx val="4"/>
              <c:tx>
                <c:rich>
                  <a:bodyPr/>
                  <a:lstStyle/>
                  <a:p>
                    <a:fld id="{2395885E-96FE-453E-A515-8E4B5D9654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A6-4B03-B12E-82CA804E9781}"/>
                </c:ext>
              </c:extLst>
            </c:dLbl>
            <c:dLbl>
              <c:idx val="5"/>
              <c:tx>
                <c:rich>
                  <a:bodyPr/>
                  <a:lstStyle/>
                  <a:p>
                    <a:fld id="{C269CA35-B90E-4A3B-BF53-57A087D382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A6-4B03-B12E-82CA804E9781}"/>
                </c:ext>
              </c:extLst>
            </c:dLbl>
            <c:dLbl>
              <c:idx val="6"/>
              <c:tx>
                <c:rich>
                  <a:bodyPr/>
                  <a:lstStyle/>
                  <a:p>
                    <a:fld id="{55C333E1-2268-438A-9F86-52DBB0318C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2A6-4B03-B12E-82CA804E9781}"/>
                </c:ext>
              </c:extLst>
            </c:dLbl>
            <c:dLbl>
              <c:idx val="7"/>
              <c:tx>
                <c:rich>
                  <a:bodyPr/>
                  <a:lstStyle/>
                  <a:p>
                    <a:fld id="{422B04B4-5875-48B8-84CF-F517845DC9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2A6-4B03-B12E-82CA804E9781}"/>
                </c:ext>
              </c:extLst>
            </c:dLbl>
            <c:dLbl>
              <c:idx val="8"/>
              <c:tx>
                <c:rich>
                  <a:bodyPr/>
                  <a:lstStyle/>
                  <a:p>
                    <a:fld id="{6D6BC06E-506C-4D97-8ED2-3E9A59A84E3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2A6-4B03-B12E-82CA804E9781}"/>
                </c:ext>
              </c:extLst>
            </c:dLbl>
            <c:dLbl>
              <c:idx val="9"/>
              <c:tx>
                <c:rich>
                  <a:bodyPr/>
                  <a:lstStyle/>
                  <a:p>
                    <a:fld id="{52805CCF-C7FE-44E6-9E11-2E4D2ACA0B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2A6-4B03-B12E-82CA804E9781}"/>
                </c:ext>
              </c:extLst>
            </c:dLbl>
            <c:dLbl>
              <c:idx val="10"/>
              <c:tx>
                <c:rich>
                  <a:bodyPr/>
                  <a:lstStyle/>
                  <a:p>
                    <a:fld id="{249A5263-B7A2-4C5F-8570-6D2C9BA1F4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2A6-4B03-B12E-82CA804E9781}"/>
                </c:ext>
              </c:extLst>
            </c:dLbl>
            <c:dLbl>
              <c:idx val="11"/>
              <c:tx>
                <c:rich>
                  <a:bodyPr/>
                  <a:lstStyle/>
                  <a:p>
                    <a:fld id="{CE884D6A-E30F-45FA-AE81-1B412B161A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2A6-4B03-B12E-82CA804E9781}"/>
                </c:ext>
              </c:extLst>
            </c:dLbl>
            <c:dLbl>
              <c:idx val="12"/>
              <c:tx>
                <c:rich>
                  <a:bodyPr/>
                  <a:lstStyle/>
                  <a:p>
                    <a:fld id="{81730537-FBFE-4086-BA93-E68489C739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2A6-4B03-B12E-82CA804E9781}"/>
                </c:ext>
              </c:extLst>
            </c:dLbl>
            <c:dLbl>
              <c:idx val="13"/>
              <c:tx>
                <c:rich>
                  <a:bodyPr/>
                  <a:lstStyle/>
                  <a:p>
                    <a:fld id="{1286872E-DEBD-4A13-9A73-EC6F4C5FAE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2A6-4B03-B12E-82CA804E9781}"/>
                </c:ext>
              </c:extLst>
            </c:dLbl>
            <c:dLbl>
              <c:idx val="14"/>
              <c:tx>
                <c:rich>
                  <a:bodyPr/>
                  <a:lstStyle/>
                  <a:p>
                    <a:fld id="{2F2B4280-2DF7-4A96-A80A-2714586F9A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2A6-4B03-B12E-82CA804E9781}"/>
                </c:ext>
              </c:extLst>
            </c:dLbl>
            <c:dLbl>
              <c:idx val="15"/>
              <c:tx>
                <c:rich>
                  <a:bodyPr/>
                  <a:lstStyle/>
                  <a:p>
                    <a:fld id="{A99AC73B-F802-4266-BA6B-3F36FDEB65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2A6-4B03-B12E-82CA804E9781}"/>
                </c:ext>
              </c:extLst>
            </c:dLbl>
            <c:dLbl>
              <c:idx val="16"/>
              <c:tx>
                <c:rich>
                  <a:bodyPr/>
                  <a:lstStyle/>
                  <a:p>
                    <a:fld id="{5A50E379-EAB3-46A5-9170-E841409B1B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2A6-4B03-B12E-82CA804E9781}"/>
                </c:ext>
              </c:extLst>
            </c:dLbl>
            <c:dLbl>
              <c:idx val="17"/>
              <c:tx>
                <c:rich>
                  <a:bodyPr/>
                  <a:lstStyle/>
                  <a:p>
                    <a:fld id="{3370C0CA-EF2B-4EB2-BED7-9E8369EB00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2A6-4B03-B12E-82CA804E9781}"/>
                </c:ext>
              </c:extLst>
            </c:dLbl>
            <c:dLbl>
              <c:idx val="18"/>
              <c:tx>
                <c:rich>
                  <a:bodyPr/>
                  <a:lstStyle/>
                  <a:p>
                    <a:fld id="{D5E3ADA6-37AC-44EE-B0B9-95353A48E1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2A6-4B03-B12E-82CA804E9781}"/>
                </c:ext>
              </c:extLst>
            </c:dLbl>
            <c:dLbl>
              <c:idx val="19"/>
              <c:tx>
                <c:rich>
                  <a:bodyPr/>
                  <a:lstStyle/>
                  <a:p>
                    <a:fld id="{F58A5877-B9EE-4F1A-A52A-BDA7148978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2A6-4B03-B12E-82CA804E9781}"/>
                </c:ext>
              </c:extLst>
            </c:dLbl>
            <c:dLbl>
              <c:idx val="20"/>
              <c:tx>
                <c:rich>
                  <a:bodyPr/>
                  <a:lstStyle/>
                  <a:p>
                    <a:fld id="{F248A0C4-6E4D-48AD-8E46-B89FDC1660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D2A6-4B03-B12E-82CA804E97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'Country_Extra$'!$B$31:$B$51</c:f>
              <c:numCache>
                <c:formatCode>0.00%</c:formatCode>
                <c:ptCount val="21"/>
                <c:pt idx="0">
                  <c:v>1</c:v>
                </c:pt>
                <c:pt idx="1">
                  <c:v>1</c:v>
                </c:pt>
                <c:pt idx="2">
                  <c:v>0.99809989844853475</c:v>
                </c:pt>
                <c:pt idx="3">
                  <c:v>0.83533312282917582</c:v>
                </c:pt>
                <c:pt idx="4">
                  <c:v>0.98832709290863285</c:v>
                </c:pt>
                <c:pt idx="5">
                  <c:v>0.88526622365258401</c:v>
                </c:pt>
                <c:pt idx="6">
                  <c:v>0</c:v>
                </c:pt>
                <c:pt idx="7">
                  <c:v>0.46373470106238307</c:v>
                </c:pt>
                <c:pt idx="8">
                  <c:v>0.99776350826715954</c:v>
                </c:pt>
                <c:pt idx="9">
                  <c:v>0.62770079869808892</c:v>
                </c:pt>
                <c:pt idx="10">
                  <c:v>0.89685453317278041</c:v>
                </c:pt>
                <c:pt idx="11">
                  <c:v>0.98371452700476525</c:v>
                </c:pt>
                <c:pt idx="12">
                  <c:v>0.707196496590351</c:v>
                </c:pt>
                <c:pt idx="13">
                  <c:v>0.99753447421429853</c:v>
                </c:pt>
                <c:pt idx="14">
                  <c:v>0.80738198246932491</c:v>
                </c:pt>
                <c:pt idx="15">
                  <c:v>0.92947711034459624</c:v>
                </c:pt>
                <c:pt idx="16">
                  <c:v>0.60175884578810834</c:v>
                </c:pt>
                <c:pt idx="17">
                  <c:v>0.96645587022271096</c:v>
                </c:pt>
                <c:pt idx="18">
                  <c:v>0.85371823036554062</c:v>
                </c:pt>
                <c:pt idx="19">
                  <c:v>0.93510025002786934</c:v>
                </c:pt>
                <c:pt idx="20">
                  <c:v>0</c:v>
                </c:pt>
              </c:numCache>
            </c:numRef>
          </c:xVal>
          <c:yVal>
            <c:numRef>
              <c:f>'Country_Extra$'!$C$31:$C$51</c:f>
              <c:numCache>
                <c:formatCode>_("$"* #,##0_);_("$"* \(#,##0\);_("$"*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D2A6-4B03-B12E-82CA804E9781}"/>
            </c:ext>
          </c:extLst>
        </c:ser>
        <c:dLbls>
          <c:showLegendKey val="0"/>
          <c:showVal val="0"/>
          <c:showCatName val="0"/>
          <c:showSerName val="0"/>
          <c:showPercent val="0"/>
          <c:showBubbleSize val="0"/>
        </c:dLbls>
        <c:axId val="513082416"/>
        <c:axId val="576525216"/>
      </c:scatterChart>
      <c:valAx>
        <c:axId val="513082416"/>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25216"/>
        <c:crosses val="autoZero"/>
        <c:crossBetween val="midCat"/>
      </c:valAx>
      <c:valAx>
        <c:axId val="5765252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82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[KickStarter_Analysis_SJL.xlsx]Country_Extra!PivotTable1</c:name>
    <c:fmtId val="3"/>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a:solidFill>
              <a:schemeClr val="accent6">
                <a:lumMod val="50000"/>
              </a:schemeClr>
            </a:solidFill>
          </a:ln>
          <a:effectLst/>
        </c:spPr>
      </c:pivotFmt>
      <c:pivotFmt>
        <c:idx val="13"/>
        <c:spPr>
          <a:solidFill>
            <a:schemeClr val="accent6">
              <a:lumMod val="40000"/>
              <a:lumOff val="6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867C"/>
          </a:solidFill>
          <a:ln>
            <a:solidFill>
              <a:srgbClr val="C01830"/>
            </a:solidFill>
          </a:ln>
          <a:effectLst/>
        </c:spPr>
      </c:pivotFmt>
      <c:pivotFmt>
        <c:idx val="1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86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Country_Extra!$B$4:$B$5</c:f>
              <c:strCache>
                <c:ptCount val="1"/>
                <c:pt idx="0">
                  <c:v>successful</c:v>
                </c:pt>
              </c:strCache>
            </c:strRef>
          </c:tx>
          <c:spPr>
            <a:solidFill>
              <a:schemeClr val="accent6">
                <a:lumMod val="40000"/>
                <a:lumOff val="60000"/>
              </a:schemeClr>
            </a:solidFill>
            <a:ln>
              <a:solidFill>
                <a:schemeClr val="accent6">
                  <a:lumMod val="50000"/>
                </a:schemeClr>
              </a:solid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5BC5-446A-B14D-E291CC0CE65F}"/>
            </c:ext>
          </c:extLst>
        </c:ser>
        <c:ser>
          <c:idx val="1"/>
          <c:order val="1"/>
          <c:tx>
            <c:strRef>
              <c:f>Country_Extra!$C$4:$C$5</c:f>
              <c:strCache>
                <c:ptCount val="1"/>
                <c:pt idx="0">
                  <c:v>failed</c:v>
                </c:pt>
              </c:strCache>
            </c:strRef>
          </c:tx>
          <c:spPr>
            <a:solidFill>
              <a:srgbClr val="EA867C"/>
            </a:solidFill>
            <a:ln>
              <a:noFill/>
            </a:ln>
            <a:effectLst/>
          </c:spPr>
          <c:invertIfNegative val="0"/>
          <c:dPt>
            <c:idx val="13"/>
            <c:invertIfNegative val="0"/>
            <c:bubble3D val="0"/>
            <c:spPr>
              <a:solidFill>
                <a:srgbClr val="EA867C"/>
              </a:solidFill>
              <a:ln>
                <a:solidFill>
                  <a:srgbClr val="C01830"/>
                </a:solidFill>
              </a:ln>
              <a:effectLst/>
            </c:spPr>
            <c:extLst>
              <c:ext xmlns:c16="http://schemas.microsoft.com/office/drawing/2014/chart" uri="{C3380CC4-5D6E-409C-BE32-E72D297353CC}">
                <c16:uniqueId val="{00000006-5BC5-446A-B14D-E291CC0CE65F}"/>
              </c:ext>
            </c:extLst>
          </c:dPt>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5BC5-446A-B14D-E291CC0CE65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5BC5-446A-B14D-E291CC0CE65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[KickStarter_Analysis_SJL.xlsx]Country_Extra!PivotTable1</c:name>
    <c:fmtId val="4"/>
  </c:pivotSource>
  <c:chart>
    <c:autoTitleDeleted val="0"/>
    <c:pivotFmts>
      <c:pivotFmt>
        <c:idx val="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40000"/>
              <a:lumOff val="6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Country_Extra!$B$4:$B$5</c:f>
              <c:strCache>
                <c:ptCount val="1"/>
                <c:pt idx="0">
                  <c:v>successful</c:v>
                </c:pt>
              </c:strCache>
            </c:strRef>
          </c:tx>
          <c:spPr>
            <a:solidFill>
              <a:schemeClr val="accent1"/>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Country_Extra!$B$6:$B$27</c:f>
              <c:numCache>
                <c:formatCode>0.0</c:formatCode>
                <c:ptCount val="21"/>
                <c:pt idx="0">
                  <c:v>616.91304347826087</c:v>
                </c:pt>
                <c:pt idx="1">
                  <c:v>368</c:v>
                </c:pt>
                <c:pt idx="2">
                  <c:v>301.5</c:v>
                </c:pt>
                <c:pt idx="3">
                  <c:v>281.5</c:v>
                </c:pt>
                <c:pt idx="4">
                  <c:v>272.89473684210526</c:v>
                </c:pt>
                <c:pt idx="5">
                  <c:v>259.71428571428572</c:v>
                </c:pt>
                <c:pt idx="6">
                  <c:v>210.625</c:v>
                </c:pt>
                <c:pt idx="7">
                  <c:v>207.60629921259843</c:v>
                </c:pt>
                <c:pt idx="8">
                  <c:v>203.45454545454547</c:v>
                </c:pt>
                <c:pt idx="9">
                  <c:v>127.80054644808743</c:v>
                </c:pt>
                <c:pt idx="10">
                  <c:v>117.33333333333333</c:v>
                </c:pt>
                <c:pt idx="11">
                  <c:v>100.5</c:v>
                </c:pt>
                <c:pt idx="12">
                  <c:v>91</c:v>
                </c:pt>
                <c:pt idx="13">
                  <c:v>90.296875</c:v>
                </c:pt>
                <c:pt idx="14">
                  <c:v>75.142857142857139</c:v>
                </c:pt>
                <c:pt idx="15">
                  <c:v>72</c:v>
                </c:pt>
                <c:pt idx="16">
                  <c:v>71</c:v>
                </c:pt>
                <c:pt idx="17">
                  <c:v>47.1</c:v>
                </c:pt>
                <c:pt idx="18">
                  <c:v>46</c:v>
                </c:pt>
              </c:numCache>
            </c:numRef>
          </c:val>
          <c:extLst>
            <c:ext xmlns:c16="http://schemas.microsoft.com/office/drawing/2014/chart" uri="{C3380CC4-5D6E-409C-BE32-E72D297353CC}">
              <c16:uniqueId val="{00000000-956D-4DA4-ADDE-9C24DF770B3F}"/>
            </c:ext>
          </c:extLst>
        </c:ser>
        <c:ser>
          <c:idx val="1"/>
          <c:order val="1"/>
          <c:tx>
            <c:strRef>
              <c:f>Country_Extra!$C$4:$C$5</c:f>
              <c:strCache>
                <c:ptCount val="1"/>
                <c:pt idx="0">
                  <c:v>failed</c:v>
                </c:pt>
              </c:strCache>
            </c:strRef>
          </c:tx>
          <c:spPr>
            <a:solidFill>
              <a:schemeClr val="accent2"/>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Country_Extra!$C$6:$C$27</c:f>
              <c:numCache>
                <c:formatCode>0.0</c:formatCode>
                <c:ptCount val="21"/>
                <c:pt idx="0">
                  <c:v>17.62962962962963</c:v>
                </c:pt>
                <c:pt idx="1">
                  <c:v>6.5</c:v>
                </c:pt>
                <c:pt idx="2">
                  <c:v>4.4000000000000004</c:v>
                </c:pt>
                <c:pt idx="3">
                  <c:v>52.428571428571431</c:v>
                </c:pt>
                <c:pt idx="4">
                  <c:v>36.390243902439025</c:v>
                </c:pt>
                <c:pt idx="5">
                  <c:v>24.421052631578949</c:v>
                </c:pt>
                <c:pt idx="6">
                  <c:v>4.25</c:v>
                </c:pt>
                <c:pt idx="7">
                  <c:v>16.299908842297175</c:v>
                </c:pt>
                <c:pt idx="8">
                  <c:v>24.666666666666668</c:v>
                </c:pt>
                <c:pt idx="9">
                  <c:v>18.560975609756099</c:v>
                </c:pt>
                <c:pt idx="10">
                  <c:v>3.8</c:v>
                </c:pt>
                <c:pt idx="11">
                  <c:v>5</c:v>
                </c:pt>
                <c:pt idx="13">
                  <c:v>22.640625</c:v>
                </c:pt>
                <c:pt idx="14">
                  <c:v>24.111111111111111</c:v>
                </c:pt>
                <c:pt idx="16">
                  <c:v>2</c:v>
                </c:pt>
                <c:pt idx="17">
                  <c:v>12.5</c:v>
                </c:pt>
                <c:pt idx="18">
                  <c:v>8</c:v>
                </c:pt>
                <c:pt idx="19">
                  <c:v>5.25</c:v>
                </c:pt>
                <c:pt idx="20">
                  <c:v>35</c:v>
                </c:pt>
              </c:numCache>
            </c:numRef>
          </c:val>
          <c:extLst>
            <c:ext xmlns:c16="http://schemas.microsoft.com/office/drawing/2014/chart" uri="{C3380CC4-5D6E-409C-BE32-E72D297353CC}">
              <c16:uniqueId val="{00000001-956D-4DA4-ADDE-9C24DF770B3F}"/>
            </c:ext>
          </c:extLst>
        </c:ser>
        <c:ser>
          <c:idx val="2"/>
          <c:order val="2"/>
          <c:tx>
            <c:strRef>
              <c:f>Country_Extra!$D$4:$D$5</c:f>
              <c:strCache>
                <c:ptCount val="1"/>
                <c:pt idx="0">
                  <c:v>canceled</c:v>
                </c:pt>
              </c:strCache>
            </c:strRef>
          </c:tx>
          <c:spPr>
            <a:solidFill>
              <a:schemeClr val="accent3"/>
            </a:solidFill>
            <a:ln>
              <a:noFill/>
            </a:ln>
            <a:effectLst/>
          </c:spPr>
          <c:invertIfNegative val="0"/>
          <c:cat>
            <c:strRef>
              <c:f>Country_Extra!$A$6:$A$27</c:f>
              <c:strCache>
                <c:ptCount val="21"/>
                <c:pt idx="0">
                  <c:v>DE</c:v>
                </c:pt>
                <c:pt idx="1">
                  <c:v>AT</c:v>
                </c:pt>
                <c:pt idx="2">
                  <c:v>NO</c:v>
                </c:pt>
                <c:pt idx="3">
                  <c:v>NL</c:v>
                </c:pt>
                <c:pt idx="4">
                  <c:v>AU</c:v>
                </c:pt>
                <c:pt idx="5">
                  <c:v>IT</c:v>
                </c:pt>
                <c:pt idx="6">
                  <c:v>IE</c:v>
                </c:pt>
                <c:pt idx="7">
                  <c:v>US</c:v>
                </c:pt>
                <c:pt idx="8">
                  <c:v>ES</c:v>
                </c:pt>
                <c:pt idx="9">
                  <c:v>GB</c:v>
                </c:pt>
                <c:pt idx="10">
                  <c:v>NZ</c:v>
                </c:pt>
                <c:pt idx="11">
                  <c:v>DK</c:v>
                </c:pt>
                <c:pt idx="12">
                  <c:v>LU</c:v>
                </c:pt>
                <c:pt idx="13">
                  <c:v>CA</c:v>
                </c:pt>
                <c:pt idx="14">
                  <c:v>SE</c:v>
                </c:pt>
                <c:pt idx="15">
                  <c:v>SG</c:v>
                </c:pt>
                <c:pt idx="16">
                  <c:v>BE</c:v>
                </c:pt>
                <c:pt idx="17">
                  <c:v>FR</c:v>
                </c:pt>
                <c:pt idx="18">
                  <c:v>CH</c:v>
                </c:pt>
                <c:pt idx="19">
                  <c:v>MX</c:v>
                </c:pt>
                <c:pt idx="20">
                  <c:v>HK</c:v>
                </c:pt>
              </c:strCache>
            </c:strRef>
          </c:cat>
          <c:val>
            <c:numRef>
              <c:f>Country_Extra!$D$6:$D$27</c:f>
              <c:numCache>
                <c:formatCode>0.0</c:formatCode>
                <c:ptCount val="21"/>
                <c:pt idx="0">
                  <c:v>3</c:v>
                </c:pt>
                <c:pt idx="3">
                  <c:v>1</c:v>
                </c:pt>
                <c:pt idx="4">
                  <c:v>3.8571428571428572</c:v>
                </c:pt>
                <c:pt idx="5">
                  <c:v>1</c:v>
                </c:pt>
                <c:pt idx="6">
                  <c:v>1</c:v>
                </c:pt>
                <c:pt idx="7">
                  <c:v>35.167315175097279</c:v>
                </c:pt>
                <c:pt idx="8">
                  <c:v>1</c:v>
                </c:pt>
                <c:pt idx="9">
                  <c:v>10.92</c:v>
                </c:pt>
                <c:pt idx="10">
                  <c:v>2.5</c:v>
                </c:pt>
                <c:pt idx="11">
                  <c:v>4.75</c:v>
                </c:pt>
                <c:pt idx="13">
                  <c:v>4.882352941176471</c:v>
                </c:pt>
                <c:pt idx="14">
                  <c:v>1.8</c:v>
                </c:pt>
                <c:pt idx="17">
                  <c:v>3.2</c:v>
                </c:pt>
                <c:pt idx="18">
                  <c:v>2.3333333333333335</c:v>
                </c:pt>
                <c:pt idx="19">
                  <c:v>1</c:v>
                </c:pt>
                <c:pt idx="20">
                  <c:v>1</c:v>
                </c:pt>
              </c:numCache>
            </c:numRef>
          </c:val>
          <c:extLst>
            <c:ext xmlns:c16="http://schemas.microsoft.com/office/drawing/2014/chart" uri="{C3380CC4-5D6E-409C-BE32-E72D297353CC}">
              <c16:uniqueId val="{00000002-956D-4DA4-ADDE-9C24DF770B3F}"/>
            </c:ext>
          </c:extLst>
        </c:ser>
        <c:dLbls>
          <c:showLegendKey val="0"/>
          <c:showVal val="0"/>
          <c:showCatName val="0"/>
          <c:showSerName val="0"/>
          <c:showPercent val="0"/>
          <c:showBubbleSize val="0"/>
        </c:dLbls>
        <c:gapWidth val="150"/>
        <c:overlap val="100"/>
        <c:axId val="30896752"/>
        <c:axId val="1711535216"/>
      </c:barChart>
      <c:catAx>
        <c:axId val="308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5216"/>
        <c:crosses val="autoZero"/>
        <c:auto val="1"/>
        <c:lblAlgn val="ctr"/>
        <c:lblOffset val="100"/>
        <c:noMultiLvlLbl val="0"/>
      </c:catAx>
      <c:valAx>
        <c:axId val="1711535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9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50"/>
              <a:t>Measured</a:t>
            </a:r>
            <a:r>
              <a:rPr lang="en-US" sz="1050" baseline="0"/>
              <a:t> by Number of Successful Campaigns</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D0B86385-CFF5-437E-BFE6-58ECF72797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D2C-499F-8AAA-5AC89D2C9DAD}"/>
                </c:ext>
              </c:extLst>
            </c:dLbl>
            <c:dLbl>
              <c:idx val="1"/>
              <c:tx>
                <c:rich>
                  <a:bodyPr/>
                  <a:lstStyle/>
                  <a:p>
                    <a:fld id="{ED4D71D2-0927-483D-8D7F-422DC69103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D2C-499F-8AAA-5AC89D2C9DAD}"/>
                </c:ext>
              </c:extLst>
            </c:dLbl>
            <c:dLbl>
              <c:idx val="2"/>
              <c:tx>
                <c:rich>
                  <a:bodyPr/>
                  <a:lstStyle/>
                  <a:p>
                    <a:fld id="{2EA95B6A-F418-4326-81F8-664288518E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D2C-499F-8AAA-5AC89D2C9DAD}"/>
                </c:ext>
              </c:extLst>
            </c:dLbl>
            <c:dLbl>
              <c:idx val="3"/>
              <c:tx>
                <c:rich>
                  <a:bodyPr/>
                  <a:lstStyle/>
                  <a:p>
                    <a:fld id="{D43A4029-3CFF-4141-A5FC-104A0A3DCA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D2C-499F-8AAA-5AC89D2C9DAD}"/>
                </c:ext>
              </c:extLst>
            </c:dLbl>
            <c:dLbl>
              <c:idx val="4"/>
              <c:tx>
                <c:rich>
                  <a:bodyPr/>
                  <a:lstStyle/>
                  <a:p>
                    <a:fld id="{831C07A9-9E5E-4041-8407-0CBF3B635F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D2C-499F-8AAA-5AC89D2C9DAD}"/>
                </c:ext>
              </c:extLst>
            </c:dLbl>
            <c:dLbl>
              <c:idx val="5"/>
              <c:tx>
                <c:rich>
                  <a:bodyPr/>
                  <a:lstStyle/>
                  <a:p>
                    <a:fld id="{F889BD04-B7BC-4F8C-ACC2-8251F040CA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D2C-499F-8AAA-5AC89D2C9DAD}"/>
                </c:ext>
              </c:extLst>
            </c:dLbl>
            <c:dLbl>
              <c:idx val="6"/>
              <c:tx>
                <c:rich>
                  <a:bodyPr/>
                  <a:lstStyle/>
                  <a:p>
                    <a:fld id="{5ABD9644-6023-4442-8A25-044E932E32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D2C-499F-8AAA-5AC89D2C9DAD}"/>
                </c:ext>
              </c:extLst>
            </c:dLbl>
            <c:dLbl>
              <c:idx val="7"/>
              <c:tx>
                <c:rich>
                  <a:bodyPr/>
                  <a:lstStyle/>
                  <a:p>
                    <a:fld id="{AD4E1342-B15F-408E-82A5-C508641205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D2C-499F-8AAA-5AC89D2C9DAD}"/>
                </c:ext>
              </c:extLst>
            </c:dLbl>
            <c:dLbl>
              <c:idx val="8"/>
              <c:tx>
                <c:rich>
                  <a:bodyPr/>
                  <a:lstStyle/>
                  <a:p>
                    <a:fld id="{5A56B5E9-4EF5-47E3-A860-130108F6E2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D2C-499F-8AAA-5AC89D2C9DAD}"/>
                </c:ext>
              </c:extLst>
            </c:dLbl>
            <c:dLbl>
              <c:idx val="9"/>
              <c:tx>
                <c:rich>
                  <a:bodyPr/>
                  <a:lstStyle/>
                  <a:p>
                    <a:fld id="{26E2D11F-99C3-44DB-A40B-EB38982CDF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D2C-499F-8AAA-5AC89D2C9DAD}"/>
                </c:ext>
              </c:extLst>
            </c:dLbl>
            <c:dLbl>
              <c:idx val="10"/>
              <c:tx>
                <c:rich>
                  <a:bodyPr/>
                  <a:lstStyle/>
                  <a:p>
                    <a:fld id="{EDA3B709-11A6-469D-840D-CB197A7F2E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D2C-499F-8AAA-5AC89D2C9DAD}"/>
                </c:ext>
              </c:extLst>
            </c:dLbl>
            <c:dLbl>
              <c:idx val="11"/>
              <c:tx>
                <c:rich>
                  <a:bodyPr/>
                  <a:lstStyle/>
                  <a:p>
                    <a:fld id="{5E149E69-8127-4329-929C-4651013DD9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D2C-499F-8AAA-5AC89D2C9DAD}"/>
                </c:ext>
              </c:extLst>
            </c:dLbl>
            <c:dLbl>
              <c:idx val="12"/>
              <c:tx>
                <c:rich>
                  <a:bodyPr/>
                  <a:lstStyle/>
                  <a:p>
                    <a:fld id="{823720BC-2DC6-47AF-9484-6C998FA5C1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FD2C-499F-8AAA-5AC89D2C9DAD}"/>
                </c:ext>
              </c:extLst>
            </c:dLbl>
            <c:dLbl>
              <c:idx val="13"/>
              <c:tx>
                <c:rich>
                  <a:bodyPr/>
                  <a:lstStyle/>
                  <a:p>
                    <a:fld id="{25FA7A60-E181-4CD1-90DF-FC822D9251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D2C-499F-8AAA-5AC89D2C9DAD}"/>
                </c:ext>
              </c:extLst>
            </c:dLbl>
            <c:dLbl>
              <c:idx val="14"/>
              <c:tx>
                <c:rich>
                  <a:bodyPr/>
                  <a:lstStyle/>
                  <a:p>
                    <a:fld id="{D16A725F-5496-4FFD-887E-4AE517777D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D2C-499F-8AAA-5AC89D2C9DAD}"/>
                </c:ext>
              </c:extLst>
            </c:dLbl>
            <c:dLbl>
              <c:idx val="15"/>
              <c:tx>
                <c:rich>
                  <a:bodyPr/>
                  <a:lstStyle/>
                  <a:p>
                    <a:fld id="{29533AFE-C19F-424F-85B5-07C553C694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D2C-499F-8AAA-5AC89D2C9DAD}"/>
                </c:ext>
              </c:extLst>
            </c:dLbl>
            <c:dLbl>
              <c:idx val="16"/>
              <c:tx>
                <c:rich>
                  <a:bodyPr/>
                  <a:lstStyle/>
                  <a:p>
                    <a:fld id="{A8D756D8-97EB-480E-92B7-6F419D555E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D2C-499F-8AAA-5AC89D2C9DAD}"/>
                </c:ext>
              </c:extLst>
            </c:dLbl>
            <c:dLbl>
              <c:idx val="17"/>
              <c:tx>
                <c:rich>
                  <a:bodyPr/>
                  <a:lstStyle/>
                  <a:p>
                    <a:fld id="{071EC285-A05C-4F01-9B0B-FD9D4E6831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D2C-499F-8AAA-5AC89D2C9DAD}"/>
                </c:ext>
              </c:extLst>
            </c:dLbl>
            <c:dLbl>
              <c:idx val="18"/>
              <c:tx>
                <c:rich>
                  <a:bodyPr/>
                  <a:lstStyle/>
                  <a:p>
                    <a:fld id="{12B8DDA0-61CB-4C04-BAD4-757782D528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D2C-499F-8AAA-5AC89D2C9DAD}"/>
                </c:ext>
              </c:extLst>
            </c:dLbl>
            <c:dLbl>
              <c:idx val="19"/>
              <c:tx>
                <c:rich>
                  <a:bodyPr/>
                  <a:lstStyle/>
                  <a:p>
                    <a:fld id="{9D8A9001-39CE-4EA7-82EE-0148728CEC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D2C-499F-8AAA-5AC89D2C9DAD}"/>
                </c:ext>
              </c:extLst>
            </c:dLbl>
            <c:dLbl>
              <c:idx val="20"/>
              <c:tx>
                <c:rich>
                  <a:bodyPr/>
                  <a:lstStyle/>
                  <a:p>
                    <a:fld id="{EA09E5F5-8295-48C3-8F69-51E99D18928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D2C-499F-8AAA-5AC89D2C9DA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0"/>
            <c:trendlineLbl>
              <c:layout>
                <c:manualLayout>
                  <c:x val="3.9913378174666943E-3"/>
                  <c:y val="0.105067731646167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Country_Extra!$B$31:$B$51</c:f>
              <c:numCache>
                <c:formatCode>0.00%</c:formatCode>
                <c:ptCount val="21"/>
                <c:pt idx="0">
                  <c:v>1</c:v>
                </c:pt>
                <c:pt idx="1">
                  <c:v>1</c:v>
                </c:pt>
                <c:pt idx="2">
                  <c:v>0.5714285714285714</c:v>
                </c:pt>
                <c:pt idx="3">
                  <c:v>0.16666666666666666</c:v>
                </c:pt>
                <c:pt idx="4">
                  <c:v>0.2857142857142857</c:v>
                </c:pt>
                <c:pt idx="5">
                  <c:v>0.54941763727121462</c:v>
                </c:pt>
                <c:pt idx="6">
                  <c:v>0</c:v>
                </c:pt>
                <c:pt idx="7">
                  <c:v>0.1</c:v>
                </c:pt>
                <c:pt idx="8">
                  <c:v>0.6</c:v>
                </c:pt>
                <c:pt idx="9">
                  <c:v>0.33333333333333331</c:v>
                </c:pt>
                <c:pt idx="10">
                  <c:v>0.2857142857142857</c:v>
                </c:pt>
                <c:pt idx="11">
                  <c:v>0.43396226415094341</c:v>
                </c:pt>
                <c:pt idx="12">
                  <c:v>0.25675675675675674</c:v>
                </c:pt>
                <c:pt idx="13">
                  <c:v>0.5</c:v>
                </c:pt>
                <c:pt idx="14">
                  <c:v>0.44137931034482758</c:v>
                </c:pt>
                <c:pt idx="15">
                  <c:v>0.61409395973154357</c:v>
                </c:pt>
                <c:pt idx="16">
                  <c:v>0.4</c:v>
                </c:pt>
                <c:pt idx="17">
                  <c:v>0.25</c:v>
                </c:pt>
                <c:pt idx="18">
                  <c:v>0.2413793103448276</c:v>
                </c:pt>
                <c:pt idx="19">
                  <c:v>0.52380952380952384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FD2C-499F-8AAA-5AC89D2C9DAD}"/>
            </c:ext>
          </c:extLst>
        </c:ser>
        <c:dLbls>
          <c:showLegendKey val="0"/>
          <c:showVal val="0"/>
          <c:showCatName val="0"/>
          <c:showSerName val="0"/>
          <c:showPercent val="0"/>
          <c:showBubbleSize val="0"/>
        </c:dLbls>
        <c:axId val="511464880"/>
        <c:axId val="478942608"/>
      </c:scatterChart>
      <c:valAx>
        <c:axId val="511464880"/>
        <c:scaling>
          <c:orientation val="minMax"/>
          <c:max val="1"/>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8942608"/>
        <c:crosses val="autoZero"/>
        <c:crossBetween val="midCat"/>
      </c:valAx>
      <c:valAx>
        <c:axId val="478942608"/>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511464880"/>
        <c:crosses val="autoZero"/>
        <c:crossBetween val="midCat"/>
        <c:dispUnits>
          <c:builtInUnit val="thousands"/>
          <c:dispUnitsLbl>
            <c:layout>
              <c:manualLayout>
                <c:xMode val="edge"/>
                <c:yMode val="edge"/>
                <c:x val="3.6111111111111108E-2"/>
                <c:y val="0.46305127908615634"/>
              </c:manualLayout>
            </c:layout>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Wealth vs Success</a:t>
            </a:r>
            <a:br>
              <a:rPr lang="en-US"/>
            </a:br>
            <a:r>
              <a:rPr lang="en-US" sz="1000"/>
              <a:t>Measured by Pledged Amount</a:t>
            </a:r>
            <a:r>
              <a:rPr lang="en-US" sz="1000" baseline="0"/>
              <a:t> </a:t>
            </a:r>
            <a:endParaRPr lang="en-US"/>
          </a:p>
        </c:rich>
      </c:tx>
      <c:overlay val="0"/>
      <c:spPr>
        <a:noFill/>
        <a:ln>
          <a:noFill/>
        </a:ln>
        <a:effectLst/>
      </c:spPr>
    </c:title>
    <c:autoTitleDeleted val="0"/>
    <c:plotArea>
      <c:layout/>
      <c:scatterChart>
        <c:scatterStyle val="lineMarker"/>
        <c:varyColors val="0"/>
        <c:ser>
          <c:idx val="0"/>
          <c:order val="0"/>
          <c:tx>
            <c:strRef>
              <c:f>Country_Extra!$D$30</c:f>
              <c:strCache>
                <c:ptCount val="1"/>
                <c:pt idx="0">
                  <c:v>Wealth</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62AEAD9C-86DD-4292-B610-EB0B97FD5B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5B-4007-A687-6E322CC3C5A1}"/>
                </c:ext>
              </c:extLst>
            </c:dLbl>
            <c:dLbl>
              <c:idx val="1"/>
              <c:tx>
                <c:rich>
                  <a:bodyPr/>
                  <a:lstStyle/>
                  <a:p>
                    <a:fld id="{7A37AADC-3E83-4BE0-B957-80A7EEA763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45B-4007-A687-6E322CC3C5A1}"/>
                </c:ext>
              </c:extLst>
            </c:dLbl>
            <c:dLbl>
              <c:idx val="2"/>
              <c:tx>
                <c:rich>
                  <a:bodyPr/>
                  <a:lstStyle/>
                  <a:p>
                    <a:fld id="{DF02B274-ECA6-4130-9C4A-DBA8D267D9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5B-4007-A687-6E322CC3C5A1}"/>
                </c:ext>
              </c:extLst>
            </c:dLbl>
            <c:dLbl>
              <c:idx val="3"/>
              <c:tx>
                <c:rich>
                  <a:bodyPr/>
                  <a:lstStyle/>
                  <a:p>
                    <a:fld id="{C8DB4007-5E90-452A-A58A-54FA11DA5F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45B-4007-A687-6E322CC3C5A1}"/>
                </c:ext>
              </c:extLst>
            </c:dLbl>
            <c:dLbl>
              <c:idx val="4"/>
              <c:tx>
                <c:rich>
                  <a:bodyPr/>
                  <a:lstStyle/>
                  <a:p>
                    <a:fld id="{81C4B61A-8780-439F-A817-0A64CBD1CB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45B-4007-A687-6E322CC3C5A1}"/>
                </c:ext>
              </c:extLst>
            </c:dLbl>
            <c:dLbl>
              <c:idx val="5"/>
              <c:tx>
                <c:rich>
                  <a:bodyPr/>
                  <a:lstStyle/>
                  <a:p>
                    <a:fld id="{7C31C01D-A5FB-4CB9-B076-58E2B5C417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45B-4007-A687-6E322CC3C5A1}"/>
                </c:ext>
              </c:extLst>
            </c:dLbl>
            <c:dLbl>
              <c:idx val="6"/>
              <c:tx>
                <c:rich>
                  <a:bodyPr/>
                  <a:lstStyle/>
                  <a:p>
                    <a:fld id="{C2019A71-919D-4889-9C7C-405D967D7C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45B-4007-A687-6E322CC3C5A1}"/>
                </c:ext>
              </c:extLst>
            </c:dLbl>
            <c:dLbl>
              <c:idx val="7"/>
              <c:tx>
                <c:rich>
                  <a:bodyPr/>
                  <a:lstStyle/>
                  <a:p>
                    <a:fld id="{97FF4B4D-C9FC-4F4B-A1DB-FC1F37790F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45B-4007-A687-6E322CC3C5A1}"/>
                </c:ext>
              </c:extLst>
            </c:dLbl>
            <c:dLbl>
              <c:idx val="8"/>
              <c:tx>
                <c:rich>
                  <a:bodyPr/>
                  <a:lstStyle/>
                  <a:p>
                    <a:fld id="{14DE6C34-4350-487F-BF03-CB02B63E8F1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45B-4007-A687-6E322CC3C5A1}"/>
                </c:ext>
              </c:extLst>
            </c:dLbl>
            <c:dLbl>
              <c:idx val="9"/>
              <c:tx>
                <c:rich>
                  <a:bodyPr/>
                  <a:lstStyle/>
                  <a:p>
                    <a:fld id="{9A1290E2-0DFB-4B6B-AAE8-388E263A32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45B-4007-A687-6E322CC3C5A1}"/>
                </c:ext>
              </c:extLst>
            </c:dLbl>
            <c:dLbl>
              <c:idx val="10"/>
              <c:tx>
                <c:rich>
                  <a:bodyPr/>
                  <a:lstStyle/>
                  <a:p>
                    <a:fld id="{BC6BCCDC-6596-4BF3-BE75-5C8006E5D5C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45B-4007-A687-6E322CC3C5A1}"/>
                </c:ext>
              </c:extLst>
            </c:dLbl>
            <c:dLbl>
              <c:idx val="11"/>
              <c:tx>
                <c:rich>
                  <a:bodyPr/>
                  <a:lstStyle/>
                  <a:p>
                    <a:fld id="{60D6BB68-1A01-4B58-A219-FBA8195EE5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45B-4007-A687-6E322CC3C5A1}"/>
                </c:ext>
              </c:extLst>
            </c:dLbl>
            <c:dLbl>
              <c:idx val="12"/>
              <c:tx>
                <c:rich>
                  <a:bodyPr/>
                  <a:lstStyle/>
                  <a:p>
                    <a:fld id="{1DDAA77C-6117-4E18-9EC7-9EDDD69DE3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845B-4007-A687-6E322CC3C5A1}"/>
                </c:ext>
              </c:extLst>
            </c:dLbl>
            <c:dLbl>
              <c:idx val="13"/>
              <c:tx>
                <c:rich>
                  <a:bodyPr/>
                  <a:lstStyle/>
                  <a:p>
                    <a:fld id="{8DB987D7-8471-4538-A885-FA4F628601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845B-4007-A687-6E322CC3C5A1}"/>
                </c:ext>
              </c:extLst>
            </c:dLbl>
            <c:dLbl>
              <c:idx val="14"/>
              <c:tx>
                <c:rich>
                  <a:bodyPr/>
                  <a:lstStyle/>
                  <a:p>
                    <a:fld id="{7EFD4790-DB7B-47E0-812F-5D762D11020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45B-4007-A687-6E322CC3C5A1}"/>
                </c:ext>
              </c:extLst>
            </c:dLbl>
            <c:dLbl>
              <c:idx val="15"/>
              <c:tx>
                <c:rich>
                  <a:bodyPr/>
                  <a:lstStyle/>
                  <a:p>
                    <a:fld id="{533E9138-02ED-4FDB-8882-F716823A92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45B-4007-A687-6E322CC3C5A1}"/>
                </c:ext>
              </c:extLst>
            </c:dLbl>
            <c:dLbl>
              <c:idx val="16"/>
              <c:tx>
                <c:rich>
                  <a:bodyPr/>
                  <a:lstStyle/>
                  <a:p>
                    <a:fld id="{5EE3581F-C1ED-43CE-B21B-9CCCF40A95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45B-4007-A687-6E322CC3C5A1}"/>
                </c:ext>
              </c:extLst>
            </c:dLbl>
            <c:dLbl>
              <c:idx val="17"/>
              <c:tx>
                <c:rich>
                  <a:bodyPr/>
                  <a:lstStyle/>
                  <a:p>
                    <a:fld id="{D9AA26F1-D35B-4C68-B1FA-A7F241155F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845B-4007-A687-6E322CC3C5A1}"/>
                </c:ext>
              </c:extLst>
            </c:dLbl>
            <c:dLbl>
              <c:idx val="18"/>
              <c:tx>
                <c:rich>
                  <a:bodyPr/>
                  <a:lstStyle/>
                  <a:p>
                    <a:fld id="{AD0CD013-49A5-4BCC-AD5F-4EF8D673E7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845B-4007-A687-6E322CC3C5A1}"/>
                </c:ext>
              </c:extLst>
            </c:dLbl>
            <c:dLbl>
              <c:idx val="19"/>
              <c:tx>
                <c:rich>
                  <a:bodyPr/>
                  <a:lstStyle/>
                  <a:p>
                    <a:fld id="{E8D3236C-E6B6-41EA-B591-E9A6FD19E1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845B-4007-A687-6E322CC3C5A1}"/>
                </c:ext>
              </c:extLst>
            </c:dLbl>
            <c:dLbl>
              <c:idx val="20"/>
              <c:tx>
                <c:rich>
                  <a:bodyPr/>
                  <a:lstStyle/>
                  <a:p>
                    <a:fld id="{566AA82D-2AC8-4E57-ACB5-A597F72946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845B-4007-A687-6E322CC3C5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DataLabelsRange val="1"/>
                <c15:showLeaderLines val="0"/>
              </c:ext>
            </c:extLst>
          </c:dLbls>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0"/>
          </c:trendline>
          <c:xVal>
            <c:numRef>
              <c:f>Country_Extra!$C$31:$C$51</c:f>
              <c:numCache>
                <c:formatCode>0.00%</c:formatCode>
                <c:ptCount val="21"/>
                <c:pt idx="0">
                  <c:v>1</c:v>
                </c:pt>
                <c:pt idx="1">
                  <c:v>1</c:v>
                </c:pt>
                <c:pt idx="2">
                  <c:v>0.99809989844853486</c:v>
                </c:pt>
                <c:pt idx="3">
                  <c:v>0.83533312282917582</c:v>
                </c:pt>
                <c:pt idx="4">
                  <c:v>0.98832709290863285</c:v>
                </c:pt>
                <c:pt idx="5">
                  <c:v>0.88526622365258401</c:v>
                </c:pt>
                <c:pt idx="6">
                  <c:v>0</c:v>
                </c:pt>
                <c:pt idx="7">
                  <c:v>0.46373470106238307</c:v>
                </c:pt>
                <c:pt idx="8">
                  <c:v>0.99776350826715954</c:v>
                </c:pt>
                <c:pt idx="9">
                  <c:v>0.62770079869808881</c:v>
                </c:pt>
                <c:pt idx="10">
                  <c:v>0.89685453317278041</c:v>
                </c:pt>
                <c:pt idx="11">
                  <c:v>0.98371452700476525</c:v>
                </c:pt>
                <c:pt idx="12">
                  <c:v>0.70719649659035089</c:v>
                </c:pt>
                <c:pt idx="13">
                  <c:v>0.99753447421429853</c:v>
                </c:pt>
                <c:pt idx="14">
                  <c:v>0.80738198246932502</c:v>
                </c:pt>
                <c:pt idx="15">
                  <c:v>0.92947711034459601</c:v>
                </c:pt>
                <c:pt idx="16">
                  <c:v>0.60175884578810834</c:v>
                </c:pt>
                <c:pt idx="17">
                  <c:v>0.96645587022271107</c:v>
                </c:pt>
                <c:pt idx="18">
                  <c:v>0.85371823036554073</c:v>
                </c:pt>
                <c:pt idx="19">
                  <c:v>0.93510025002786934</c:v>
                </c:pt>
                <c:pt idx="20">
                  <c:v>0</c:v>
                </c:pt>
              </c:numCache>
            </c:numRef>
          </c:xVal>
          <c:yVal>
            <c:numRef>
              <c:f>Country_Extra!$D$31:$D$51</c:f>
              <c:numCache>
                <c:formatCode>_("$"* #,##0.00_);_("$"* \(#,##0.00\);_("$"* "-"??_);_(@_)</c:formatCode>
                <c:ptCount val="21"/>
                <c:pt idx="0">
                  <c:v>103750.7751040537</c:v>
                </c:pt>
                <c:pt idx="1">
                  <c:v>86974.747623062649</c:v>
                </c:pt>
                <c:pt idx="2">
                  <c:v>69056.046036869491</c:v>
                </c:pt>
                <c:pt idx="3">
                  <c:v>63938.979975728376</c:v>
                </c:pt>
                <c:pt idx="4">
                  <c:v>60385.116763208098</c:v>
                </c:pt>
                <c:pt idx="5">
                  <c:v>56822.518820245554</c:v>
                </c:pt>
                <c:pt idx="6">
                  <c:v>56408.936273747997</c:v>
                </c:pt>
                <c:pt idx="7">
                  <c:v>50302.067747012778</c:v>
                </c:pt>
                <c:pt idx="8">
                  <c:v>49879.266472854491</c:v>
                </c:pt>
                <c:pt idx="9">
                  <c:v>49116.307839260393</c:v>
                </c:pt>
                <c:pt idx="10">
                  <c:v>49058.501065841578</c:v>
                </c:pt>
                <c:pt idx="11">
                  <c:v>47683.788595995793</c:v>
                </c:pt>
                <c:pt idx="12">
                  <c:v>46276.150685386259</c:v>
                </c:pt>
                <c:pt idx="13">
                  <c:v>46213.266534010072</c:v>
                </c:pt>
                <c:pt idx="14">
                  <c:v>44671.440680907413</c:v>
                </c:pt>
                <c:pt idx="15">
                  <c:v>42518.141256285249</c:v>
                </c:pt>
                <c:pt idx="16">
                  <c:v>40860.911217924076</c:v>
                </c:pt>
                <c:pt idx="17">
                  <c:v>37530.03907592735</c:v>
                </c:pt>
                <c:pt idx="18">
                  <c:v>36909.328374273391</c:v>
                </c:pt>
                <c:pt idx="19">
                  <c:v>34912.476126667898</c:v>
                </c:pt>
                <c:pt idx="20">
                  <c:v>18284.882843808475</c:v>
                </c:pt>
              </c:numCache>
            </c:numRef>
          </c:yVal>
          <c:smooth val="0"/>
          <c:extLst>
            <c:ext xmlns:c15="http://schemas.microsoft.com/office/drawing/2012/chart" uri="{02D57815-91ED-43cb-92C2-25804820EDAC}">
              <c15:datalabelsRange>
                <c15:f>Country_Extra!$A$31:$A$51</c15:f>
                <c15:dlblRangeCache>
                  <c:ptCount val="21"/>
                  <c:pt idx="0">
                    <c:v>LU</c:v>
                  </c:pt>
                  <c:pt idx="1">
                    <c:v>SG</c:v>
                  </c:pt>
                  <c:pt idx="2">
                    <c:v>IE</c:v>
                  </c:pt>
                  <c:pt idx="3">
                    <c:v>CH</c:v>
                  </c:pt>
                  <c:pt idx="4">
                    <c:v>NO</c:v>
                  </c:pt>
                  <c:pt idx="5">
                    <c:v>US</c:v>
                  </c:pt>
                  <c:pt idx="6">
                    <c:v>HK</c:v>
                  </c:pt>
                  <c:pt idx="7">
                    <c:v>NL</c:v>
                  </c:pt>
                  <c:pt idx="8">
                    <c:v>AT</c:v>
                  </c:pt>
                  <c:pt idx="9">
                    <c:v>SE</c:v>
                  </c:pt>
                  <c:pt idx="10">
                    <c:v>DK</c:v>
                  </c:pt>
                  <c:pt idx="11">
                    <c:v>DE</c:v>
                  </c:pt>
                  <c:pt idx="12">
                    <c:v>AU</c:v>
                  </c:pt>
                  <c:pt idx="13">
                    <c:v>BE</c:v>
                  </c:pt>
                  <c:pt idx="14">
                    <c:v>CA</c:v>
                  </c:pt>
                  <c:pt idx="15">
                    <c:v>GB</c:v>
                  </c:pt>
                  <c:pt idx="16">
                    <c:v>FR</c:v>
                  </c:pt>
                  <c:pt idx="17">
                    <c:v>NZ</c:v>
                  </c:pt>
                  <c:pt idx="18">
                    <c:v>IT</c:v>
                  </c:pt>
                  <c:pt idx="19">
                    <c:v>ES</c:v>
                  </c:pt>
                  <c:pt idx="20">
                    <c:v>MX</c:v>
                  </c:pt>
                </c15:dlblRangeCache>
              </c15:datalabelsRange>
            </c:ext>
            <c:ext xmlns:c16="http://schemas.microsoft.com/office/drawing/2014/chart" uri="{C3380CC4-5D6E-409C-BE32-E72D297353CC}">
              <c16:uniqueId val="{00000000-845B-4007-A687-6E322CC3C5A1}"/>
            </c:ext>
          </c:extLst>
        </c:ser>
        <c:dLbls>
          <c:showLegendKey val="0"/>
          <c:showVal val="0"/>
          <c:showCatName val="0"/>
          <c:showSerName val="0"/>
          <c:showPercent val="0"/>
          <c:showBubbleSize val="0"/>
        </c:dLbls>
        <c:axId val="646011568"/>
        <c:axId val="1483673055"/>
      </c:scatterChart>
      <c:valAx>
        <c:axId val="646011568"/>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3673055"/>
        <c:crosses val="autoZero"/>
        <c:crossBetween val="midCat"/>
      </c:valAx>
      <c:valAx>
        <c:axId val="1483673055"/>
        <c:scaling>
          <c:orientation val="minMax"/>
        </c:scaling>
        <c:delete val="0"/>
        <c:axPos val="l"/>
        <c:majorGridlines>
          <c:spPr>
            <a:ln w="9525" cap="flat" cmpd="sng" algn="ctr">
              <a:solidFill>
                <a:schemeClr val="dk1">
                  <a:lumMod val="15000"/>
                  <a:lumOff val="85000"/>
                </a:schemeClr>
              </a:solidFill>
              <a:round/>
            </a:ln>
            <a:effectLst/>
          </c:spPr>
        </c:majorGridlines>
        <c:numFmt formatCode="_(&quot;$&quot;* #,##0_);_(&quot;$&quot;* \(#,##0\);_(&quot;$&quot;* &quot;-&quot;_);_(@_)"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46011568"/>
        <c:crosses val="autoZero"/>
        <c:crossBetween val="midCat"/>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Extra_USD!$B$18</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Extra_USD!$B$19:$B$30</c:f>
              <c:numCache>
                <c:formatCode>0%</c:formatCode>
                <c:ptCount val="12"/>
                <c:pt idx="0">
                  <c:v>0.14151497357604229</c:v>
                </c:pt>
                <c:pt idx="1">
                  <c:v>0.76765957446808508</c:v>
                </c:pt>
                <c:pt idx="2">
                  <c:v>0.85900216919739691</c:v>
                </c:pt>
                <c:pt idx="3">
                  <c:v>0.88557213930348255</c:v>
                </c:pt>
                <c:pt idx="4">
                  <c:v>0.88495575221238942</c:v>
                </c:pt>
                <c:pt idx="5">
                  <c:v>0.84057971014492749</c:v>
                </c:pt>
                <c:pt idx="6">
                  <c:v>0.90322580645161288</c:v>
                </c:pt>
                <c:pt idx="7">
                  <c:v>0.90384615384615385</c:v>
                </c:pt>
                <c:pt idx="8">
                  <c:v>0.8571428571428571</c:v>
                </c:pt>
                <c:pt idx="9">
                  <c:v>0.88</c:v>
                </c:pt>
                <c:pt idx="10">
                  <c:v>0.94117647058823528</c:v>
                </c:pt>
                <c:pt idx="11">
                  <c:v>0.91772151898734178</c:v>
                </c:pt>
              </c:numCache>
            </c:numRef>
          </c:yVal>
          <c:smooth val="0"/>
          <c:extLst>
            <c:ext xmlns:c16="http://schemas.microsoft.com/office/drawing/2014/chart" uri="{C3380CC4-5D6E-409C-BE32-E72D297353CC}">
              <c16:uniqueId val="{00000000-4BEE-4ECD-9273-C412002BDB0E}"/>
            </c:ext>
          </c:extLst>
        </c:ser>
        <c:ser>
          <c:idx val="1"/>
          <c:order val="1"/>
          <c:tx>
            <c:strRef>
              <c:f>Extra_USD!$C$18</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Extra_USD!$C$19:$C$30</c:f>
              <c:numCache>
                <c:formatCode>0%</c:formatCode>
                <c:ptCount val="12"/>
                <c:pt idx="0">
                  <c:v>0.70522607163828532</c:v>
                </c:pt>
                <c:pt idx="1">
                  <c:v>0.18893617021276596</c:v>
                </c:pt>
                <c:pt idx="2">
                  <c:v>0.11279826464208242</c:v>
                </c:pt>
                <c:pt idx="3">
                  <c:v>8.9552238805970144E-2</c:v>
                </c:pt>
                <c:pt idx="4">
                  <c:v>9.7345132743362831E-2</c:v>
                </c:pt>
                <c:pt idx="5">
                  <c:v>8.6956521739130432E-2</c:v>
                </c:pt>
                <c:pt idx="6">
                  <c:v>9.6774193548387094E-2</c:v>
                </c:pt>
                <c:pt idx="7">
                  <c:v>7.6923076923076927E-2</c:v>
                </c:pt>
                <c:pt idx="8">
                  <c:v>0.14285714285714285</c:v>
                </c:pt>
                <c:pt idx="9">
                  <c:v>0.04</c:v>
                </c:pt>
                <c:pt idx="10">
                  <c:v>5.8823529411764705E-2</c:v>
                </c:pt>
                <c:pt idx="11">
                  <c:v>2.5316455696202531E-2</c:v>
                </c:pt>
              </c:numCache>
            </c:numRef>
          </c:yVal>
          <c:smooth val="0"/>
          <c:extLst>
            <c:ext xmlns:c16="http://schemas.microsoft.com/office/drawing/2014/chart" uri="{C3380CC4-5D6E-409C-BE32-E72D297353CC}">
              <c16:uniqueId val="{00000001-4BEE-4ECD-9273-C412002BDB0E}"/>
            </c:ext>
          </c:extLst>
        </c:ser>
        <c:ser>
          <c:idx val="2"/>
          <c:order val="2"/>
          <c:tx>
            <c:strRef>
              <c:f>Extra_USD!$D$18</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Extra_USD!$A$19:$A$30</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Extra_USD!$D$19:$D$30</c:f>
              <c:numCache>
                <c:formatCode>0%</c:formatCode>
                <c:ptCount val="12"/>
                <c:pt idx="0">
                  <c:v>0.15325895478567234</c:v>
                </c:pt>
                <c:pt idx="1">
                  <c:v>4.3404255319148939E-2</c:v>
                </c:pt>
                <c:pt idx="2">
                  <c:v>2.8199566160520606E-2</c:v>
                </c:pt>
                <c:pt idx="3">
                  <c:v>2.4875621890547265E-2</c:v>
                </c:pt>
                <c:pt idx="4">
                  <c:v>1.7699115044247787E-2</c:v>
                </c:pt>
                <c:pt idx="5">
                  <c:v>7.2463768115942032E-2</c:v>
                </c:pt>
                <c:pt idx="6">
                  <c:v>0</c:v>
                </c:pt>
                <c:pt idx="7">
                  <c:v>1.9230769230769232E-2</c:v>
                </c:pt>
                <c:pt idx="8">
                  <c:v>0</c:v>
                </c:pt>
                <c:pt idx="9">
                  <c:v>0.08</c:v>
                </c:pt>
                <c:pt idx="10">
                  <c:v>0</c:v>
                </c:pt>
                <c:pt idx="11">
                  <c:v>5.6962025316455694E-2</c:v>
                </c:pt>
              </c:numCache>
            </c:numRef>
          </c:yVal>
          <c:smooth val="0"/>
          <c:extLst>
            <c:ext xmlns:c16="http://schemas.microsoft.com/office/drawing/2014/chart" uri="{C3380CC4-5D6E-409C-BE32-E72D297353CC}">
              <c16:uniqueId val="{00000002-4BEE-4ECD-9273-C412002BDB0E}"/>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Likelihood</a:t>
            </a:r>
            <a:r>
              <a:rPr lang="en-US" baseline="0"/>
              <a:t> of a Successful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Bonus!$B$17</c:f>
              <c:strCache>
                <c:ptCount val="1"/>
                <c:pt idx="0">
                  <c:v>Successful</c:v>
                </c:pt>
              </c:strCache>
            </c:strRef>
          </c:tx>
          <c:spPr>
            <a:ln w="19050" cap="rnd">
              <a:solidFill>
                <a:schemeClr val="accent6">
                  <a:lumMod val="50000"/>
                </a:schemeClr>
              </a:solidFill>
              <a:round/>
            </a:ln>
            <a:effectLst/>
          </c:spPr>
          <c:marker>
            <c:symbol val="circle"/>
            <c:size val="5"/>
            <c:spPr>
              <a:solidFill>
                <a:schemeClr val="accent6">
                  <a:lumMod val="60000"/>
                  <a:lumOff val="40000"/>
                </a:schemeClr>
              </a:solidFill>
              <a:ln w="9525">
                <a:solidFill>
                  <a:schemeClr val="accent6">
                    <a:lumMod val="50000"/>
                  </a:schemeClr>
                </a:solidFill>
              </a:ln>
              <a:effectLst/>
            </c:spPr>
          </c:marker>
          <c:xVal>
            <c:numRef>
              <c:f>Bonus!$A$18:$A$29</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Bonus!$B$18:$B$29</c:f>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yVal>
          <c:smooth val="0"/>
          <c:extLst>
            <c:ext xmlns:c16="http://schemas.microsoft.com/office/drawing/2014/chart" uri="{C3380CC4-5D6E-409C-BE32-E72D297353CC}">
              <c16:uniqueId val="{00000000-E71A-46EA-A81D-BCD7D21479AC}"/>
            </c:ext>
          </c:extLst>
        </c:ser>
        <c:ser>
          <c:idx val="1"/>
          <c:order val="1"/>
          <c:tx>
            <c:strRef>
              <c:f>Bonus!$C$17</c:f>
              <c:strCache>
                <c:ptCount val="1"/>
                <c:pt idx="0">
                  <c:v>Failed</c:v>
                </c:pt>
              </c:strCache>
            </c:strRef>
          </c:tx>
          <c:spPr>
            <a:ln w="19050" cap="rnd">
              <a:solidFill>
                <a:srgbClr val="C00000"/>
              </a:solidFill>
              <a:round/>
            </a:ln>
            <a:effectLst/>
          </c:spPr>
          <c:marker>
            <c:symbol val="circle"/>
            <c:size val="5"/>
            <c:spPr>
              <a:solidFill>
                <a:srgbClr val="E8B2BA"/>
              </a:solidFill>
              <a:ln w="9525">
                <a:solidFill>
                  <a:srgbClr val="C00000"/>
                </a:solidFill>
              </a:ln>
              <a:effectLst/>
            </c:spPr>
          </c:marker>
          <c:xVal>
            <c:numRef>
              <c:f>Bonus!$A$18:$A$29</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Bonus!$C$18:$C$29</c:f>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yVal>
          <c:smooth val="0"/>
          <c:extLst>
            <c:ext xmlns:c16="http://schemas.microsoft.com/office/drawing/2014/chart" uri="{C3380CC4-5D6E-409C-BE32-E72D297353CC}">
              <c16:uniqueId val="{00000001-E71A-46EA-A81D-BCD7D21479AC}"/>
            </c:ext>
          </c:extLst>
        </c:ser>
        <c:ser>
          <c:idx val="2"/>
          <c:order val="2"/>
          <c:tx>
            <c:strRef>
              <c:f>Bonus!$D$17</c:f>
              <c:strCache>
                <c:ptCount val="1"/>
                <c:pt idx="0">
                  <c:v>Canceled</c:v>
                </c:pt>
              </c:strCache>
            </c:strRef>
          </c:tx>
          <c:spPr>
            <a:ln w="19050" cap="rnd">
              <a:solidFill>
                <a:schemeClr val="accent4">
                  <a:lumMod val="50000"/>
                </a:schemeClr>
              </a:solidFill>
              <a:round/>
            </a:ln>
            <a:effectLst/>
          </c:spPr>
          <c:marker>
            <c:symbol val="circle"/>
            <c:size val="5"/>
            <c:spPr>
              <a:solidFill>
                <a:srgbClr val="FFFF00"/>
              </a:solidFill>
              <a:ln w="9525">
                <a:solidFill>
                  <a:schemeClr val="accent4">
                    <a:lumMod val="50000"/>
                  </a:schemeClr>
                </a:solidFill>
              </a:ln>
              <a:effectLst/>
            </c:spPr>
          </c:marker>
          <c:xVal>
            <c:numRef>
              <c:f>Bonus!$A$18:$A$29</c:f>
              <c:numCache>
                <c:formatCode>General</c:formatCode>
                <c:ptCount val="12"/>
                <c:pt idx="0">
                  <c:v>1000</c:v>
                </c:pt>
                <c:pt idx="1">
                  <c:v>5000</c:v>
                </c:pt>
                <c:pt idx="2">
                  <c:v>10000</c:v>
                </c:pt>
                <c:pt idx="3">
                  <c:v>15000</c:v>
                </c:pt>
                <c:pt idx="4">
                  <c:v>20000</c:v>
                </c:pt>
                <c:pt idx="5">
                  <c:v>25000</c:v>
                </c:pt>
                <c:pt idx="6">
                  <c:v>30000</c:v>
                </c:pt>
                <c:pt idx="7">
                  <c:v>35000</c:v>
                </c:pt>
                <c:pt idx="8">
                  <c:v>40000</c:v>
                </c:pt>
                <c:pt idx="9">
                  <c:v>45000</c:v>
                </c:pt>
                <c:pt idx="10">
                  <c:v>50000</c:v>
                </c:pt>
                <c:pt idx="11">
                  <c:v>55000</c:v>
                </c:pt>
              </c:numCache>
            </c:numRef>
          </c:xVal>
          <c:yVal>
            <c:numRef>
              <c:f>Bonus!$D$18:$D$29</c:f>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yVal>
          <c:smooth val="0"/>
          <c:extLst>
            <c:ext xmlns:c16="http://schemas.microsoft.com/office/drawing/2014/chart" uri="{C3380CC4-5D6E-409C-BE32-E72D297353CC}">
              <c16:uniqueId val="{00000002-E71A-46EA-A81D-BCD7D21479AC}"/>
            </c:ext>
          </c:extLst>
        </c:ser>
        <c:dLbls>
          <c:showLegendKey val="0"/>
          <c:showVal val="0"/>
          <c:showCatName val="0"/>
          <c:showSerName val="0"/>
          <c:showPercent val="0"/>
          <c:showBubbleSize val="0"/>
        </c:dLbls>
        <c:axId val="458378400"/>
        <c:axId val="1053766064"/>
      </c:scatterChart>
      <c:valAx>
        <c:axId val="458378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6064"/>
        <c:crosses val="autoZero"/>
        <c:crossBetween val="midCat"/>
      </c:valAx>
      <c:valAx>
        <c:axId val="10537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3784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[KickStarter_Analysis_SJL.xlsx]Date-Extra!PivotTable2</c:name>
    <c:fmtId val="1"/>
  </c:pivotSource>
  <c:chart>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ln>
          <a:effectLst/>
        </c:spPr>
        <c:marker>
          <c:symbol val="none"/>
        </c:marker>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52134272689585E-2"/>
          <c:y val="0.11795035040763445"/>
          <c:w val="0.8622866643317032"/>
          <c:h val="0.74671846645781581"/>
        </c:manualLayout>
      </c:layout>
      <c:lineChart>
        <c:grouping val="standard"/>
        <c:varyColors val="0"/>
        <c:ser>
          <c:idx val="0"/>
          <c:order val="0"/>
          <c:tx>
            <c:strRef>
              <c:f>'Date-Extra'!$C$5:$C$6</c:f>
              <c:strCache>
                <c:ptCount val="1"/>
                <c:pt idx="0">
                  <c:v>successful</c:v>
                </c:pt>
              </c:strCache>
            </c:strRef>
          </c:tx>
          <c:spPr>
            <a:ln w="28575" cap="rnd">
              <a:solidFill>
                <a:schemeClr val="accent6">
                  <a:lumMod val="7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'Date-Extra'!$C$7:$C$48</c:f>
              <c:numCache>
                <c:formatCode>General</c:formatCode>
                <c:ptCount val="32"/>
                <c:pt idx="0">
                  <c:v>1</c:v>
                </c:pt>
                <c:pt idx="1">
                  <c:v>4</c:v>
                </c:pt>
                <c:pt idx="2">
                  <c:v>4</c:v>
                </c:pt>
                <c:pt idx="3">
                  <c:v>12</c:v>
                </c:pt>
                <c:pt idx="4">
                  <c:v>14</c:v>
                </c:pt>
                <c:pt idx="5">
                  <c:v>7</c:v>
                </c:pt>
                <c:pt idx="6">
                  <c:v>16</c:v>
                </c:pt>
                <c:pt idx="7">
                  <c:v>26</c:v>
                </c:pt>
                <c:pt idx="8">
                  <c:v>39</c:v>
                </c:pt>
                <c:pt idx="9">
                  <c:v>37</c:v>
                </c:pt>
                <c:pt idx="10">
                  <c:v>34</c:v>
                </c:pt>
                <c:pt idx="11">
                  <c:v>67</c:v>
                </c:pt>
                <c:pt idx="12">
                  <c:v>60</c:v>
                </c:pt>
                <c:pt idx="13">
                  <c:v>48</c:v>
                </c:pt>
                <c:pt idx="14">
                  <c:v>41</c:v>
                </c:pt>
                <c:pt idx="15">
                  <c:v>57</c:v>
                </c:pt>
                <c:pt idx="16">
                  <c:v>54</c:v>
                </c:pt>
                <c:pt idx="17">
                  <c:v>38</c:v>
                </c:pt>
                <c:pt idx="18">
                  <c:v>51</c:v>
                </c:pt>
                <c:pt idx="19">
                  <c:v>50</c:v>
                </c:pt>
                <c:pt idx="20">
                  <c:v>150</c:v>
                </c:pt>
                <c:pt idx="21">
                  <c:v>147</c:v>
                </c:pt>
                <c:pt idx="22">
                  <c:v>127</c:v>
                </c:pt>
                <c:pt idx="23">
                  <c:v>156</c:v>
                </c:pt>
                <c:pt idx="24">
                  <c:v>182</c:v>
                </c:pt>
                <c:pt idx="25">
                  <c:v>124</c:v>
                </c:pt>
                <c:pt idx="26">
                  <c:v>105</c:v>
                </c:pt>
                <c:pt idx="27">
                  <c:v>137</c:v>
                </c:pt>
                <c:pt idx="28">
                  <c:v>137</c:v>
                </c:pt>
                <c:pt idx="29">
                  <c:v>102</c:v>
                </c:pt>
                <c:pt idx="30">
                  <c:v>99</c:v>
                </c:pt>
                <c:pt idx="31">
                  <c:v>59</c:v>
                </c:pt>
              </c:numCache>
            </c:numRef>
          </c:val>
          <c:smooth val="0"/>
          <c:extLst>
            <c:ext xmlns:c16="http://schemas.microsoft.com/office/drawing/2014/chart" uri="{C3380CC4-5D6E-409C-BE32-E72D297353CC}">
              <c16:uniqueId val="{00000000-46F7-4826-8FFE-1D6DC3AE02C6}"/>
            </c:ext>
          </c:extLst>
        </c:ser>
        <c:ser>
          <c:idx val="1"/>
          <c:order val="1"/>
          <c:tx>
            <c:strRef>
              <c:f>'Date-Extra'!$D$5:$D$6</c:f>
              <c:strCache>
                <c:ptCount val="1"/>
                <c:pt idx="0">
                  <c:v>failed</c:v>
                </c:pt>
              </c:strCache>
            </c:strRef>
          </c:tx>
          <c:spPr>
            <a:ln w="28575" cap="rnd">
              <a:solidFill>
                <a:srgbClr val="C00000"/>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'Date-Extra'!$D$7:$D$48</c:f>
              <c:numCache>
                <c:formatCode>General</c:formatCode>
                <c:ptCount val="32"/>
                <c:pt idx="1">
                  <c:v>3</c:v>
                </c:pt>
                <c:pt idx="2">
                  <c:v>1</c:v>
                </c:pt>
                <c:pt idx="3">
                  <c:v>2</c:v>
                </c:pt>
                <c:pt idx="4">
                  <c:v>7</c:v>
                </c:pt>
                <c:pt idx="5">
                  <c:v>3</c:v>
                </c:pt>
                <c:pt idx="6">
                  <c:v>3</c:v>
                </c:pt>
                <c:pt idx="7">
                  <c:v>2</c:v>
                </c:pt>
                <c:pt idx="8">
                  <c:v>6</c:v>
                </c:pt>
                <c:pt idx="9">
                  <c:v>10</c:v>
                </c:pt>
                <c:pt idx="10">
                  <c:v>10</c:v>
                </c:pt>
                <c:pt idx="11">
                  <c:v>15</c:v>
                </c:pt>
                <c:pt idx="12">
                  <c:v>15</c:v>
                </c:pt>
                <c:pt idx="13">
                  <c:v>15</c:v>
                </c:pt>
                <c:pt idx="14">
                  <c:v>15</c:v>
                </c:pt>
                <c:pt idx="15">
                  <c:v>9</c:v>
                </c:pt>
                <c:pt idx="16">
                  <c:v>14</c:v>
                </c:pt>
                <c:pt idx="17">
                  <c:v>18</c:v>
                </c:pt>
                <c:pt idx="18">
                  <c:v>26</c:v>
                </c:pt>
                <c:pt idx="19">
                  <c:v>25</c:v>
                </c:pt>
                <c:pt idx="20">
                  <c:v>86</c:v>
                </c:pt>
                <c:pt idx="21">
                  <c:v>175</c:v>
                </c:pt>
                <c:pt idx="22">
                  <c:v>136</c:v>
                </c:pt>
                <c:pt idx="23">
                  <c:v>163</c:v>
                </c:pt>
                <c:pt idx="24">
                  <c:v>147</c:v>
                </c:pt>
                <c:pt idx="25">
                  <c:v>113</c:v>
                </c:pt>
                <c:pt idx="26">
                  <c:v>104</c:v>
                </c:pt>
                <c:pt idx="27">
                  <c:v>116</c:v>
                </c:pt>
                <c:pt idx="28">
                  <c:v>100</c:v>
                </c:pt>
                <c:pt idx="29">
                  <c:v>74</c:v>
                </c:pt>
                <c:pt idx="30">
                  <c:v>86</c:v>
                </c:pt>
                <c:pt idx="31">
                  <c:v>31</c:v>
                </c:pt>
              </c:numCache>
            </c:numRef>
          </c:val>
          <c:smooth val="0"/>
          <c:extLst>
            <c:ext xmlns:c16="http://schemas.microsoft.com/office/drawing/2014/chart" uri="{C3380CC4-5D6E-409C-BE32-E72D297353CC}">
              <c16:uniqueId val="{00000001-46F7-4826-8FFE-1D6DC3AE02C6}"/>
            </c:ext>
          </c:extLst>
        </c:ser>
        <c:ser>
          <c:idx val="2"/>
          <c:order val="2"/>
          <c:tx>
            <c:strRef>
              <c:f>'Date-Extra'!$E$5:$E$6</c:f>
              <c:strCache>
                <c:ptCount val="1"/>
                <c:pt idx="0">
                  <c:v>canceled</c:v>
                </c:pt>
              </c:strCache>
            </c:strRef>
          </c:tx>
          <c:spPr>
            <a:ln w="28575" cap="rnd">
              <a:solidFill>
                <a:schemeClr val="accent4">
                  <a:lumMod val="60000"/>
                  <a:lumOff val="40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'Date-Extra'!$E$7:$E$48</c:f>
              <c:numCache>
                <c:formatCode>General</c:formatCode>
                <c:ptCount val="32"/>
                <c:pt idx="1">
                  <c:v>1</c:v>
                </c:pt>
                <c:pt idx="5">
                  <c:v>1</c:v>
                </c:pt>
                <c:pt idx="7">
                  <c:v>1</c:v>
                </c:pt>
                <c:pt idx="8">
                  <c:v>2</c:v>
                </c:pt>
                <c:pt idx="9">
                  <c:v>3</c:v>
                </c:pt>
                <c:pt idx="10">
                  <c:v>1</c:v>
                </c:pt>
                <c:pt idx="11">
                  <c:v>3</c:v>
                </c:pt>
                <c:pt idx="12">
                  <c:v>1</c:v>
                </c:pt>
                <c:pt idx="13">
                  <c:v>2</c:v>
                </c:pt>
                <c:pt idx="16">
                  <c:v>2</c:v>
                </c:pt>
                <c:pt idx="17">
                  <c:v>3</c:v>
                </c:pt>
                <c:pt idx="18">
                  <c:v>2</c:v>
                </c:pt>
                <c:pt idx="19">
                  <c:v>3</c:v>
                </c:pt>
                <c:pt idx="20">
                  <c:v>12</c:v>
                </c:pt>
                <c:pt idx="21">
                  <c:v>30</c:v>
                </c:pt>
                <c:pt idx="22">
                  <c:v>35</c:v>
                </c:pt>
                <c:pt idx="23">
                  <c:v>38</c:v>
                </c:pt>
                <c:pt idx="24">
                  <c:v>35</c:v>
                </c:pt>
                <c:pt idx="25">
                  <c:v>36</c:v>
                </c:pt>
                <c:pt idx="26">
                  <c:v>22</c:v>
                </c:pt>
                <c:pt idx="27">
                  <c:v>27</c:v>
                </c:pt>
                <c:pt idx="28">
                  <c:v>28</c:v>
                </c:pt>
                <c:pt idx="29">
                  <c:v>24</c:v>
                </c:pt>
                <c:pt idx="30">
                  <c:v>20</c:v>
                </c:pt>
                <c:pt idx="31">
                  <c:v>17</c:v>
                </c:pt>
              </c:numCache>
            </c:numRef>
          </c:val>
          <c:smooth val="0"/>
          <c:extLst>
            <c:ext xmlns:c16="http://schemas.microsoft.com/office/drawing/2014/chart" uri="{C3380CC4-5D6E-409C-BE32-E72D297353CC}">
              <c16:uniqueId val="{00000002-46F7-4826-8FFE-1D6DC3AE02C6}"/>
            </c:ext>
          </c:extLst>
        </c:ser>
        <c:ser>
          <c:idx val="3"/>
          <c:order val="3"/>
          <c:tx>
            <c:strRef>
              <c:f>'Date-Extra'!$F$5:$F$6</c:f>
              <c:strCache>
                <c:ptCount val="1"/>
                <c:pt idx="0">
                  <c:v>live</c:v>
                </c:pt>
              </c:strCache>
            </c:strRef>
          </c:tx>
          <c:spPr>
            <a:ln w="28575" cap="rnd">
              <a:solidFill>
                <a:schemeClr val="bg1">
                  <a:lumMod val="65000"/>
                </a:schemeClr>
              </a:solidFill>
              <a:round/>
            </a:ln>
            <a:effectLst/>
          </c:spPr>
          <c:marker>
            <c:symbol val="none"/>
          </c:marker>
          <c:cat>
            <c:multiLvlStrRef>
              <c:f>'Date-Extra'!$A$7:$B$48</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'Date-Extra'!$F$7:$F$48</c:f>
              <c:numCache>
                <c:formatCode>General</c:formatCode>
                <c:ptCount val="32"/>
                <c:pt idx="31">
                  <c:v>50</c:v>
                </c:pt>
              </c:numCache>
            </c:numRef>
          </c:val>
          <c:smooth val="0"/>
          <c:extLst>
            <c:ext xmlns:c16="http://schemas.microsoft.com/office/drawing/2014/chart" uri="{C3380CC4-5D6E-409C-BE32-E72D297353CC}">
              <c16:uniqueId val="{00000005-46F7-4826-8FFE-1D6DC3AE02C6}"/>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[KickStarter_Analysis_SJL.xlsx]Date-Month!PivotTable2</c:name>
    <c:fmtId val="0"/>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pivotFmt>
    </c:pivotFmts>
    <c:plotArea>
      <c:layout>
        <c:manualLayout>
          <c:layoutTarget val="inner"/>
          <c:xMode val="edge"/>
          <c:yMode val="edge"/>
          <c:x val="9.3452134272689585E-2"/>
          <c:y val="0.11795035040763445"/>
          <c:w val="0.7840329900282933"/>
          <c:h val="0.74671846645781581"/>
        </c:manualLayout>
      </c:layout>
      <c:lineChart>
        <c:grouping val="standard"/>
        <c:varyColors val="0"/>
        <c:ser>
          <c:idx val="0"/>
          <c:order val="0"/>
          <c:tx>
            <c:strRef>
              <c:f>'Date-Month'!$B$4:$B$5</c:f>
              <c:strCache>
                <c:ptCount val="1"/>
                <c:pt idx="0">
                  <c:v>successful</c:v>
                </c:pt>
              </c:strCache>
            </c:strRef>
          </c:tx>
          <c:spPr>
            <a:ln w="28575" cap="rnd">
              <a:solidFill>
                <a:schemeClr val="accent6">
                  <a:lumMod val="75000"/>
                </a:schemeClr>
              </a:solidFill>
              <a:round/>
            </a:ln>
            <a:effectLst/>
          </c:spPr>
          <c:marker>
            <c:symbol val="none"/>
          </c:marker>
          <c:trendline>
            <c:spPr>
              <a:ln w="19050" cap="rnd">
                <a:solidFill>
                  <a:schemeClr val="accent6">
                    <a:lumMod val="75000"/>
                  </a:schemeClr>
                </a:solidFill>
                <a:prstDash val="sysDot"/>
              </a:ln>
              <a:effectLst/>
            </c:spPr>
            <c:trendlineType val="linear"/>
            <c:dispRSqr val="1"/>
            <c:dispEq val="0"/>
            <c:trendlineLbl>
              <c:layout>
                <c:manualLayout>
                  <c:x val="-0.28190281039431475"/>
                  <c:y val="-3.436721833117311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404-4F07-999D-D7ED4CAC8E21}"/>
            </c:ext>
          </c:extLst>
        </c:ser>
        <c:ser>
          <c:idx val="1"/>
          <c:order val="1"/>
          <c:tx>
            <c:strRef>
              <c:f>'Date-Month'!$C$4:$C$5</c:f>
              <c:strCache>
                <c:ptCount val="1"/>
                <c:pt idx="0">
                  <c:v>failed</c:v>
                </c:pt>
              </c:strCache>
            </c:strRef>
          </c:tx>
          <c:spPr>
            <a:ln w="28575" cap="rnd">
              <a:solidFill>
                <a:srgbClr val="C00000"/>
              </a:solidFill>
              <a:round/>
            </a:ln>
            <a:effectLst/>
          </c:spPr>
          <c:marker>
            <c:symbol val="none"/>
          </c:marker>
          <c:trendline>
            <c:spPr>
              <a:ln w="19050" cap="rnd">
                <a:solidFill>
                  <a:schemeClr val="accent2"/>
                </a:solidFill>
                <a:prstDash val="sysDot"/>
              </a:ln>
              <a:effectLst/>
            </c:spPr>
            <c:trendlineType val="linear"/>
            <c:dispRSqr val="1"/>
            <c:dispEq val="0"/>
            <c:trendlineLbl>
              <c:layout>
                <c:manualLayout>
                  <c:x val="-0.28768578635272934"/>
                  <c:y val="3.768121380547872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404-4F07-999D-D7ED4CAC8E21}"/>
            </c:ext>
          </c:extLst>
        </c:ser>
        <c:ser>
          <c:idx val="2"/>
          <c:order val="2"/>
          <c:tx>
            <c:strRef>
              <c:f>'Date-Month'!$D$4:$D$5</c:f>
              <c:strCache>
                <c:ptCount val="1"/>
                <c:pt idx="0">
                  <c:v>canceled</c:v>
                </c:pt>
              </c:strCache>
            </c:strRef>
          </c:tx>
          <c:spPr>
            <a:ln w="28575" cap="rnd">
              <a:solidFill>
                <a:schemeClr val="accent4">
                  <a:lumMod val="60000"/>
                  <a:lumOff val="40000"/>
                </a:schemeClr>
              </a:solidFill>
              <a:round/>
            </a:ln>
            <a:effectLst/>
          </c:spPr>
          <c:marker>
            <c:symbol val="none"/>
          </c:marker>
          <c:trendline>
            <c:spPr>
              <a:ln w="19050" cap="rnd">
                <a:solidFill>
                  <a:schemeClr val="accent4">
                    <a:lumMod val="60000"/>
                    <a:lumOff val="40000"/>
                  </a:schemeClr>
                </a:solidFill>
                <a:prstDash val="sysDot"/>
              </a:ln>
              <a:effectLst/>
            </c:spPr>
            <c:trendlineType val="linear"/>
            <c:dispRSqr val="1"/>
            <c:dispEq val="0"/>
            <c:trendlineLbl>
              <c:layout>
                <c:manualLayout>
                  <c:x val="-0.27702951604733622"/>
                  <c:y val="3.079352739989624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'Date-Month'!$A$6:$A$18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404-4F07-999D-D7ED4CAC8E21}"/>
            </c:ext>
          </c:extLst>
        </c:ser>
        <c:dLbls>
          <c:showLegendKey val="0"/>
          <c:showVal val="0"/>
          <c:showCatName val="0"/>
          <c:showSerName val="0"/>
          <c:showPercent val="0"/>
          <c:showBubbleSize val="0"/>
        </c:dLbls>
        <c:smooth val="0"/>
        <c:axId val="1046635312"/>
        <c:axId val="906255840"/>
      </c:lineChart>
      <c:catAx>
        <c:axId val="104663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255840"/>
        <c:crosses val="autoZero"/>
        <c:auto val="1"/>
        <c:lblAlgn val="ctr"/>
        <c:lblOffset val="100"/>
        <c:noMultiLvlLbl val="0"/>
      </c:catAx>
      <c:valAx>
        <c:axId val="90625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353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[KickStarter_Analysis_SJL.xlsx]Sub_CategoryOLD!PivotTable1</c:name>
    <c:fmtId val="0"/>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Globally</a:t>
            </a:r>
            <a:r>
              <a:rPr lang="en-US" sz="1800" baseline="0"/>
              <a:t> </a:t>
            </a:r>
            <a:r>
              <a:rPr lang="en-US" sz="1800"/>
              <a:t>Campaigns for Plays Show Huge</a:t>
            </a:r>
            <a:r>
              <a:rPr lang="en-US" sz="1800" baseline="0"/>
              <a:t> Support</a:t>
            </a:r>
            <a:endParaRPr lang="en-US" sz="1800"/>
          </a:p>
        </c:rich>
      </c:tx>
      <c:layout>
        <c:manualLayout>
          <c:xMode val="edge"/>
          <c:yMode val="edge"/>
          <c:x val="0.2104415945398998"/>
          <c:y val="0.1189398708530823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7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183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solidFill>
              <a:schemeClr val="tx1">
                <a:lumMod val="95000"/>
                <a:lumOff val="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solidFill>
              <a:schemeClr val="accent6">
                <a:lumMod val="5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9.6185674683923722E-2"/>
          <c:y val="0.16875591182398245"/>
          <c:w val="0.86539274257958465"/>
          <c:h val="0.64999381902122011"/>
        </c:manualLayout>
      </c:layout>
      <c:barChart>
        <c:barDir val="col"/>
        <c:grouping val="stacked"/>
        <c:varyColors val="0"/>
        <c:ser>
          <c:idx val="0"/>
          <c:order val="0"/>
          <c:tx>
            <c:strRef>
              <c:f>Sub_CategoryOLD!$B$4:$B$5</c:f>
              <c:strCache>
                <c:ptCount val="1"/>
                <c:pt idx="0">
                  <c:v>successful</c:v>
                </c:pt>
              </c:strCache>
            </c:strRef>
          </c:tx>
          <c:spPr>
            <a:solidFill>
              <a:schemeClr val="accent6">
                <a:lumMod val="60000"/>
                <a:lumOff val="40000"/>
              </a:schemeClr>
            </a:solidFill>
            <a:ln>
              <a:solidFill>
                <a:schemeClr val="accent6">
                  <a:lumMod val="75000"/>
                </a:schemeClr>
              </a:solidFill>
            </a:ln>
            <a:effectLst>
              <a:outerShdw blurRad="57150" dist="19050" dir="5400000" algn="ctr" rotWithShape="0">
                <a:srgbClr val="000000">
                  <a:alpha val="63000"/>
                </a:srgbClr>
              </a:outerShdw>
            </a:effectLst>
          </c:spPr>
          <c:invertIfNegative val="0"/>
          <c:dPt>
            <c:idx val="0"/>
            <c:invertIfNegative val="0"/>
            <c:bubble3D val="0"/>
            <c:spPr>
              <a:solidFill>
                <a:schemeClr val="accent6">
                  <a:lumMod val="60000"/>
                  <a:lumOff val="40000"/>
                </a:schemeClr>
              </a:solidFill>
              <a:ln>
                <a:solidFill>
                  <a:schemeClr val="accent6">
                    <a:lumMod val="5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DA-4AB7-B9A0-ECCDD8A7994E}"/>
              </c:ext>
            </c:extLst>
          </c:dPt>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73BC-4058-B577-CB827000BECE}"/>
            </c:ext>
          </c:extLst>
        </c:ser>
        <c:ser>
          <c:idx val="1"/>
          <c:order val="1"/>
          <c:tx>
            <c:strRef>
              <c:f>Sub_CategoryOLD!$C$4:$C$5</c:f>
              <c:strCache>
                <c:ptCount val="1"/>
                <c:pt idx="0">
                  <c:v>failed</c:v>
                </c:pt>
              </c:strCache>
            </c:strRef>
          </c:tx>
          <c:spPr>
            <a:solidFill>
              <a:srgbClr val="EA867C"/>
            </a:solidFill>
            <a:ln>
              <a:solidFill>
                <a:srgbClr val="C01830"/>
              </a:solidFill>
            </a:ln>
            <a:effectLst>
              <a:outerShdw blurRad="57150" dist="19050" dir="5400000" algn="ctr" rotWithShape="0">
                <a:srgbClr val="000000">
                  <a:alpha val="63000"/>
                </a:srgbClr>
              </a:outerShdw>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73BC-4058-B577-CB827000BECE}"/>
            </c:ext>
          </c:extLst>
        </c:ser>
        <c:ser>
          <c:idx val="2"/>
          <c:order val="2"/>
          <c:tx>
            <c:strRef>
              <c:f>Sub_CategoryOLD!$D$4:$D$5</c:f>
              <c:strCache>
                <c:ptCount val="1"/>
                <c:pt idx="0">
                  <c:v>canceled</c:v>
                </c:pt>
              </c:strCache>
            </c:strRef>
          </c:tx>
          <c:spPr>
            <a:solidFill>
              <a:schemeClr val="accent4">
                <a:lumMod val="60000"/>
                <a:lumOff val="40000"/>
              </a:schemeClr>
            </a:solidFill>
            <a:ln>
              <a:solidFill>
                <a:schemeClr val="accent4">
                  <a:lumMod val="50000"/>
                </a:schemeClr>
              </a:solidFill>
            </a:ln>
            <a:effectLst>
              <a:outerShdw blurRad="57150" dist="19050" dir="5400000" algn="ctr" rotWithShape="0">
                <a:srgbClr val="000000">
                  <a:alpha val="63000"/>
                </a:srgbClr>
              </a:outerShdw>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73BC-4058-B577-CB827000BECE}"/>
            </c:ext>
          </c:extLst>
        </c:ser>
        <c:ser>
          <c:idx val="3"/>
          <c:order val="3"/>
          <c:tx>
            <c:strRef>
              <c:f>Sub_CategoryOLD!$E$4:$E$5</c:f>
              <c:strCache>
                <c:ptCount val="1"/>
                <c:pt idx="0">
                  <c:v>live</c:v>
                </c:pt>
              </c:strCache>
            </c:strRef>
          </c:tx>
          <c:spPr>
            <a:solidFill>
              <a:schemeClr val="bg1">
                <a:lumMod val="65000"/>
              </a:schemeClr>
            </a:solidFill>
            <a:ln>
              <a:solidFill>
                <a:schemeClr val="tx1">
                  <a:lumMod val="95000"/>
                  <a:lumOff val="5000"/>
                </a:schemeClr>
              </a:solidFill>
            </a:ln>
            <a:effectLst>
              <a:outerShdw blurRad="57150" dist="19050" dir="5400000" algn="ctr" rotWithShape="0">
                <a:srgbClr val="000000">
                  <a:alpha val="63000"/>
                </a:srgbClr>
              </a:outerShdw>
            </a:effectLst>
          </c:spPr>
          <c:invertIfNegative val="0"/>
          <c:cat>
            <c:strRef>
              <c:f>Sub_CategoryOLD!$A$6:$A$47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Sub_CategoryOLD!$E$6:$E$47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73BC-4058-B577-CB827000BECE}"/>
            </c:ext>
          </c:extLst>
        </c:ser>
        <c:dLbls>
          <c:showLegendKey val="0"/>
          <c:showVal val="0"/>
          <c:showCatName val="0"/>
          <c:showSerName val="0"/>
          <c:showPercent val="0"/>
          <c:showBubbleSize val="0"/>
        </c:dLbls>
        <c:gapWidth val="115"/>
        <c:overlap val="100"/>
        <c:axId val="742436064"/>
        <c:axId val="1019965456"/>
      </c:barChart>
      <c:catAx>
        <c:axId val="7424360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31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965456"/>
        <c:crosses val="autoZero"/>
        <c:auto val="1"/>
        <c:lblAlgn val="ctr"/>
        <c:lblOffset val="100"/>
        <c:noMultiLvlLbl val="0"/>
      </c:catAx>
      <c:valAx>
        <c:axId val="101996545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 of Campaigns</a:t>
                </a:r>
              </a:p>
            </c:rich>
          </c:tx>
          <c:layout>
            <c:manualLayout>
              <c:xMode val="edge"/>
              <c:yMode val="edge"/>
              <c:x val="2.6621665397583098E-2"/>
              <c:y val="0.4655389511113618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36064"/>
        <c:crosses val="autoZero"/>
        <c:crossBetween val="between"/>
      </c:valAx>
      <c:spPr>
        <a:noFill/>
        <a:ln>
          <a:noFill/>
        </a:ln>
        <a:effectLst/>
      </c:spPr>
    </c:plotArea>
    <c:legend>
      <c:legendPos val="tr"/>
      <c:layout>
        <c:manualLayout>
          <c:xMode val="edge"/>
          <c:yMode val="edge"/>
          <c:x val="0.82812741443925442"/>
          <c:y val="0.21522140238116111"/>
          <c:w val="8.0429121687099647E-2"/>
          <c:h val="0.148816758061078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[KickStarter_Analysis_SJL.xlsx]Sub-Category!PivotTable2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Globally Campaigns for Plays Show Huge Support</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  </a:t>
            </a:r>
          </a:p>
        </c:rich>
      </c:tx>
      <c:layout>
        <c:manualLayout>
          <c:xMode val="edge"/>
          <c:yMode val="edge"/>
          <c:x val="0.22155626689097097"/>
          <c:y val="0.1150847975920992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60000"/>
              <a:lumOff val="40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183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4599217815067"/>
          <c:y val="0.1197948057257425"/>
          <c:w val="0.85384776591260914"/>
          <c:h val="0.73096403257538922"/>
        </c:manualLayout>
      </c:layout>
      <c:barChart>
        <c:barDir val="col"/>
        <c:grouping val="stacked"/>
        <c:varyColors val="0"/>
        <c:ser>
          <c:idx val="0"/>
          <c:order val="0"/>
          <c:tx>
            <c:strRef>
              <c:f>'Sub-Category'!$B$4:$B$5</c:f>
              <c:strCache>
                <c:ptCount val="1"/>
                <c:pt idx="0">
                  <c:v>successful</c:v>
                </c:pt>
              </c:strCache>
            </c:strRef>
          </c:tx>
          <c:spPr>
            <a:solidFill>
              <a:schemeClr val="accent6">
                <a:lumMod val="60000"/>
                <a:lumOff val="40000"/>
              </a:schemeClr>
            </a:solidFill>
            <a:ln>
              <a:solidFill>
                <a:schemeClr val="accent6">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43B1-4D40-9429-E6D779F05BA6}"/>
            </c:ext>
          </c:extLst>
        </c:ser>
        <c:ser>
          <c:idx val="1"/>
          <c:order val="1"/>
          <c:tx>
            <c:strRef>
              <c:f>'Sub-Category'!$C$4:$C$5</c:f>
              <c:strCache>
                <c:ptCount val="1"/>
                <c:pt idx="0">
                  <c:v>failed</c:v>
                </c:pt>
              </c:strCache>
            </c:strRef>
          </c:tx>
          <c:spPr>
            <a:solidFill>
              <a:srgbClr val="EA867C"/>
            </a:solidFill>
            <a:ln>
              <a:solidFill>
                <a:srgbClr val="C01830"/>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43B1-4D40-9429-E6D779F05BA6}"/>
            </c:ext>
          </c:extLst>
        </c:ser>
        <c:ser>
          <c:idx val="2"/>
          <c:order val="2"/>
          <c:tx>
            <c:strRef>
              <c:f>'Sub-Category'!$D$4:$D$5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43B1-4D40-9429-E6D779F05BA6}"/>
            </c:ext>
          </c:extLst>
        </c:ser>
        <c:ser>
          <c:idx val="3"/>
          <c:order val="3"/>
          <c:tx>
            <c:strRef>
              <c:f>'Sub-Category'!$E$4:$E$5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43B1-4D40-9429-E6D779F05BA6}"/>
            </c:ext>
          </c:extLst>
        </c:ser>
        <c:dLbls>
          <c:showLegendKey val="0"/>
          <c:showVal val="0"/>
          <c:showCatName val="0"/>
          <c:showSerName val="0"/>
          <c:showPercent val="0"/>
          <c:showBubbleSize val="0"/>
        </c:dLbls>
        <c:gapWidth val="150"/>
        <c:overlap val="100"/>
        <c:axId val="1482280175"/>
        <c:axId val="1482403007"/>
      </c:barChart>
      <c:catAx>
        <c:axId val="148228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403007"/>
        <c:crosses val="autoZero"/>
        <c:auto val="1"/>
        <c:lblAlgn val="ctr"/>
        <c:lblOffset val="100"/>
        <c:noMultiLvlLbl val="0"/>
      </c:catAx>
      <c:valAx>
        <c:axId val="1482403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AxNumber of campaigns</a:t>
                </a:r>
              </a:p>
            </c:rich>
          </c:tx>
          <c:layout>
            <c:manualLayout>
              <c:xMode val="edge"/>
              <c:yMode val="edge"/>
              <c:x val="1.9382528208016739E-2"/>
              <c:y val="0.3554023347371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80175"/>
        <c:crosses val="autoZero"/>
        <c:crossBetween val="between"/>
      </c:valAx>
      <c:spPr>
        <a:noFill/>
        <a:ln>
          <a:noFill/>
        </a:ln>
        <a:effectLst/>
      </c:spPr>
    </c:plotArea>
    <c:legend>
      <c:legendPos val="r"/>
      <c:layout>
        <c:manualLayout>
          <c:xMode val="edge"/>
          <c:yMode val="edge"/>
          <c:x val="0.75401861499280531"/>
          <c:y val="0.31549139944221682"/>
          <c:w val="0.10739976844336167"/>
          <c:h val="0.17140467690912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[KickStarter_Analysis_SJL.xlsx]Category!PivotTable1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Campaigns are Wildly</a:t>
            </a:r>
            <a:r>
              <a:rPr lang="en-US" baseline="0"/>
              <a:t> Popular</a:t>
            </a:r>
            <a:endParaRPr lang="en-US"/>
          </a:p>
        </c:rich>
      </c:tx>
      <c:layout>
        <c:manualLayout>
          <c:xMode val="edge"/>
          <c:yMode val="edge"/>
          <c:x val="0.18962916026789542"/>
          <c:y val="0.154961941155040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A867C"/>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2471589280326"/>
          <c:y val="0.18201017377520259"/>
          <c:w val="0.82994069152139649"/>
          <c:h val="0.65045771716098366"/>
        </c:manualLayout>
      </c:layout>
      <c:barChart>
        <c:barDir val="col"/>
        <c:grouping val="stacked"/>
        <c:varyColors val="0"/>
        <c:ser>
          <c:idx val="0"/>
          <c:order val="0"/>
          <c:tx>
            <c:strRef>
              <c:f>Category!$B$4:$B$5</c:f>
              <c:strCache>
                <c:ptCount val="1"/>
                <c:pt idx="0">
                  <c:v>successful</c:v>
                </c:pt>
              </c:strCache>
            </c:strRef>
          </c:tx>
          <c:spPr>
            <a:solidFill>
              <a:schemeClr val="accent6"/>
            </a:solidFill>
            <a:ln>
              <a:solidFill>
                <a:schemeClr val="accent6">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55D5-47E4-85A2-627DB2AA156F}"/>
            </c:ext>
          </c:extLst>
        </c:ser>
        <c:ser>
          <c:idx val="1"/>
          <c:order val="1"/>
          <c:tx>
            <c:strRef>
              <c:f>Category!$C$4:$C$5</c:f>
              <c:strCache>
                <c:ptCount val="1"/>
                <c:pt idx="0">
                  <c:v>failed</c:v>
                </c:pt>
              </c:strCache>
            </c:strRef>
          </c:tx>
          <c:spPr>
            <a:solidFill>
              <a:srgbClr val="EA867C"/>
            </a:solidFill>
            <a:ln>
              <a:solidFill>
                <a:srgbClr val="C00000"/>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55D5-47E4-85A2-627DB2AA156F}"/>
            </c:ext>
          </c:extLst>
        </c:ser>
        <c:ser>
          <c:idx val="2"/>
          <c:order val="2"/>
          <c:tx>
            <c:strRef>
              <c:f>Category!$D$4:$D$5</c:f>
              <c:strCache>
                <c:ptCount val="1"/>
                <c:pt idx="0">
                  <c:v>canceled</c:v>
                </c:pt>
              </c:strCache>
            </c:strRef>
          </c:tx>
          <c:spPr>
            <a:solidFill>
              <a:schemeClr val="accent4">
                <a:lumMod val="60000"/>
                <a:lumOff val="40000"/>
              </a:schemeClr>
            </a:solidFill>
            <a:ln>
              <a:solidFill>
                <a:schemeClr val="accent4">
                  <a:lumMod val="50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55D5-47E4-85A2-627DB2AA156F}"/>
            </c:ext>
          </c:extLst>
        </c:ser>
        <c:ser>
          <c:idx val="3"/>
          <c:order val="3"/>
          <c:tx>
            <c:strRef>
              <c:f>Category!$E$4:$E$5</c:f>
              <c:strCache>
                <c:ptCount val="1"/>
                <c:pt idx="0">
                  <c:v>live</c:v>
                </c:pt>
              </c:strCache>
            </c:strRef>
          </c:tx>
          <c:spPr>
            <a:solidFill>
              <a:schemeClr val="bg1">
                <a:lumMod val="50000"/>
              </a:schemeClr>
            </a:solidFill>
            <a:ln>
              <a:solidFill>
                <a:schemeClr val="tx1">
                  <a:lumMod val="95000"/>
                  <a:lumOff val="5000"/>
                </a:schemeClr>
              </a:solidFill>
            </a:ln>
            <a:effectLst/>
          </c:spPr>
          <c:invertIfNegative val="0"/>
          <c:cat>
            <c:strRef>
              <c:f>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Category!$E$6:$E$15</c:f>
              <c:numCache>
                <c:formatCode>General</c:formatCode>
                <c:ptCount val="9"/>
                <c:pt idx="0">
                  <c:v>24</c:v>
                </c:pt>
                <c:pt idx="1">
                  <c:v>20</c:v>
                </c:pt>
                <c:pt idx="7">
                  <c:v>6</c:v>
                </c:pt>
              </c:numCache>
            </c:numRef>
          </c:val>
          <c:extLst>
            <c:ext xmlns:c16="http://schemas.microsoft.com/office/drawing/2014/chart" uri="{C3380CC4-5D6E-409C-BE32-E72D297353CC}">
              <c16:uniqueId val="{00000003-55D5-47E4-85A2-627DB2AA156F}"/>
            </c:ext>
          </c:extLst>
        </c:ser>
        <c:dLbls>
          <c:showLegendKey val="0"/>
          <c:showVal val="0"/>
          <c:showCatName val="0"/>
          <c:showSerName val="0"/>
          <c:showPercent val="0"/>
          <c:showBubbleSize val="0"/>
        </c:dLbls>
        <c:gapWidth val="150"/>
        <c:overlap val="100"/>
        <c:axId val="1476687247"/>
        <c:axId val="1479236895"/>
      </c:barChart>
      <c:catAx>
        <c:axId val="14766872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236895"/>
        <c:crosses val="autoZero"/>
        <c:auto val="1"/>
        <c:lblAlgn val="ctr"/>
        <c:lblOffset val="100"/>
        <c:noMultiLvlLbl val="0"/>
      </c:catAx>
      <c:valAx>
        <c:axId val="1479236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687247"/>
        <c:crosses val="autoZero"/>
        <c:crossBetween val="between"/>
      </c:valAx>
      <c:spPr>
        <a:noFill/>
        <a:ln>
          <a:noFill/>
        </a:ln>
        <a:effectLst/>
      </c:spPr>
    </c:plotArea>
    <c:legend>
      <c:legendPos val="r"/>
      <c:layout>
        <c:manualLayout>
          <c:xMode val="edge"/>
          <c:yMode val="edge"/>
          <c:x val="0.77892912315078511"/>
          <c:y val="0.26592604576173662"/>
          <c:w val="0.12092340778203964"/>
          <c:h val="0.18540990699257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28EF595-8699-4580-B22D-4ABF1C12944C}">
  <sheetPr codeName="Chart1"/>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absoluteAnchor>
    <xdr:pos x="0" y="0"/>
    <xdr:ext cx="8666655" cy="6293069"/>
    <xdr:graphicFrame macro="">
      <xdr:nvGraphicFramePr>
        <xdr:cNvPr id="2" name="Chart 1">
          <a:extLst>
            <a:ext uri="{FF2B5EF4-FFF2-40B4-BE49-F238E27FC236}">
              <a16:creationId xmlns:a16="http://schemas.microsoft.com/office/drawing/2014/main" id="{961E89CA-2BED-4238-BBE4-B97A21241B4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5</xdr:col>
      <xdr:colOff>190500</xdr:colOff>
      <xdr:row>0</xdr:row>
      <xdr:rowOff>171450</xdr:rowOff>
    </xdr:from>
    <xdr:to>
      <xdr:col>13</xdr:col>
      <xdr:colOff>352425</xdr:colOff>
      <xdr:row>27</xdr:row>
      <xdr:rowOff>104774</xdr:rowOff>
    </xdr:to>
    <xdr:graphicFrame macro="">
      <xdr:nvGraphicFramePr>
        <xdr:cNvPr id="2" name="Chart 1">
          <a:extLst>
            <a:ext uri="{FF2B5EF4-FFF2-40B4-BE49-F238E27FC236}">
              <a16:creationId xmlns:a16="http://schemas.microsoft.com/office/drawing/2014/main" id="{DE29C1FA-6C9A-409A-A0A8-5CF436666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29DEA110-43B3-40F2-A4DC-2BA6AC7A2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210502</xdr:colOff>
      <xdr:row>29</xdr:row>
      <xdr:rowOff>37147</xdr:rowOff>
    </xdr:from>
    <xdr:to>
      <xdr:col>8</xdr:col>
      <xdr:colOff>639127</xdr:colOff>
      <xdr:row>50</xdr:row>
      <xdr:rowOff>123825</xdr:rowOff>
    </xdr:to>
    <xdr:graphicFrame macro="">
      <xdr:nvGraphicFramePr>
        <xdr:cNvPr id="4" name="Chart 3">
          <a:extLst>
            <a:ext uri="{FF2B5EF4-FFF2-40B4-BE49-F238E27FC236}">
              <a16:creationId xmlns:a16="http://schemas.microsoft.com/office/drawing/2014/main" id="{9C1196B5-935D-492C-87BF-3E3DE602F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582930</xdr:colOff>
      <xdr:row>0</xdr:row>
      <xdr:rowOff>57150</xdr:rowOff>
    </xdr:from>
    <xdr:to>
      <xdr:col>15</xdr:col>
      <xdr:colOff>499110</xdr:colOff>
      <xdr:row>26</xdr:row>
      <xdr:rowOff>167639</xdr:rowOff>
    </xdr:to>
    <xdr:graphicFrame macro="">
      <xdr:nvGraphicFramePr>
        <xdr:cNvPr id="2" name="Chart 1">
          <a:extLst>
            <a:ext uri="{FF2B5EF4-FFF2-40B4-BE49-F238E27FC236}">
              <a16:creationId xmlns:a16="http://schemas.microsoft.com/office/drawing/2014/main" id="{20FC1425-A2C2-43AB-9D9B-F34186E8C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720090</xdr:colOff>
      <xdr:row>0</xdr:row>
      <xdr:rowOff>15240</xdr:rowOff>
    </xdr:from>
    <xdr:to>
      <xdr:col>24</xdr:col>
      <xdr:colOff>731520</xdr:colOff>
      <xdr:row>26</xdr:row>
      <xdr:rowOff>125729</xdr:rowOff>
    </xdr:to>
    <xdr:graphicFrame macro="">
      <xdr:nvGraphicFramePr>
        <xdr:cNvPr id="3" name="Chart 2">
          <a:extLst>
            <a:ext uri="{FF2B5EF4-FFF2-40B4-BE49-F238E27FC236}">
              <a16:creationId xmlns:a16="http://schemas.microsoft.com/office/drawing/2014/main" id="{BA6DB675-890D-4E60-A195-04B218C80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504825</xdr:colOff>
      <xdr:row>28</xdr:row>
      <xdr:rowOff>208597</xdr:rowOff>
    </xdr:from>
    <xdr:to>
      <xdr:col>11</xdr:col>
      <xdr:colOff>190500</xdr:colOff>
      <xdr:row>51</xdr:row>
      <xdr:rowOff>85725</xdr:rowOff>
    </xdr:to>
    <xdr:graphicFrame macro="">
      <xdr:nvGraphicFramePr>
        <xdr:cNvPr id="5" name="Chart 4">
          <a:extLst>
            <a:ext uri="{FF2B5EF4-FFF2-40B4-BE49-F238E27FC236}">
              <a16:creationId xmlns:a16="http://schemas.microsoft.com/office/drawing/2014/main" id="{0317D3DC-FCE5-467D-8740-D662A8881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466725</xdr:colOff>
      <xdr:row>28</xdr:row>
      <xdr:rowOff>220026</xdr:rowOff>
    </xdr:from>
    <xdr:to>
      <xdr:col>19</xdr:col>
      <xdr:colOff>64770</xdr:colOff>
      <xdr:row>51</xdr:row>
      <xdr:rowOff>85724</xdr:rowOff>
    </xdr:to>
    <xdr:graphicFrame macro="">
      <xdr:nvGraphicFramePr>
        <xdr:cNvPr id="6" name="Chart 5">
          <a:extLst>
            <a:ext uri="{FF2B5EF4-FFF2-40B4-BE49-F238E27FC236}">
              <a16:creationId xmlns:a16="http://schemas.microsoft.com/office/drawing/2014/main" id="{C5892966-36D7-4E5C-82A0-F75C89D2C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323850</xdr:colOff>
      <xdr:row>14</xdr:row>
      <xdr:rowOff>59054</xdr:rowOff>
    </xdr:from>
    <xdr:to>
      <xdr:col>11</xdr:col>
      <xdr:colOff>381000</xdr:colOff>
      <xdr:row>33</xdr:row>
      <xdr:rowOff>180974</xdr:rowOff>
    </xdr:to>
    <xdr:graphicFrame macro="">
      <xdr:nvGraphicFramePr>
        <xdr:cNvPr id="2" name="Chart 1">
          <a:extLst>
            <a:ext uri="{FF2B5EF4-FFF2-40B4-BE49-F238E27FC236}">
              <a16:creationId xmlns:a16="http://schemas.microsoft.com/office/drawing/2014/main" id="{94CAC313-7BDC-48B9-81C6-11F52C545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297180</xdr:colOff>
      <xdr:row>15</xdr:row>
      <xdr:rowOff>180974</xdr:rowOff>
    </xdr:from>
    <xdr:to>
      <xdr:col>13</xdr:col>
      <xdr:colOff>514350</xdr:colOff>
      <xdr:row>35</xdr:row>
      <xdr:rowOff>121919</xdr:rowOff>
    </xdr:to>
    <xdr:graphicFrame macro="">
      <xdr:nvGraphicFramePr>
        <xdr:cNvPr id="3" name="Chart 2">
          <a:extLst>
            <a:ext uri="{FF2B5EF4-FFF2-40B4-BE49-F238E27FC236}">
              <a16:creationId xmlns:a16="http://schemas.microsoft.com/office/drawing/2014/main" id="{D89F2532-B443-479E-BE31-3DBE5AE51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601980</xdr:colOff>
      <xdr:row>1</xdr:row>
      <xdr:rowOff>41910</xdr:rowOff>
    </xdr:from>
    <xdr:to>
      <xdr:col>20</xdr:col>
      <xdr:colOff>320040</xdr:colOff>
      <xdr:row>33</xdr:row>
      <xdr:rowOff>45720</xdr:rowOff>
    </xdr:to>
    <xdr:graphicFrame macro="">
      <xdr:nvGraphicFramePr>
        <xdr:cNvPr id="2" name="Chart 1">
          <a:extLst>
            <a:ext uri="{FF2B5EF4-FFF2-40B4-BE49-F238E27FC236}">
              <a16:creationId xmlns:a16="http://schemas.microsoft.com/office/drawing/2014/main" id="{BCC7BDD4-85C0-4FA9-8FFA-7038E28B4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240030</xdr:colOff>
      <xdr:row>1</xdr:row>
      <xdr:rowOff>41910</xdr:rowOff>
    </xdr:from>
    <xdr:to>
      <xdr:col>18</xdr:col>
      <xdr:colOff>175260</xdr:colOff>
      <xdr:row>26</xdr:row>
      <xdr:rowOff>160019</xdr:rowOff>
    </xdr:to>
    <xdr:graphicFrame macro="">
      <xdr:nvGraphicFramePr>
        <xdr:cNvPr id="2" name="Chart 1">
          <a:extLst>
            <a:ext uri="{FF2B5EF4-FFF2-40B4-BE49-F238E27FC236}">
              <a16:creationId xmlns:a16="http://schemas.microsoft.com/office/drawing/2014/main" id="{260C4C67-ACF4-4B01-846E-BDC0E10BF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486783</xdr:colOff>
      <xdr:row>0</xdr:row>
      <xdr:rowOff>96146</xdr:rowOff>
    </xdr:from>
    <xdr:to>
      <xdr:col>22</xdr:col>
      <xdr:colOff>104663</xdr:colOff>
      <xdr:row>39</xdr:row>
      <xdr:rowOff>106008</xdr:rowOff>
    </xdr:to>
    <xdr:graphicFrame macro="">
      <xdr:nvGraphicFramePr>
        <xdr:cNvPr id="2" name="Chart 1">
          <a:extLst>
            <a:ext uri="{FF2B5EF4-FFF2-40B4-BE49-F238E27FC236}">
              <a16:creationId xmlns:a16="http://schemas.microsoft.com/office/drawing/2014/main" id="{B4D6C7A5-6138-4036-83FA-E68F55004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0.16414</cdr:x>
      <cdr:y>0</cdr:y>
    </cdr:from>
    <cdr:to>
      <cdr:x>0.7535</cdr:x>
      <cdr:y>0.10356</cdr:y>
    </cdr:to>
    <cdr:sp macro="" textlink="">
      <cdr:nvSpPr>
        <cdr:cNvPr id="2" name="Arrow: Left 1" descr="Pointer to user to enable the user to limit their selection by country and/or&#10; category">
          <a:extLst xmlns:a="http://schemas.openxmlformats.org/drawingml/2006/main">
            <a:ext uri="{FF2B5EF4-FFF2-40B4-BE49-F238E27FC236}">
              <a16:creationId xmlns:a16="http://schemas.microsoft.com/office/drawing/2014/main" id="{A988FF05-AA0C-4752-BC80-F3AAA4DD311F}"/>
            </a:ext>
          </a:extLst>
        </cdr:cNvPr>
        <cdr:cNvSpPr/>
      </cdr:nvSpPr>
      <cdr:spPr>
        <a:xfrm xmlns:a="http://schemas.openxmlformats.org/drawingml/2006/main">
          <a:off x="1410647" y="0"/>
          <a:ext cx="5065044" cy="743063"/>
        </a:xfrm>
        <a:prstGeom xmlns:a="http://schemas.openxmlformats.org/drawingml/2006/main" prst="leftArrow">
          <a:avLst/>
        </a:prstGeom>
      </cdr:spPr>
      <cdr:style>
        <a:lnRef xmlns:a="http://schemas.openxmlformats.org/drawingml/2006/main" idx="0">
          <a:schemeClr val="accent5"/>
        </a:lnRef>
        <a:fillRef xmlns:a="http://schemas.openxmlformats.org/drawingml/2006/main" idx="3">
          <a:schemeClr val="accent5"/>
        </a:fillRef>
        <a:effectRef xmlns:a="http://schemas.openxmlformats.org/drawingml/2006/main" idx="3">
          <a:schemeClr val="accent5"/>
        </a:effectRef>
        <a:fontRef xmlns:a="http://schemas.openxmlformats.org/drawingml/2006/main" idx="minor">
          <a:schemeClr val="lt1"/>
        </a:fontRef>
      </cdr:style>
      <cdr:txBody>
        <a:bodyPr xmlns:a="http://schemas.openxmlformats.org/drawingml/2006/main" vertOverflow="clip" wrap="none" lIns="365760" tIns="0" bIns="0"/>
        <a:lstStyle xmlns:a="http://schemas.openxmlformats.org/drawingml/2006/main"/>
        <a:p xmlns:a="http://schemas.openxmlformats.org/drawingml/2006/main">
          <a:r>
            <a:rPr lang="en-US"/>
            <a:t>Use the country filter to select your country or countries</a:t>
          </a:r>
          <a:r>
            <a:rPr lang="en-US" baseline="0"/>
            <a:t> </a:t>
          </a:r>
          <a:r>
            <a:rPr lang="en-US"/>
            <a:t>of interest</a:t>
          </a:r>
          <a:br>
            <a:rPr lang="en-US"/>
          </a:br>
          <a:r>
            <a:rPr lang="en-US"/>
            <a:t>Use the Category</a:t>
          </a:r>
          <a:r>
            <a:rPr lang="en-US" baseline="0"/>
            <a:t> f</a:t>
          </a:r>
          <a:r>
            <a:rPr lang="en-US"/>
            <a:t>ilter to limit your data to categories of interest</a:t>
          </a:r>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333375</xdr:colOff>
      <xdr:row>2</xdr:row>
      <xdr:rowOff>75247</xdr:rowOff>
    </xdr:from>
    <xdr:to>
      <xdr:col>16</xdr:col>
      <xdr:colOff>266700</xdr:colOff>
      <xdr:row>35</xdr:row>
      <xdr:rowOff>179070</xdr:rowOff>
    </xdr:to>
    <xdr:graphicFrame macro="">
      <xdr:nvGraphicFramePr>
        <xdr:cNvPr id="2" name="Chart 1">
          <a:extLst>
            <a:ext uri="{FF2B5EF4-FFF2-40B4-BE49-F238E27FC236}">
              <a16:creationId xmlns:a16="http://schemas.microsoft.com/office/drawing/2014/main" id="{B2375B21-1CF0-46C4-9B5E-A8B593EF3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0.227</cdr:x>
      <cdr:y>0</cdr:y>
    </cdr:from>
    <cdr:to>
      <cdr:x>0.78048</cdr:x>
      <cdr:y>0.1271</cdr:y>
    </cdr:to>
    <cdr:sp macro="" textlink="">
      <cdr:nvSpPr>
        <cdr:cNvPr id="2" name="Arrow: Left 1">
          <a:extLst xmlns:a="http://schemas.openxmlformats.org/drawingml/2006/main">
            <a:ext uri="{FF2B5EF4-FFF2-40B4-BE49-F238E27FC236}">
              <a16:creationId xmlns:a16="http://schemas.microsoft.com/office/drawing/2014/main" id="{4C2B4276-CC40-43E9-8755-855F6FD168B3}"/>
            </a:ext>
          </a:extLst>
        </cdr:cNvPr>
        <cdr:cNvSpPr/>
      </cdr:nvSpPr>
      <cdr:spPr>
        <a:xfrm xmlns:a="http://schemas.openxmlformats.org/drawingml/2006/main">
          <a:off x="1457729" y="0"/>
          <a:ext cx="3554326" cy="772478"/>
        </a:xfrm>
        <a:prstGeom xmlns:a="http://schemas.openxmlformats.org/drawingml/2006/main" prst="leftArrow">
          <a:avLst/>
        </a:prstGeom>
        <a:ln xmlns:a="http://schemas.openxmlformats.org/drawingml/2006/main">
          <a:noFill/>
        </a:ln>
        <a:effectLst xmlns:a="http://schemas.openxmlformats.org/drawingml/2006/main">
          <a:outerShdw blurRad="107950" dist="12700" dir="5400000" algn="ctr">
            <a:srgbClr val="000000"/>
          </a:outerShdw>
        </a:effectLst>
        <a:scene3d xmlns:a="http://schemas.openxmlformats.org/drawingml/2006/main">
          <a:camera prst="orthographicFront">
            <a:rot lat="0" lon="0" rev="0"/>
          </a:camera>
          <a:lightRig rig="soft" dir="t">
            <a:rot lat="0" lon="0" rev="0"/>
          </a:lightRig>
        </a:scene3d>
        <a:sp3d xmlns:a="http://schemas.openxmlformats.org/drawingml/2006/main" contourW="44450" prstMaterial="matte">
          <a:bevelT w="63500" h="63500" prst="artDeco"/>
          <a:contourClr>
            <a:srgbClr val="FFFFFF"/>
          </a:contourClr>
        </a:sp3d>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800"/>
            <a:t>Use the country filter to select your country or countries of interest</a:t>
          </a:r>
          <a:br>
            <a:rPr lang="en-US" sz="800"/>
          </a:br>
          <a:r>
            <a:rPr lang="en-US" sz="800"/>
            <a:t>Use the Category filter to limit your data to categories of interest</a:t>
          </a:r>
        </a:p>
        <a:p xmlns:a="http://schemas.openxmlformats.org/drawingml/2006/main">
          <a:endParaRPr lang="en-US" sz="1050"/>
        </a:p>
      </cdr:txBody>
    </cdr:sp>
  </cdr:relSizeAnchor>
</c:userShapes>
</file>

<file path=xl/drawings/drawing12.xml><?xml version="1.0" encoding="utf-8"?>
<xdr:wsDr xmlns:xdr="http://schemas.openxmlformats.org/drawingml/2006/spreadsheetDrawing" xmlns:a="http://schemas.openxmlformats.org/drawingml/2006/main">
  <xdr:twoCellAnchor>
    <xdr:from>
      <xdr:col>6</xdr:col>
      <xdr:colOff>361951</xdr:colOff>
      <xdr:row>2</xdr:row>
      <xdr:rowOff>75246</xdr:rowOff>
    </xdr:from>
    <xdr:to>
      <xdr:col>15</xdr:col>
      <xdr:colOff>219075</xdr:colOff>
      <xdr:row>33</xdr:row>
      <xdr:rowOff>85725</xdr:rowOff>
    </xdr:to>
    <xdr:graphicFrame macro="">
      <xdr:nvGraphicFramePr>
        <xdr:cNvPr id="2" name="Chart 1">
          <a:extLst>
            <a:ext uri="{FF2B5EF4-FFF2-40B4-BE49-F238E27FC236}">
              <a16:creationId xmlns:a16="http://schemas.microsoft.com/office/drawing/2014/main" id="{AF21CC74-1AEC-4B3A-9F2E-9A85AE4ED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342899</xdr:colOff>
      <xdr:row>2</xdr:row>
      <xdr:rowOff>9526</xdr:rowOff>
    </xdr:from>
    <xdr:to>
      <xdr:col>13</xdr:col>
      <xdr:colOff>85724</xdr:colOff>
      <xdr:row>4</xdr:row>
      <xdr:rowOff>140971</xdr:rowOff>
    </xdr:to>
    <xdr:sp macro="" textlink="">
      <xdr:nvSpPr>
        <xdr:cNvPr id="3" name="Arrow: Left 2">
          <a:extLst>
            <a:ext uri="{FF2B5EF4-FFF2-40B4-BE49-F238E27FC236}">
              <a16:creationId xmlns:a16="http://schemas.microsoft.com/office/drawing/2014/main" id="{EE13EC31-621D-4FE4-953B-FCC8654F0B92}"/>
            </a:ext>
          </a:extLst>
        </xdr:cNvPr>
        <xdr:cNvSpPr/>
      </xdr:nvSpPr>
      <xdr:spPr>
        <a:xfrm>
          <a:off x="5086349" y="371476"/>
          <a:ext cx="3571875" cy="493395"/>
        </a:xfrm>
        <a:prstGeom prst="leftArrow">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Click on</a:t>
          </a:r>
          <a:r>
            <a:rPr lang="en-US" sz="1100" baseline="0"/>
            <a:t> the triangle next to country to select country(ies)</a:t>
          </a:r>
        </a:p>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0.662361342591" createdVersion="6" refreshedVersion="6" minRefreshableVersion="3" recordCount="4114" xr:uid="{C52049B1-867B-4FF7-8E37-2C7BF34AA08E}">
  <cacheSource type="worksheet">
    <worksheetSource ref="A1:T4115" sheet="Raw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2.392092476854" createdVersion="6" refreshedVersion="6" minRefreshableVersion="3" recordCount="4114" xr:uid="{5D5D95D8-E9CF-4203-ADF0-887B10DD812C}">
  <cacheSource type="worksheet">
    <worksheetSource ref="A1:U4115" sheet="Raw_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USD" numFmtId="44">
      <sharedItems containsSemiMixedTypes="0" containsString="0" containsNumber="1" minValue="0" maxValue="2344134.6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ey" refreshedDate="44085.591179745374" backgroundQuery="1" createdVersion="6" refreshedVersion="6" minRefreshableVersion="3" recordCount="0" supportSubquery="1" supportAdvancedDrill="1" xr:uid="{B26334A2-DD91-4E82-A65F-FA3A0BE7938B}">
  <cacheSource type="external" connectionId="2"/>
  <cacheFields count="5">
    <cacheField name="[Range].[Sub-Category].[Sub-Category]" caption="Sub-Category" numFmtId="0" hierarchy="17"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 name="[Range].[state].[state]" caption="state" numFmtId="0" hierarchy="5" level="1">
      <sharedItems count="4">
        <s v="canceled"/>
        <s v="failed"/>
        <s v="live"/>
        <s v="successful"/>
      </sharedItems>
    </cacheField>
    <cacheField name="[Measures].[Count of staff_pick]" caption="Count of staff_pick" numFmtId="0" hierarchy="43" level="32767"/>
    <cacheField name="[Range].[country].[country]" caption="country" numFmtId="0" hierarchy="6" level="1">
      <sharedItems containsSemiMixedTypes="0" containsNonDate="0" containsString="0"/>
    </cacheField>
    <cacheField name="[Range].[Category].[Category]" caption="Category" numFmtId="0" hierarchy="16" level="1">
      <sharedItems containsSemiMixedTypes="0" containsNonDate="0" containsString="0"/>
    </cacheField>
  </cacheFields>
  <cacheHierarchies count="45">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_Funded]" caption="Percent_Funded" attribute="1" defaultMemberUniqueName="[Range].[Percent_Funded].[All]" allUniqueName="[Range].[Percent_Funded].[All]" dimensionUniqueName="[Range]" displayFolder="" count="0" memberValueDatatype="5" unbalanced="0"/>
    <cacheHierarchy uniqueName="[Range].[Average_Donation]" caption="Average_Donation" attribute="1" defaultMemberUniqueName="[Range].[Average_Donation].[All]" allUniqueName="[Range].[Average_Donation].[All]" dimensionUniqueName="[Range]" displayFolder="" count="0" memberValueDatatype="5"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Table3].[id]" caption="id" attribute="1" defaultMemberUniqueName="[Table3].[id].[All]" allUniqueName="[Table3].[id].[All]" dimensionUniqueName="[Table3]" displayFolder="" count="0" memberValueDatatype="20" unbalanced="0"/>
    <cacheHierarchy uniqueName="[Table3].[name]" caption="name" attribute="1" defaultMemberUniqueName="[Table3].[name].[All]" allUniqueName="[Table3].[name].[All]" dimensionUniqueName="[Table3]" displayFolder="" count="0" memberValueDatatype="130" unbalanced="0"/>
    <cacheHierarchy uniqueName="[Table3].[blurb]" caption="blurb" attribute="1" defaultMemberUniqueName="[Table3].[blurb].[All]" allUniqueName="[Table3].[blurb].[All]" dimensionUniqueName="[Table3]" displayFolder="" count="0" memberValueDatatype="130" unbalanced="0"/>
    <cacheHierarchy uniqueName="[Table3].[goal]" caption="goal" attribute="1" defaultMemberUniqueName="[Table3].[goal].[All]" allUniqueName="[Table3].[goal].[All]" dimensionUniqueName="[Table3]" displayFolder="" count="0" memberValueDatatype="5" unbalanced="0"/>
    <cacheHierarchy uniqueName="[Table3].[pledged]" caption="pledged" attribute="1" defaultMemberUniqueName="[Table3].[pledged].[All]" allUniqueName="[Table3].[pledged].[All]" dimensionUniqueName="[Table3]" displayFolder="" count="0" memberValueDatatype="5" unbalanced="0"/>
    <cacheHierarchy uniqueName="[Table3].[state]" caption="state" attribute="1" defaultMemberUniqueName="[Table3].[state].[All]" allUniqueName="[Table3].[state].[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currency]" caption="currency" attribute="1" defaultMemberUniqueName="[Table3].[currency].[All]" allUniqueName="[Table3].[currency].[All]" dimensionUniqueName="[Table3]" displayFolder="" count="0" memberValueDatatype="130" unbalanced="0"/>
    <cacheHierarchy uniqueName="[Table3].[deadline]" caption="deadline" attribute="1" defaultMemberUniqueName="[Table3].[deadline].[All]" allUniqueName="[Table3].[deadline].[All]" dimensionUniqueName="[Table3]" displayFolder="" count="0" memberValueDatatype="20" unbalanced="0"/>
    <cacheHierarchy uniqueName="[Table3].[launched_at]" caption="launched_at" attribute="1" defaultMemberUniqueName="[Table3].[launched_at].[All]" allUniqueName="[Table3].[launched_at].[All]" dimensionUniqueName="[Table3]" displayFolder="" count="0" memberValueDatatype="20" unbalanced="0"/>
    <cacheHierarchy uniqueName="[Table3].[staff_pick]" caption="staff_pick" attribute="1" defaultMemberUniqueName="[Table3].[staff_pick].[All]" allUniqueName="[Table3].[staff_pick].[All]" dimensionUniqueName="[Table3]" displayFolder="" count="0" memberValueDatatype="11" unbalanced="0"/>
    <cacheHierarchy uniqueName="[Table3].[backers_count]" caption="backers_count" attribute="1" defaultMemberUniqueName="[Table3].[backers_count].[All]" allUniqueName="[Table3].[backers_count].[All]" dimensionUniqueName="[Table3]" displayFolder="" count="0" memberValueDatatype="20" unbalanced="0"/>
    <cacheHierarchy uniqueName="[Table3].[spotlight]" caption="spotlight" attribute="1" defaultMemberUniqueName="[Table3].[spotlight].[All]" allUniqueName="[Table3].[spotlight].[All]" dimensionUniqueName="[Table3]" displayFolder="" count="0" memberValueDatatype="11" unbalanced="0"/>
    <cacheHierarchy uniqueName="[Table3].[Category and Sub-Category]" caption="Category and Sub-Category" attribute="1" defaultMemberUniqueName="[Table3].[Category and Sub-Category].[All]" allUniqueName="[Table3].[Category and Sub-Category].[All]" dimensionUniqueName="[Table3]" displayFolder="" count="0" memberValueDatatype="130" unbalanced="0"/>
    <cacheHierarchy uniqueName="[Table3].[Percent Funded]" caption="Percent Funded" attribute="1" defaultMemberUniqueName="[Table3].[Percent Funded].[All]" allUniqueName="[Table3].[Percent Funded].[All]" dimensionUniqueName="[Table3]" displayFolder="" count="0" memberValueDatatype="5" unbalanced="0"/>
    <cacheHierarchy uniqueName="[Table3].[Average Donation]" caption="Average Donation" attribute="1" defaultMemberUniqueName="[Table3].[Average Donation].[All]" allUniqueName="[Table3].[Average Donation].[All]" dimensionUniqueName="[Table3]" displayFolder="" count="0" memberValueDatatype="5" unbalanced="0"/>
    <cacheHierarchy uniqueName="[Table3].[Category]" caption="Category" attribute="1" defaultMemberUniqueName="[Table3].[Category].[All]" allUniqueName="[Table3].[Category].[All]" dimensionUniqueName="[Table3]" displayFolder="" count="0" memberValueDatatype="130" unbalanced="0"/>
    <cacheHierarchy uniqueName="[Table3].[Sub-Category]" caption="Sub-Category" attribute="1" defaultMemberUniqueName="[Table3].[Sub-Category].[All]" allUniqueName="[Table3].[Sub-Category].[All]" dimensionUniqueName="[Table3]" displayFolder="" count="0" memberValueDatatype="130" unbalanced="0"/>
    <cacheHierarchy uniqueName="[Table3].[Date Created Conversion]" caption="Date Created Conversion" attribute="1" time="1" defaultMemberUniqueName="[Table3].[Date Created Conversion].[All]" allUniqueName="[Table3].[Date Created Conversion].[All]" dimensionUniqueName="[Table3]" displayFolder="" count="0" memberValueDatatype="7" unbalanced="0"/>
    <cacheHierarchy uniqueName="[Table3].[Date Ended Conversion]" caption="Date Ended Conversion" attribute="1" time="1" defaultMemberUniqueName="[Table3].[Date Ended Conversion].[All]" allUniqueName="[Table3].[Date Ended Conversion].[All]" dimensionUniqueName="[Table3]" displayFolder="" count="0" memberValueDatatype="7" unbalanced="0"/>
    <cacheHierarchy uniqueName="[Table3].[USD]" caption="USD" attribute="1" defaultMemberUniqueName="[Table3].[USD].[All]" allUniqueName="[Table3].[USD].[All]" dimensionUniqueName="[Table3]" displayFolder="" count="0" memberValueDatatype="5" unbalanced="0"/>
    <cacheHierarchy uniqueName="[Measures].[__XL_Count Range]" caption="__XL_Count Range" measure="1" displayFolder="" measureGroup="Range"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ledged]" caption="Sum of pledged" measure="1" displayFolder="" measureGroup="Range" count="0" hidden="1"/>
    <cacheHierarchy uniqueName="[Measures].[Count of staff_pick]" caption="Count of staff_pick" measure="1" displayFolder="" measureGroup="Range" count="0" oneField="1" hidden="1">
      <fieldsUsage count="1">
        <fieldUsage x="2"/>
      </fieldsUsage>
    </cacheHierarchy>
    <cacheHierarchy uniqueName="[Measures].[Sum of backers_count]" caption="Sum of backers_count" measure="1" displayFolder="" measureGroup="Range" count="0" hidden="1"/>
  </cacheHierarchies>
  <kpis count="0"/>
  <dimensions count="3">
    <dimension measure="1" name="Measures" uniqueName="[Measures]" caption="Measures"/>
    <dimension name="Range" uniqueName="[Range]" caption="Range"/>
    <dimension name="Table3" uniqueName="[Table3]" caption="Table3"/>
  </dimensions>
  <measureGroups count="2">
    <measureGroup name="Range" caption="Range"/>
    <measureGroup name="Table3" caption="Table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ley" refreshedDate="44085.648464930557" createdVersion="6" refreshedVersion="6" minRefreshableVersion="3" recordCount="4115" xr:uid="{718AB7A4-F7E3-4D5C-9E12-C70FCB6A8698}">
  <cacheSource type="worksheet">
    <worksheetSource ref="A1:U1048576" sheet="Raw_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2">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USD" numFmtId="0">
      <sharedItems containsString="0" containsBlank="1" containsNumber="1" minValue="0" maxValue="2344134.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130"/>
  </r>
  <r>
    <n v="131"/>
    <s v="I (Canceled)"/>
    <s v="I"/>
    <n v="1200"/>
    <n v="0"/>
    <x v="1"/>
    <s v="US"/>
    <s v="USD"/>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133"/>
  </r>
  <r>
    <n v="134"/>
    <s v="MARLEY'S GHOST (AMBASSADORS OF STEAM) (Canceled)"/>
    <s v="steampunk  remake of &quot;a Christmas carol&quot;"/>
    <n v="5000"/>
    <n v="0"/>
    <x v="1"/>
    <s v="US"/>
    <s v="USD"/>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n 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n 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n 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n 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227"/>
  </r>
  <r>
    <n v="228"/>
    <s v="Facets of a Geek life"/>
    <s v="I am making a film from one one of my books called facets of a Geek life."/>
    <n v="8000"/>
    <n v="0"/>
    <x v="2"/>
    <s v="GB"/>
    <s v="GBP"/>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468"/>
  </r>
  <r>
    <n v="469"/>
    <s v="Dreamland PERSONALISED Animated Shorts Film"/>
    <s v="Create a personalised animation film using your child's name and photo."/>
    <n v="6000"/>
    <n v="0"/>
    <x v="2"/>
    <s v="GB"/>
    <s v="GBP"/>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n 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n 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611"/>
  </r>
  <r>
    <n v="612"/>
    <s v="Web Streaming 2.0 (Canceled)"/>
    <s v="A Fast and Reliable new Web platform to stream videos from Internet"/>
    <n v="10000"/>
    <n v="0"/>
    <x v="1"/>
    <s v="IT"/>
    <s v="EUR"/>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n v="0"/>
    <x v="4"/>
    <s v="jazz"/>
    <x v="906"/>
    <x v="906"/>
  </r>
  <r>
    <n v="907"/>
    <s v="Greg Chambers Saxophone CD"/>
    <s v="Greg Chambers' self-titled CD needs support for post production, replication, and promotion."/>
    <n v="2900"/>
    <n v="0"/>
    <x v="2"/>
    <s v="US"/>
    <s v="USD"/>
    <n v="1315715823"/>
    <n v="1313123823"/>
    <b v="0"/>
    <n v="0"/>
    <b v="0"/>
    <s v="music/jazz"/>
    <n v="0"/>
    <n 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926"/>
  </r>
  <r>
    <n v="927"/>
    <s v="JETRO DA SILVA FUNK PROJECT"/>
    <s v="Studio CD/DVD Solo project of Pianist &amp; Keyboardist Jetro da Silva"/>
    <n v="20000"/>
    <n v="0"/>
    <x v="2"/>
    <s v="US"/>
    <s v="USD"/>
    <n v="1337024695"/>
    <n v="1334432695"/>
    <b v="0"/>
    <n v="0"/>
    <b v="0"/>
    <s v="music/jazz"/>
    <n v="0"/>
    <n 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n v="0"/>
    <x v="5"/>
    <s v="audio"/>
    <x v="1049"/>
    <x v="1049"/>
  </r>
  <r>
    <n v="1050"/>
    <s v="The (Secular) Barbershop Podcast (Canceled)"/>
    <s v="Secularism is on the rise and I hear you.Talk to me."/>
    <n v="2500"/>
    <n v="0"/>
    <x v="1"/>
    <s v="US"/>
    <s v="USD"/>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1058"/>
  </r>
  <r>
    <n v="1059"/>
    <s v="Voice Over Artist (Canceled)"/>
    <s v="Turning myself into a vocal artist."/>
    <n v="1100"/>
    <n v="0"/>
    <x v="1"/>
    <s v="US"/>
    <s v="USD"/>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n 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n 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n 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1140"/>
  </r>
  <r>
    <n v="1141"/>
    <s v="Arena Z - Zombie Survival"/>
    <s v="I think this will be a great game!"/>
    <n v="500"/>
    <n v="0"/>
    <x v="2"/>
    <s v="DE"/>
    <s v="EUR"/>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n 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n v="0"/>
    <x v="8"/>
    <s v="places"/>
    <x v="1588"/>
    <x v="1587"/>
  </r>
  <r>
    <n v="1589"/>
    <s v="A Side Of The World In Canvas"/>
    <s v="I want to be able to have my own photography inside a canvas and have it be displayed everywhere."/>
    <n v="1200"/>
    <n v="0"/>
    <x v="2"/>
    <s v="US"/>
    <s v="USD"/>
    <n v="1444433886"/>
    <n v="1441841886"/>
    <b v="0"/>
    <n v="0"/>
    <b v="0"/>
    <s v="photography/places"/>
    <n v="0"/>
    <n 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n 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1729"/>
  </r>
  <r>
    <n v="1731"/>
    <s v="Sam Cox Band First Christian Tour"/>
    <s v="We are a Christin Worship band looking to midwest tour. God Bless!"/>
    <n v="1000"/>
    <n v="0"/>
    <x v="2"/>
    <s v="US"/>
    <s v="USD"/>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1731"/>
  </r>
  <r>
    <n v="1733"/>
    <s v="What Faith Is EP/Album"/>
    <s v="I am trying to share the music I am blessed to have written. https://www.johncox4.com or https://reverbnation.com/johncox4"/>
    <n v="10000"/>
    <n v="0"/>
    <x v="2"/>
    <s v="US"/>
    <s v="USD"/>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375"/>
  </r>
  <r>
    <n v="2378"/>
    <s v="KEEPUP INC (Canceled)"/>
    <s v="KEEPUP allows you to extend your social circle by introducing you to new people via your friends."/>
    <n v="110000"/>
    <n v="0"/>
    <x v="1"/>
    <s v="US"/>
    <s v="USD"/>
    <n v="1440548330"/>
    <n v="1438042730"/>
    <b v="0"/>
    <n v="0"/>
    <b v="0"/>
    <s v="technology/web"/>
    <n v="0"/>
    <n v="0"/>
    <x v="2"/>
    <s v="web"/>
    <x v="2378"/>
    <x v="2376"/>
  </r>
  <r>
    <n v="2379"/>
    <s v="SelectCooks.com (Canceled)"/>
    <s v="Selectcooks.com is a community marketplace for people to list, find and hire chefs."/>
    <n v="30000"/>
    <n v="0"/>
    <x v="1"/>
    <s v="US"/>
    <s v="USD"/>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500"/>
  </r>
  <r>
    <n v="2504"/>
    <s v="Halal Restaurant and Internet Cafe"/>
    <s v="Halal Restaurant and Internet Cafe 20 percent of profits will go to building masjids."/>
    <n v="35000"/>
    <n v="0"/>
    <x v="2"/>
    <s v="US"/>
    <s v="USD"/>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2572"/>
  </r>
  <r>
    <n v="2576"/>
    <s v="2 Go Fast Food (Canceled)"/>
    <s v="A New Twist with an American and Philippine fast food Mobile Trailer."/>
    <n v="10000"/>
    <n v="0"/>
    <x v="1"/>
    <s v="US"/>
    <s v="USD"/>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2682"/>
  </r>
  <r>
    <n v="2687"/>
    <s v="Munch Wagon"/>
    <s v="Your American Pizzas, Wings, Stuffed Gouda Burger, Sweet &amp; Russet Potato Fries served on a food Truck!!"/>
    <n v="15000"/>
    <n v="0"/>
    <x v="2"/>
    <s v="US"/>
    <s v="USD"/>
    <n v="1435591318"/>
    <n v="1432999318"/>
    <b v="0"/>
    <n v="0"/>
    <b v="0"/>
    <s v="food/food trucks"/>
    <n v="0"/>
    <n 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2842"/>
  </r>
  <r>
    <n v="2847"/>
    <s v="COLOR ME"/>
    <s v="Dark secrets come to light when Mariah meets Stella. They find a way to face the south's largest elephant in the room: RACISM."/>
    <n v="2000"/>
    <n v="0"/>
    <x v="2"/>
    <s v="US"/>
    <s v="USD"/>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n 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3773"/>
  </r>
  <r>
    <n v="3791"/>
    <s v="Spin! at The Cumming Playhouse"/>
    <s v="Spin! is an original musical comedy-drama presented by Blue Palm Productions."/>
    <n v="1500"/>
    <n v="0"/>
    <x v="2"/>
    <s v="US"/>
    <s v="USD"/>
    <n v="1404664592"/>
    <n v="1399480592"/>
    <b v="0"/>
    <n v="0"/>
    <b v="0"/>
    <s v="theater/musical"/>
    <n v="0"/>
    <n 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3865"/>
  </r>
  <r>
    <n v="3886"/>
    <s v="a (Canceled)"/>
    <n v="1"/>
    <n v="10000"/>
    <n v="0"/>
    <x v="1"/>
    <s v="AU"/>
    <s v="AUD"/>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4075"/>
  </r>
  <r>
    <n v="4098"/>
    <s v="Life is simple"/>
    <s v="Community Youth play, written by and performed by the youth about finding joy in the simple things in life"/>
    <n v="75000"/>
    <n v="0"/>
    <x v="2"/>
    <s v="US"/>
    <s v="USD"/>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d v="2015-07-23T03:00:00"/>
    <n v="11633"/>
  </r>
  <r>
    <n v="1"/>
    <s v="FannibalFest Fan Convention"/>
    <s v="A Hannibal TV Show Fan Convention and Art Collective"/>
    <n v="10275"/>
    <n v="14653"/>
    <x v="0"/>
    <x v="0"/>
    <s v="USD"/>
    <n v="1488464683"/>
    <n v="1485872683"/>
    <b v="0"/>
    <n v="79"/>
    <b v="1"/>
    <s v="film &amp; video/television"/>
    <n v="1.4260827250608272"/>
    <n v="185.48101265822785"/>
    <x v="0"/>
    <x v="0"/>
    <d v="2017-01-31T14:24:43"/>
    <d v="2017-03-02T14:24:43"/>
    <n v="1465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69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1039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54116.28"/>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d v="2016-07-29T05:35:00"/>
    <n v="439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851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911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3501.5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d v="2016-04-17T02:29:04"/>
    <n v="629.9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01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d v="2016-08-22T03:00:00"/>
    <n v="6025"/>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d v="2014-07-16T03:00:00"/>
    <n v="49588"/>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5599"/>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4420.88"/>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2515.759999999999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12029"/>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1993.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d v="2014-09-17T13:00:56"/>
    <n v="31896.3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d v="2015-07-20T19:35:34"/>
    <n v="1235"/>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200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2019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41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d v="2015-04-30T15:20:00"/>
    <n v="237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8082.69"/>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d v="2016-01-09T00:36:01"/>
    <n v="80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d v="2014-08-17T12:22:24"/>
    <n v="194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14971.15000000000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12042"/>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4884"/>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4051.99"/>
  </r>
  <r>
    <n v="31"/>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d v="2016-01-25T19:00:34"/>
    <n v="13"/>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2852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d v="2015-11-08T16:51:41"/>
    <n v="536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339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1665"/>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8529"/>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40357"/>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275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d v="2014-05-25T22:59:00"/>
    <n v="43223.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2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d v="2014-10-05T13:39:14"/>
    <n v="200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1986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d v="2014-07-13T00:00:00"/>
    <n v="3086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d v="2014-10-07T02:22:17"/>
    <n v="200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d v="2016-04-27T14:58:27"/>
    <n v="600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6387.5"/>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d v="2014-12-19T20:40:07"/>
    <n v="5380.55"/>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2849.88"/>
  </r>
  <r>
    <n v="49"/>
    <s v="Driving Jersey - Season Five"/>
    <s v="Driving Jersey is real people telling real stories."/>
    <n v="12000"/>
    <n v="12000"/>
    <x v="0"/>
    <x v="0"/>
    <s v="USD"/>
    <n v="1445660045"/>
    <n v="1443068045"/>
    <b v="0"/>
    <n v="87"/>
    <b v="1"/>
    <s v="film &amp; video/television"/>
    <n v="1"/>
    <n v="137.93103448275863"/>
    <x v="0"/>
    <x v="0"/>
    <d v="2015-09-24T04:14:05"/>
    <d v="2015-10-24T04:14:05"/>
    <n v="120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d v="2015-01-30T17:00:00"/>
    <n v="792"/>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d v="2015-08-10T22:17:17"/>
    <n v="14082"/>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d v="2014-07-17T16:50:46"/>
    <n v="1162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3289"/>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1010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d v="2016-05-27T23:15:16"/>
    <n v="1109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1326.9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15285"/>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d v="2014-11-19T18:52:52"/>
    <n v="1029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20025.1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6135.795600000000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741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464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270.3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208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d v="2014-08-11T05:59:00"/>
    <n v="5720.52"/>
  </r>
  <r>
    <n v="66"/>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d v="2016-07-18T20:23:40"/>
    <n v="237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232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1007.160000000000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11094.23"/>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3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223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d v="2012-11-15T00:00:00"/>
    <n v="238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d v="2011-05-03T03:59:00"/>
    <n v="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666.2987999999999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d v="2013-04-23T05:01:12"/>
    <n v="404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46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d v="2012-05-21T02:59:00"/>
    <n v="157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594.179999999999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2179.3200000000002"/>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1287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14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4000.5"/>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270.6000000000000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d v="2011-05-15T18:11:26"/>
    <n v="5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150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537.839999999999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d v="2010-06-03T01:41:00"/>
    <n v="261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360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d v="2013-06-02T18:03:12"/>
    <n v="6904"/>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50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d v="2011-05-17T09:39:24"/>
    <n v="360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3997.6"/>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1106"/>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343.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d v="2012-02-26T00:07:21"/>
    <n v="46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172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425"/>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4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d v="2014-01-22T21:39:59"/>
    <n v="1590.2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d v="2012-11-04T19:04:46"/>
    <n v="50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d v="2013-01-24T18:38:30"/>
    <n v="350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7665"/>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d v="2014-03-07T19:20:30"/>
    <n v="1804.44"/>
  </r>
  <r>
    <n v="104"/>
    <s v="Good 'Ol Trumpet"/>
    <s v="UCF short film about an old man, his love for music, and his misplaced trumpet.  "/>
    <n v="500"/>
    <n v="600"/>
    <x v="0"/>
    <x v="0"/>
    <s v="USD"/>
    <n v="1301792400"/>
    <n v="1299775266"/>
    <b v="0"/>
    <n v="10"/>
    <b v="1"/>
    <s v="film &amp; video/shorts"/>
    <n v="1.2"/>
    <n v="60"/>
    <x v="0"/>
    <x v="1"/>
    <d v="2011-03-10T16:41:06"/>
    <d v="2011-04-03T01:00:00"/>
    <n v="6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d v="2016-05-14T00:00:00"/>
    <n v="2363"/>
  </r>
  <r>
    <n v="106"/>
    <s v="LOST WEEKEND"/>
    <s v="A Boy. A Girl. A Car. A Serial Killer."/>
    <n v="5000"/>
    <n v="5025"/>
    <x v="0"/>
    <x v="0"/>
    <s v="USD"/>
    <n v="1333391901"/>
    <n v="1332182301"/>
    <b v="0"/>
    <n v="27"/>
    <b v="1"/>
    <s v="film &amp; video/shorts"/>
    <n v="1.0049999999999999"/>
    <n v="186.11111111111111"/>
    <x v="0"/>
    <x v="1"/>
    <d v="2012-03-19T18:38:21"/>
    <d v="2012-04-02T18:38:21"/>
    <n v="502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d v="2011-04-24T23:34:47"/>
    <n v="7685"/>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d v="2013-05-31T14:42:50"/>
    <n v="370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d v="2011-02-26T00:37:10"/>
    <n v="2195"/>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17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949.299999999999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5200"/>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705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3100"/>
  </r>
  <r>
    <n v="115"/>
    <s v="The World's Greatest Lover"/>
    <s v="Never judge a book (or a lover) by their cover."/>
    <n v="450"/>
    <n v="632"/>
    <x v="0"/>
    <x v="0"/>
    <s v="USD"/>
    <n v="1328377444"/>
    <n v="1326217444"/>
    <b v="0"/>
    <n v="22"/>
    <b v="1"/>
    <s v="film &amp; video/shorts"/>
    <n v="1.4044444444444444"/>
    <n v="28.727272727272727"/>
    <x v="0"/>
    <x v="1"/>
    <d v="2012-01-10T17:44:04"/>
    <d v="2012-02-04T17:44:04"/>
    <n v="63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3978"/>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4522.22"/>
  </r>
  <r>
    <n v="118"/>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d v="2011-07-29T01:17:16"/>
    <n v="5651.5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3398.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d v="2016-10-03T01:11:47"/>
    <n v="1.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d v="2015-04-18T10:16:00"/>
    <n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d v="2014-10-28T22:00:00"/>
    <n v="15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d v="2017-02-03T23:51:20"/>
    <n v="53.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d v="2015-06-11T02:00:00"/>
    <n v="1387"/>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d v="2015-04-03T13:59:01"/>
    <n v="190"/>
  </r>
  <r>
    <n v="128"/>
    <s v="Ralphi3 (Canceled)"/>
    <s v="A Science Fiction film filled with entertainment and Excitement"/>
    <n v="100000"/>
    <n v="1867"/>
    <x v="1"/>
    <x v="0"/>
    <s v="USD"/>
    <n v="1476941293"/>
    <n v="1473917293"/>
    <b v="0"/>
    <n v="6"/>
    <b v="0"/>
    <s v="film &amp; video/science fiction"/>
    <n v="1.8669999999999999E-2"/>
    <n v="311.16666666666669"/>
    <x v="0"/>
    <x v="2"/>
    <d v="2016-09-15T05:28:13"/>
    <d v="2016-10-20T05:28:13"/>
    <n v="186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0"/>
  </r>
  <r>
    <n v="131"/>
    <s v="I (Canceled)"/>
    <s v="I"/>
    <n v="1200"/>
    <n v="0"/>
    <x v="1"/>
    <x v="0"/>
    <s v="USD"/>
    <n v="1467763200"/>
    <n v="1466453161"/>
    <b v="0"/>
    <n v="0"/>
    <b v="0"/>
    <s v="film &amp; video/science fiction"/>
    <n v="0"/>
    <n v="0"/>
    <x v="0"/>
    <x v="2"/>
    <d v="2016-06-20T20:06:01"/>
    <d v="2016-07-06T00:00:00"/>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d v="2014-11-07T20:30:07"/>
    <n v="7655"/>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0"/>
  </r>
  <r>
    <n v="134"/>
    <s v="MARLEY'S GHOST (AMBASSADORS OF STEAM) (Canceled)"/>
    <s v="steampunk  remake of &quot;a Christmas carol&quot;"/>
    <n v="5000"/>
    <n v="0"/>
    <x v="1"/>
    <x v="0"/>
    <s v="USD"/>
    <n v="1441386000"/>
    <n v="1438811418"/>
    <b v="0"/>
    <n v="0"/>
    <b v="0"/>
    <s v="film &amp; video/science fiction"/>
    <n v="0"/>
    <n v="0"/>
    <x v="0"/>
    <x v="2"/>
    <d v="2015-08-05T21:50:18"/>
    <d v="2015-09-04T17:00:0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d v="2014-07-01T19:00:00"/>
    <n v="40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d v="2015-08-01T04:59:00"/>
    <n v="4712"/>
  </r>
  <r>
    <n v="139"/>
    <s v="Roman Dead (Canceled)"/>
    <s v="When  Rome is infected with a zombie plague, Lucius Agrippa and a small group fights for survival"/>
    <n v="500"/>
    <n v="500"/>
    <x v="1"/>
    <x v="0"/>
    <s v="USD"/>
    <n v="1436738772"/>
    <n v="1435874772"/>
    <b v="0"/>
    <n v="1"/>
    <b v="0"/>
    <s v="film &amp; video/science fiction"/>
    <n v="1"/>
    <n v="500"/>
    <x v="0"/>
    <x v="2"/>
    <d v="2015-07-02T22:06:12"/>
    <d v="2015-07-12T22:06:1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d v="2015-05-31T03:40:23"/>
    <n v="129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d v="2014-11-16T22:26:18"/>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d v="2015-04-13T17:17:52"/>
    <n v="1573.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d v="2015-08-11T13:00:52"/>
    <n v="338"/>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d v="2017-01-18T00:23:18"/>
    <n v="115"/>
  </r>
  <r>
    <n v="147"/>
    <s v="Consumed (Static Air) (Canceled)"/>
    <s v="Film makers catch live footage beyond their wildest dreams."/>
    <n v="7000"/>
    <n v="0"/>
    <x v="1"/>
    <x v="1"/>
    <s v="GBP"/>
    <n v="1420741080"/>
    <n v="1417026340"/>
    <b v="0"/>
    <n v="0"/>
    <b v="0"/>
    <s v="film &amp; video/science fiction"/>
    <n v="0"/>
    <n v="0"/>
    <x v="0"/>
    <x v="2"/>
    <d v="2014-11-26T18:25:40"/>
    <d v="2015-01-08T18:18:00"/>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d v="2016-02-27T06:45:36"/>
    <n v="4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d v="2014-12-25T08:00:00"/>
    <n v="9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d v="2015-05-26T03:53:02"/>
    <n v="3011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d v="2015-06-18T13:13:11"/>
    <n v="102.2"/>
  </r>
  <r>
    <n v="152"/>
    <s v="The Great Dark (Canceled)"/>
    <s v="The Great Dark is a journey through the unimaginable...and un foreseeable..."/>
    <n v="380000"/>
    <n v="30"/>
    <x v="1"/>
    <x v="0"/>
    <s v="USD"/>
    <n v="1411437100"/>
    <n v="1408845100"/>
    <b v="0"/>
    <n v="2"/>
    <b v="0"/>
    <s v="film &amp; video/science fiction"/>
    <n v="7.8947368421052633E-5"/>
    <n v="15"/>
    <x v="0"/>
    <x v="2"/>
    <d v="2014-08-24T01:51:40"/>
    <d v="2014-09-23T01:51:40"/>
    <n v="3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d v="2014-12-02T15:04:04"/>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d v="2015-06-03T13:08:15"/>
    <n v="4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d v="2015-07-23T13:25:35"/>
    <n v="8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d v="2014-08-03T02:59:56"/>
    <n v="1356.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d v="2016-02-26T21:52:52"/>
    <n v="8"/>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d v="2016-07-03T10:25:45"/>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d v="2014-07-02T16:29:55"/>
    <n v="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d v="2014-08-16T23:42:00"/>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d v="2014-09-19T18:18:21"/>
    <n v="640"/>
  </r>
  <r>
    <n v="165"/>
    <s v="NET"/>
    <s v="A teacher. A boy. The beach and a heatwave that drove them all insane."/>
    <n v="17000"/>
    <n v="0"/>
    <x v="2"/>
    <x v="1"/>
    <s v="GBP"/>
    <n v="1452613724"/>
    <n v="1450021724"/>
    <b v="0"/>
    <n v="0"/>
    <b v="0"/>
    <s v="film &amp; video/drama"/>
    <n v="0"/>
    <n v="0"/>
    <x v="0"/>
    <x v="3"/>
    <d v="2015-12-13T15:48:44"/>
    <d v="2016-01-12T15:48:44"/>
    <n v="0"/>
  </r>
  <r>
    <n v="166"/>
    <s v="Pressure"/>
    <s v="A young teen makes a bad decision after joining gang and the film expresses his choices that led him to that point."/>
    <n v="5000"/>
    <n v="3000"/>
    <x v="2"/>
    <x v="0"/>
    <s v="USD"/>
    <n v="1484531362"/>
    <n v="1481939362"/>
    <b v="0"/>
    <n v="1"/>
    <b v="0"/>
    <s v="film &amp; video/drama"/>
    <n v="0.6"/>
    <n v="3000"/>
    <x v="0"/>
    <x v="3"/>
    <d v="2016-12-17T01:49:22"/>
    <d v="2017-01-16T01:49:22"/>
    <n v="3000"/>
  </r>
  <r>
    <n v="167"/>
    <s v="Past"/>
    <s v="A young man experiences a tragedy and has the opportunity to go back and learn from his mistakes and find out his true self."/>
    <n v="110000"/>
    <n v="11"/>
    <x v="2"/>
    <x v="0"/>
    <s v="USD"/>
    <n v="1438726535"/>
    <n v="1433542535"/>
    <b v="0"/>
    <n v="2"/>
    <b v="0"/>
    <s v="film &amp; video/drama"/>
    <n v="1E-4"/>
    <n v="5.5"/>
    <x v="0"/>
    <x v="3"/>
    <d v="2015-06-05T22:15:35"/>
    <d v="2015-08-04T22:15:35"/>
    <n v="1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d v="2015-03-19T19:02:50"/>
    <n v="325"/>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d v="2014-10-18T12:07:39"/>
    <n v="739.2"/>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d v="2015-08-30T05:28:00"/>
    <n v="325"/>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d v="2016-08-12T04:20:14"/>
    <n v="1"/>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d v="2014-08-29T18:40:11"/>
    <n v="1712.0400000000002"/>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0"/>
  </r>
  <r>
    <n v="177"/>
    <s v="The Good Samaritan"/>
    <s v="I'm making a modern day version of the bible story &quot; The Good Samaritan&quot;"/>
    <n v="450"/>
    <n v="180"/>
    <x v="2"/>
    <x v="0"/>
    <s v="USD"/>
    <n v="1427155726"/>
    <n v="1425690526"/>
    <b v="0"/>
    <n v="7"/>
    <b v="0"/>
    <s v="film &amp; video/drama"/>
    <n v="0.4"/>
    <n v="25.714285714285715"/>
    <x v="0"/>
    <x v="3"/>
    <d v="2015-03-07T01:08:46"/>
    <d v="2015-03-24T00:08:46"/>
    <n v="180"/>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0"/>
  </r>
  <r>
    <n v="179"/>
    <s v="Sustain: A Film About Survival"/>
    <s v="A feature-length film about how three people survive in a diseased world."/>
    <n v="1000"/>
    <n v="200"/>
    <x v="2"/>
    <x v="0"/>
    <s v="USD"/>
    <n v="1457056555"/>
    <n v="1454464555"/>
    <b v="0"/>
    <n v="2"/>
    <b v="0"/>
    <s v="film &amp; video/drama"/>
    <n v="0.2"/>
    <n v="100"/>
    <x v="0"/>
    <x v="3"/>
    <d v="2016-02-03T01:55:55"/>
    <d v="2016-03-04T01:55:55"/>
    <n v="20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d v="2015-04-13T19:00:00"/>
    <n v="529.32000000000005"/>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d v="2015-06-22T17:48:15"/>
    <n v="953.04000000000008"/>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0"/>
  </r>
  <r>
    <n v="183"/>
    <s v="Three Little Words"/>
    <s v="Don't kill me until I meet my Dad"/>
    <n v="12500"/>
    <n v="4482"/>
    <x v="2"/>
    <x v="1"/>
    <s v="GBP"/>
    <n v="1417033610"/>
    <n v="1414438010"/>
    <b v="0"/>
    <n v="12"/>
    <b v="0"/>
    <s v="film &amp; video/drama"/>
    <n v="0.35855999999999999"/>
    <n v="373.5"/>
    <x v="0"/>
    <x v="3"/>
    <d v="2014-10-27T19:26:50"/>
    <d v="2014-11-26T20:26:50"/>
    <n v="5916.2400000000007"/>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d v="2014-09-01T03:59:00"/>
    <n v="38.76"/>
  </r>
  <r>
    <n v="185"/>
    <s v="BLANK Short Movie"/>
    <s v="Love has no boundaries!"/>
    <n v="40000"/>
    <n v="2200"/>
    <x v="2"/>
    <x v="10"/>
    <s v="NOK"/>
    <n v="1471557139"/>
    <n v="1468965139"/>
    <b v="0"/>
    <n v="10"/>
    <b v="0"/>
    <s v="film &amp; video/drama"/>
    <n v="5.5E-2"/>
    <n v="220"/>
    <x v="0"/>
    <x v="3"/>
    <d v="2016-07-19T21:52:19"/>
    <d v="2016-08-18T21:52:19"/>
    <n v="242"/>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d v="2015-07-21T06:59:00"/>
    <n v="8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d v="2016-09-03T16:34:37"/>
    <n v="345"/>
  </r>
  <r>
    <n v="190"/>
    <s v="REGIONRAT, the movie"/>
    <s v="Because hope can be a 4 letter word"/>
    <n v="12000"/>
    <n v="50"/>
    <x v="2"/>
    <x v="0"/>
    <s v="USD"/>
    <n v="1466091446"/>
    <n v="1465227446"/>
    <b v="0"/>
    <n v="1"/>
    <b v="0"/>
    <s v="film &amp; video/drama"/>
    <n v="4.1666666666666666E-3"/>
    <n v="50"/>
    <x v="0"/>
    <x v="3"/>
    <d v="2016-06-06T15:37:26"/>
    <d v="2016-06-16T15:37:26"/>
    <n v="5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d v="2015-10-02T10:35:38"/>
    <n v="182.5"/>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d v="2014-10-17T19:00:32"/>
    <n v="1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d v="2016-03-06T23:55:31"/>
    <n v="3.96"/>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d v="2015-10-10T21:00:00"/>
    <n v="1933.8000000000002"/>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d v="2017-02-17T21:00:00"/>
    <n v="345.8400000000000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d v="2014-10-05T09:12:02"/>
    <n v="279"/>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d v="2014-09-15T02:00:03"/>
    <n v="1571.55"/>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d v="2015-02-08T19:38:49"/>
    <n v="380"/>
  </r>
  <r>
    <n v="202"/>
    <s v="Modern Gangsters"/>
    <s v="new web series created by jonney terry"/>
    <n v="6000"/>
    <n v="0"/>
    <x v="2"/>
    <x v="0"/>
    <s v="USD"/>
    <n v="1444337940"/>
    <n v="1441750564"/>
    <b v="0"/>
    <n v="0"/>
    <b v="0"/>
    <s v="film &amp; video/drama"/>
    <n v="0"/>
    <n v="0"/>
    <x v="0"/>
    <x v="3"/>
    <d v="2015-09-08T22:16:04"/>
    <d v="2015-10-08T20:59:00"/>
    <n v="0"/>
  </r>
  <r>
    <n v="203"/>
    <s v="TheM"/>
    <s v="We are aiming to make a Web Series based on Youth Culture and the misrepresentation of socially stereotyped people."/>
    <n v="2500"/>
    <n v="746"/>
    <x v="2"/>
    <x v="1"/>
    <s v="GBP"/>
    <n v="1422562864"/>
    <n v="1417378864"/>
    <b v="0"/>
    <n v="8"/>
    <b v="0"/>
    <s v="film &amp; video/drama"/>
    <n v="0.2984"/>
    <n v="93.25"/>
    <x v="0"/>
    <x v="3"/>
    <d v="2014-11-30T20:21:04"/>
    <d v="2015-01-29T20:21:04"/>
    <n v="984.7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d v="2016-08-04T14:00:03"/>
    <n v="111080.45"/>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d v="2015-10-06T15:10:22"/>
    <n v="130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d v="2015-01-04T04:43:58"/>
    <n v="1618.8"/>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d v="2015-10-01T05:00:00"/>
    <n v="303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d v="2015-09-19T03:50:17"/>
    <n v="223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d v="2016-04-16T20:08:40"/>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d v="2015-08-16T14:06:41"/>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d v="2015-03-06T15:22:29"/>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d v="2016-02-17T23:59:00"/>
    <n v="13.20000000000000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d v="2015-04-22T22:00:37"/>
    <n v="27849.22"/>
  </r>
  <r>
    <n v="217"/>
    <s v="Bitch"/>
    <s v="A roadmovie by paw"/>
    <n v="100000"/>
    <n v="11943"/>
    <x v="2"/>
    <x v="11"/>
    <s v="SEK"/>
    <n v="1419780149"/>
    <n v="1417101749"/>
    <b v="0"/>
    <n v="38"/>
    <b v="0"/>
    <s v="film &amp; video/drama"/>
    <n v="0.11942999999999999"/>
    <n v="314.28947368421052"/>
    <x v="0"/>
    <x v="3"/>
    <d v="2014-11-27T15:22:29"/>
    <d v="2014-12-28T15:22:29"/>
    <n v="1313.7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d v="2015-05-15T15:04:49"/>
    <n v="100"/>
  </r>
  <r>
    <n v="219"/>
    <s v="True Colors"/>
    <s v="An hour-long pilot about a group of suburban LGBT teens coming of age in the early 90's."/>
    <n v="50000"/>
    <n v="8815"/>
    <x v="2"/>
    <x v="0"/>
    <s v="USD"/>
    <n v="1459493940"/>
    <n v="1456732225"/>
    <b v="0"/>
    <n v="76"/>
    <b v="0"/>
    <s v="film &amp; video/drama"/>
    <n v="0.17630000000000001"/>
    <n v="115.98684210526316"/>
    <x v="0"/>
    <x v="3"/>
    <d v="2016-02-29T07:50:25"/>
    <d v="2016-04-01T06:59:00"/>
    <n v="8815"/>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d v="2015-08-20T20:06:00"/>
    <n v="360"/>
  </r>
  <r>
    <n v="221"/>
    <s v="Archetypes"/>
    <s v="Film about Schizophrenia with Surreal Twists!"/>
    <n v="50000"/>
    <n v="0"/>
    <x v="2"/>
    <x v="0"/>
    <s v="USD"/>
    <n v="1427569564"/>
    <n v="1422389164"/>
    <b v="0"/>
    <n v="0"/>
    <b v="0"/>
    <s v="film &amp; video/drama"/>
    <n v="0"/>
    <n v="0"/>
    <x v="0"/>
    <x v="3"/>
    <d v="2015-01-27T20:06:04"/>
    <d v="2015-03-28T19:06:04"/>
    <n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d v="2015-03-27T02:39:00"/>
    <n v="13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0"/>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0"/>
  </r>
  <r>
    <n v="226"/>
    <s v="MAGGIE Film"/>
    <s v="A TRUE STORY OF DOMESTIC VILOLENCE THAT SEEKS TO OFFER THE VIEWER OUTLEST OF SUPPORT."/>
    <n v="29000"/>
    <n v="250"/>
    <x v="2"/>
    <x v="1"/>
    <s v="GBP"/>
    <n v="1433064540"/>
    <n v="1428854344"/>
    <b v="0"/>
    <n v="2"/>
    <b v="0"/>
    <s v="film &amp; video/drama"/>
    <n v="8.6206896551724137E-3"/>
    <n v="125"/>
    <x v="0"/>
    <x v="3"/>
    <d v="2015-04-12T15:59:04"/>
    <d v="2015-05-31T09:29:00"/>
    <n v="33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0"/>
  </r>
  <r>
    <n v="228"/>
    <s v="Facets of a Geek life"/>
    <s v="I am making a film from one one of my books called facets of a Geek life."/>
    <n v="8000"/>
    <n v="0"/>
    <x v="2"/>
    <x v="1"/>
    <s v="GBP"/>
    <n v="1433176105"/>
    <n v="1427992105"/>
    <b v="0"/>
    <n v="0"/>
    <b v="0"/>
    <s v="film &amp; video/drama"/>
    <n v="0"/>
    <n v="0"/>
    <x v="0"/>
    <x v="3"/>
    <d v="2015-04-02T16:28:25"/>
    <d v="2015-06-01T16:28:25"/>
    <n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d v="2015-06-04T18:39:11"/>
    <n v="6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d v="2015-02-27T19:49:06"/>
    <n v="145.20000000000002"/>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d v="2015-06-21T00:50:59"/>
    <n v="401"/>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0"/>
  </r>
  <r>
    <n v="237"/>
    <s v="Making The Choice"/>
    <s v="Making The Choice is a christian short film series."/>
    <n v="15000"/>
    <n v="50"/>
    <x v="2"/>
    <x v="0"/>
    <s v="USD"/>
    <n v="1457445069"/>
    <n v="1452261069"/>
    <b v="0"/>
    <n v="1"/>
    <b v="0"/>
    <s v="film &amp; video/drama"/>
    <n v="3.3333333333333335E-3"/>
    <n v="50"/>
    <x v="0"/>
    <x v="3"/>
    <d v="2016-01-08T13:51:09"/>
    <d v="2016-03-08T13:51:09"/>
    <n v="50"/>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0"/>
  </r>
  <r>
    <n v="239"/>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d v="2015-11-08T12:00:00"/>
    <n v="182.5"/>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16145.1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100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d v="2011-12-20T11:49:50"/>
    <n v="147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d v="2014-02-22T01:08:24"/>
    <n v="25648"/>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3981.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d v="2012-08-16T01:16:25"/>
    <n v="518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d v="2010-12-18T09:43:25"/>
    <n v="15273"/>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670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86133"/>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1129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167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439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d v="2010-06-01T03:59:00"/>
    <n v="9228"/>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d v="2012-02-15T15:37:15"/>
    <n v="151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d v="2015-10-17T02:00:00"/>
    <n v="28067.3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8538.6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18083"/>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d v="2016-05-19T15:02:42"/>
    <n v="37354.26999999999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5734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d v="2015-04-08T17:42:49"/>
    <n v="98953.4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d v="2010-07-17T09:59:00"/>
    <n v="1064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d v="2012-06-07T14:55:00"/>
    <n v="21480"/>
  </r>
  <r>
    <n v="262"/>
    <s v="The Last Cosmonaut"/>
    <s v="He can never die. He will live forever. He is the last cosmonaut, and this is his story."/>
    <n v="2500"/>
    <n v="6000"/>
    <x v="0"/>
    <x v="0"/>
    <s v="USD"/>
    <n v="1298699828"/>
    <n v="1294811828"/>
    <b v="1"/>
    <n v="145"/>
    <b v="1"/>
    <s v="film &amp; video/documentary"/>
    <n v="2.4"/>
    <n v="41.379310344827587"/>
    <x v="0"/>
    <x v="4"/>
    <d v="2011-01-12T05:57:08"/>
    <d v="2011-02-26T05:57:08"/>
    <n v="600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d v="2012-09-27T22:54:54"/>
    <n v="29520.2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591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555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d v="2010-04-23T03:51:00"/>
    <n v="145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d v="2014-06-25T10:51:39"/>
    <n v="17114.38080000000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d v="2011-11-07T04:39:38"/>
    <n v="557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d v="2017-02-22T04:43:42"/>
    <n v="107480.6520999999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d v="2011-05-25T04:00:00"/>
    <n v="351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d v="2014-01-02T08:00:00"/>
    <n v="3140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d v="2010-04-28T18:49:00"/>
    <n v="5323.0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5388.79"/>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624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21679"/>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590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d v="2015-05-23T21:23:39"/>
    <n v="71748"/>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4059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d v="2017-02-27T02:01:00"/>
    <n v="26744.1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d v="2014-05-30T14:10:35"/>
    <n v="11710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6632.3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45535"/>
  </r>
  <r>
    <n v="283"/>
    <s v="SOLE SURVIVOR"/>
    <s v="What is the impact of survivorship on the human condition?"/>
    <n v="18000"/>
    <n v="20569.05"/>
    <x v="0"/>
    <x v="0"/>
    <s v="USD"/>
    <n v="1306904340"/>
    <n v="1305219744"/>
    <b v="1"/>
    <n v="202"/>
    <b v="1"/>
    <s v="film &amp; video/documentary"/>
    <n v="1.142725"/>
    <n v="101.8269801980198"/>
    <x v="0"/>
    <x v="4"/>
    <d v="2011-05-12T17:02:24"/>
    <d v="2011-06-01T04:59:00"/>
    <n v="20569.0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41850.4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2035.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16373"/>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d v="2012-11-02T04:00:00"/>
    <n v="2644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51605.3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d v="2013-11-02T10:57:14"/>
    <n v="20754.36"/>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4800.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d v="2013-05-01T00:01:00"/>
    <n v="600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76130.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d v="2014-04-20T16:01:54"/>
    <n v="2636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d v="2010-07-19T16:00:00"/>
    <n v="5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6554.55999999999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d v="2012-09-07T11:24:43"/>
    <n v="29681.5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20128"/>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d v="2014-05-09T21:00:00"/>
    <n v="137254.8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d v="2010-11-17T06:24:20"/>
    <n v="17895.2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25430.6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15435.5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d v="2012-02-24T20:33:58"/>
    <n v="100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412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d v="2012-09-01T02:00:00"/>
    <n v="7876"/>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d v="2012-03-10T15:07:29"/>
    <n v="977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929"/>
  </r>
  <r>
    <n v="307"/>
    <s v="Grammar Revolution"/>
    <s v="Why is grammar important?"/>
    <n v="22000"/>
    <n v="24490"/>
    <x v="0"/>
    <x v="0"/>
    <s v="USD"/>
    <n v="1360276801"/>
    <n v="1357684801"/>
    <b v="1"/>
    <n v="576"/>
    <b v="1"/>
    <s v="film &amp; video/documentary"/>
    <n v="1.1131818181818183"/>
    <n v="42.517361111111114"/>
    <x v="0"/>
    <x v="4"/>
    <d v="2013-01-08T22:40:01"/>
    <d v="2013-02-07T22:40:01"/>
    <n v="2449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1266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d v="2012-09-03T18:02:14"/>
    <n v="2141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041.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d v="2012-01-01T07:59:00"/>
    <n v="20820.33000000000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895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1780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d v="2013-03-01T19:59:48"/>
    <n v="3851.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25312"/>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12970.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24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d v="2013-03-26T23:55:51"/>
    <n v="14166"/>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563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8137.120000000003"/>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d v="2016-11-08T11:43:06"/>
    <n v="42399.75999999999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2697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d v="2016-12-21T07:59:00"/>
    <n v="6646"/>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8636"/>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52198"/>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d v="2017-03-14T22:57:00"/>
    <n v="169394.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d v="2015-03-22T08:00:00"/>
    <n v="5456"/>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d v="2015-11-01T04:00:00"/>
    <n v="77710.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d v="2015-11-07T04:00:00"/>
    <n v="105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564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4264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11301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d v="2016-04-07T14:16:31"/>
    <n v="5009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10119"/>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87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d v="2015-11-13T15:18:38"/>
    <n v="29209.7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35.0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d v="2016-09-03T01:00:00"/>
    <n v="16520.0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648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43758"/>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373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d v="2016-04-29T18:44:25"/>
    <n v="55201.5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d v="2014-11-14T03:00:00"/>
    <n v="30608.5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3419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1787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d v="2015-10-14T12:00:21"/>
    <n v="17028.8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4463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1030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12007.1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d v="2016-09-11T03:59:00"/>
    <n v="2869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51089.279999999999"/>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1165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63460.18"/>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63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d v="2014-12-01T08:03:14"/>
    <n v="4069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7701.9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2610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d v="2016-06-15T15:00:00"/>
    <n v="5154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537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d v="2015-07-23T03:11:00"/>
    <n v="1216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8876.94999999999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d v="2014-08-08T00:00:00"/>
    <n v="12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904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d v="2014-06-21T03:59:00"/>
    <n v="7711.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20586.72"/>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d v="2012-05-20T19:01:58"/>
    <n v="3850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10335.0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d v="2015-03-15T13:32:02"/>
    <n v="130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7160.1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50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171253"/>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96.3200000000000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800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7839"/>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d v="2014-03-01T17:18:00"/>
    <n v="6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d v="2016-08-25T10:51:56"/>
    <n v="3426.720000000000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1372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d v="2016-01-25T23:52:00"/>
    <n v="2548.280000000000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174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566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26182.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53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d v="2014-05-19T02:49:19"/>
    <n v="206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d v="2015-01-06T18:45:47"/>
    <n v="2242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26495.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60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8131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630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d v="2014-03-07T22:59:00"/>
    <n v="123444.1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d v="2015-05-08T00:52:52"/>
    <n v="100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2012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18667"/>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5522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205.6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10804.4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600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12929.3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d v="2015-04-29T19:02:06"/>
    <n v="938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28196.5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11230.2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d v="2011-08-07T20:12:50"/>
    <n v="5190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d v="2015-11-05T13:56:57"/>
    <n v="2833"/>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d v="2011-08-10T07:08:00"/>
    <n v="526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36082"/>
  </r>
  <r>
    <n v="405"/>
    <s v="The Healing Effect Movie"/>
    <s v="Come, join our movie movement.  A new documentary about the healing power of food."/>
    <n v="2820"/>
    <n v="3036"/>
    <x v="0"/>
    <x v="0"/>
    <s v="USD"/>
    <n v="1394071339"/>
    <n v="1391479339"/>
    <b v="0"/>
    <n v="55"/>
    <b v="1"/>
    <s v="film &amp; video/documentary"/>
    <n v="1.0765957446808512"/>
    <n v="55.2"/>
    <x v="0"/>
    <x v="4"/>
    <d v="2014-02-04T02:02:19"/>
    <d v="2014-03-06T02:02:19"/>
    <n v="3036"/>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d v="2011-05-09T05:59:00"/>
    <n v="3015.73"/>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203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6086.2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902.88"/>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d v="2015-06-18T23:33:17"/>
    <n v="975.0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031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317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d v="2012-07-19T21:03:31"/>
    <n v="1345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1902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d v="2014-10-17T12:00:00"/>
    <n v="1086.845599999999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d v="2014-02-08T09:30:31"/>
    <n v="1202.17"/>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0526"/>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2254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803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d v="2014-03-14T04:40:31"/>
    <n v="14.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d v="2015-08-21T11:47:36"/>
    <n v="30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d v="2014-09-11T06:14:57"/>
    <n v="4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d v="2013-06-05T22:13:50"/>
    <n v="15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d v="2012-03-26T08:01:39"/>
    <n v="20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d v="2015-11-27T21:40:04"/>
    <n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d v="2016-03-01T17:05:14"/>
    <n v="13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0"/>
  </r>
  <r>
    <n v="428"/>
    <s v="Little Clay Bible - Zacchaeus"/>
    <s v="Fresh, fun, entertaining Bible stories on YouTube, stop-motion style."/>
    <n v="12000"/>
    <n v="676"/>
    <x v="2"/>
    <x v="0"/>
    <s v="USD"/>
    <n v="1402956000"/>
    <n v="1400523845"/>
    <b v="0"/>
    <n v="13"/>
    <b v="0"/>
    <s v="film &amp; video/animation"/>
    <n v="5.6333333333333332E-2"/>
    <n v="52"/>
    <x v="0"/>
    <x v="5"/>
    <d v="2014-05-19T18:24:05"/>
    <d v="2014-06-16T22:00:00"/>
    <n v="67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d v="2013-09-11T02:34:27"/>
    <n v="2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d v="2016-07-05T20:54:43"/>
    <n v="547.80000000000007"/>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d v="2015-10-21T17:26:21"/>
    <n v="57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d v="2013-12-01T21:01:42"/>
    <n v="12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d v="2013-09-13T17:56:20"/>
    <n v="3"/>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d v="2015-11-18T07:15:58"/>
    <n v="1876"/>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0"/>
  </r>
  <r>
    <n v="440"/>
    <s v="Consumed"/>
    <s v="A stop-motion animation made by a one girl team, with a camera, creativity, and a lot of determination."/>
    <n v="5000"/>
    <n v="5"/>
    <x v="2"/>
    <x v="0"/>
    <s v="USD"/>
    <n v="1458859153"/>
    <n v="1456270753"/>
    <b v="0"/>
    <n v="1"/>
    <b v="0"/>
    <s v="film &amp; video/animation"/>
    <n v="1E-3"/>
    <n v="5"/>
    <x v="0"/>
    <x v="5"/>
    <d v="2016-02-23T23:39:13"/>
    <d v="2016-03-24T22:39:13"/>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0"/>
  </r>
  <r>
    <n v="442"/>
    <s v="The Paranormal Idiot"/>
    <s v="Doomsday is here"/>
    <n v="17000"/>
    <n v="6691"/>
    <x v="2"/>
    <x v="0"/>
    <s v="USD"/>
    <n v="1424380783"/>
    <n v="1421788783"/>
    <b v="0"/>
    <n v="17"/>
    <b v="0"/>
    <s v="film &amp; video/animation"/>
    <n v="0.39358823529411763"/>
    <n v="393.58823529411762"/>
    <x v="0"/>
    <x v="5"/>
    <d v="2015-01-20T21:19:43"/>
    <d v="2015-02-19T21:19:43"/>
    <n v="6691"/>
  </r>
  <r>
    <n v="443"/>
    <s v="Bad Teddy Studios"/>
    <s v="We love cartoons!! We want to make more but it costs money to so. Be apart of your daily dose of WTF!?! Pledge now!!"/>
    <n v="10000"/>
    <n v="10"/>
    <x v="2"/>
    <x v="5"/>
    <s v="CAD"/>
    <n v="1391991701"/>
    <n v="1389399701"/>
    <b v="0"/>
    <n v="2"/>
    <b v="0"/>
    <s v="film &amp; video/animation"/>
    <n v="1E-3"/>
    <n v="5"/>
    <x v="0"/>
    <x v="5"/>
    <d v="2014-01-11T00:21:41"/>
    <d v="2014-02-10T00:21:41"/>
    <n v="7.6"/>
  </r>
  <r>
    <n v="444"/>
    <s v="Discovering the Other Woman"/>
    <s v="An upcoming animated web sitcom series centered around dealing with life, love, and relationships."/>
    <n v="1000"/>
    <n v="50"/>
    <x v="2"/>
    <x v="0"/>
    <s v="USD"/>
    <n v="1329342361"/>
    <n v="1324158361"/>
    <b v="0"/>
    <n v="1"/>
    <b v="0"/>
    <s v="film &amp; video/animation"/>
    <n v="0.05"/>
    <n v="50"/>
    <x v="0"/>
    <x v="5"/>
    <d v="2011-12-17T21:46:01"/>
    <d v="2012-02-15T21:46:01"/>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d v="2015-05-21T08:02:55"/>
    <n v="2"/>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d v="2015-03-04T02:00:20"/>
    <n v="76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d v="2013-03-23T12:19:23"/>
    <n v="6.600000000000000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d v="2014-05-14T18:11:35"/>
    <n v="82.0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d v="2013-10-17T13:38:05"/>
    <n v="59.40000000000000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d v="2014-02-14T22:43:20"/>
    <n v="396"/>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0"/>
  </r>
  <r>
    <n v="452"/>
    <s v="Lost in the Shadows"/>
    <s v="A man must find his way out of the depths of the shadows by using the aid of a little girl."/>
    <n v="750"/>
    <n v="480"/>
    <x v="2"/>
    <x v="0"/>
    <s v="USD"/>
    <n v="1431536015"/>
    <n v="1428944015"/>
    <b v="0"/>
    <n v="12"/>
    <b v="0"/>
    <s v="film &amp; video/animation"/>
    <n v="0.64"/>
    <n v="40"/>
    <x v="0"/>
    <x v="5"/>
    <d v="2015-04-13T16:53:35"/>
    <d v="2015-05-13T16:53:35"/>
    <n v="48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d v="2015-02-19T19:47:59"/>
    <n v="2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d v="2014-11-26T13:14:00"/>
    <n v="82"/>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d v="2012-04-17T00:31:00"/>
    <n v="4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d v="2013-10-22T03:59:00"/>
    <n v="6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d v="2013-05-14T16:47:40"/>
    <n v="1083.7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d v="2011-11-13T16:22:07"/>
    <n v="25"/>
  </r>
  <r>
    <n v="460"/>
    <s v="Darwin's Kiss"/>
    <s v="An animated web series about biological evolution gone haywire."/>
    <n v="8500"/>
    <n v="25"/>
    <x v="2"/>
    <x v="0"/>
    <s v="USD"/>
    <n v="1401595200"/>
    <n v="1398862875"/>
    <b v="0"/>
    <n v="2"/>
    <b v="0"/>
    <s v="film &amp; video/animation"/>
    <n v="2.9411764705882353E-3"/>
    <n v="12.5"/>
    <x v="0"/>
    <x v="5"/>
    <d v="2014-04-30T13:01:15"/>
    <d v="2014-06-01T04:00:00"/>
    <n v="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0"/>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d v="2011-09-24T17:02:33"/>
    <n v="125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d v="2016-05-18T20:22:15"/>
    <n v="1.18"/>
  </r>
  <r>
    <n v="465"/>
    <s v="&quot;Amp&quot; A Story About a Robot"/>
    <s v="&quot;Amp&quot; is a short film about a robot with needs."/>
    <n v="512"/>
    <n v="138"/>
    <x v="2"/>
    <x v="0"/>
    <s v="USD"/>
    <n v="1403837574"/>
    <n v="1402455174"/>
    <b v="0"/>
    <n v="8"/>
    <b v="0"/>
    <s v="film &amp; video/animation"/>
    <n v="0.26953125"/>
    <n v="17.25"/>
    <x v="0"/>
    <x v="5"/>
    <d v="2014-06-11T02:52:54"/>
    <d v="2014-06-27T02:52:54"/>
    <n v="138"/>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d v="2012-09-07T22:37:44"/>
    <n v="7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d v="2012-09-28T16:18:54"/>
    <n v="431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0"/>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d v="2014-01-16T04:00:00"/>
    <n v="5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d v="2014-04-19T16:19:39"/>
    <n v="654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d v="2014-08-23T22:08:38"/>
    <n v="14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d v="2014-09-17T16:45:19"/>
    <n v="86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d v="2017-02-17T07:53:49"/>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0"/>
  </r>
  <r>
    <n v="476"/>
    <s v="Sight Word Music Videos"/>
    <s v="Animated Music Videos that teach kids how to read."/>
    <n v="220000"/>
    <n v="4906.59"/>
    <x v="2"/>
    <x v="0"/>
    <s v="USD"/>
    <n v="1401767940"/>
    <n v="1398727441"/>
    <b v="0"/>
    <n v="124"/>
    <b v="0"/>
    <s v="film &amp; video/animation"/>
    <n v="2.2302681818181819E-2"/>
    <n v="39.569274193548388"/>
    <x v="0"/>
    <x v="5"/>
    <d v="2014-04-28T23:24:01"/>
    <d v="2014-06-03T03:59:00"/>
    <n v="4906.59"/>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d v="2014-11-21T10:47:15"/>
    <n v="4884"/>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d v="2013-08-09T12:00:15"/>
    <n v="776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d v="2012-10-10T16:08:09"/>
    <n v="183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d v="2016-04-14T14:34:00"/>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d v="2013-01-29T04:44:32"/>
    <n v="9939.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d v="2015-11-05T23:32:52"/>
    <n v="196.68"/>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d v="2013-05-17T12:08:19"/>
    <n v="10975.81320000000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d v="2014-06-01T22:37:19"/>
    <n v="36.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0"/>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d v="2012-01-05T11:33:00"/>
    <n v="215"/>
  </r>
  <r>
    <n v="490"/>
    <s v="PROJECT IS CANCELLED"/>
    <s v="Cancelled"/>
    <n v="1000"/>
    <n v="0"/>
    <x v="2"/>
    <x v="0"/>
    <s v="USD"/>
    <n v="1345677285"/>
    <n v="1343085285"/>
    <b v="0"/>
    <n v="0"/>
    <b v="0"/>
    <s v="film &amp; video/animation"/>
    <n v="0"/>
    <n v="0"/>
    <x v="0"/>
    <x v="5"/>
    <d v="2012-07-23T23:14:45"/>
    <d v="2012-08-22T23:14:45"/>
    <n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d v="2014-07-03T03:00:00"/>
    <n v="3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0"/>
  </r>
  <r>
    <n v="496"/>
    <s v="Airships and Anatasia: The Movie"/>
    <s v="The movie is about the adventures of Ethan, Danna, The mysterious inventor and more."/>
    <n v="60000"/>
    <n v="1"/>
    <x v="2"/>
    <x v="0"/>
    <s v="USD"/>
    <n v="1392070874"/>
    <n v="1386886874"/>
    <b v="0"/>
    <n v="1"/>
    <b v="0"/>
    <s v="film &amp; video/animation"/>
    <n v="1.6666666666666667E-5"/>
    <n v="1"/>
    <x v="0"/>
    <x v="5"/>
    <d v="2013-12-12T22:21:14"/>
    <d v="2014-02-10T22:21:14"/>
    <n v="1"/>
  </r>
  <r>
    <n v="497"/>
    <s v="Galaxy Probe Kids"/>
    <s v="live-action/animated series pilot."/>
    <n v="4480"/>
    <n v="30"/>
    <x v="2"/>
    <x v="0"/>
    <s v="USD"/>
    <n v="1419483600"/>
    <n v="1414889665"/>
    <b v="0"/>
    <n v="3"/>
    <b v="0"/>
    <s v="film &amp; video/animation"/>
    <n v="6.6964285714285711E-3"/>
    <n v="10"/>
    <x v="0"/>
    <x v="5"/>
    <d v="2014-11-02T00:54:25"/>
    <d v="2014-12-25T05:00:00"/>
    <n v="3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d v="2011-12-23T18:17:29"/>
    <n v="299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d v="2009-10-12T20:59:00"/>
    <n v="19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d v="2010-05-08T22:16:00"/>
    <n v="21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d v="2012-03-18T12:17:05"/>
    <n v="23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d v="2015-01-17T12:38:23"/>
    <n v="150.48000000000002"/>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d v="2012-04-10T22:36:27"/>
    <n v="33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d v="2015-12-25T02:21:26"/>
    <n v="52"/>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d v="2013-08-10T13:15:20"/>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d v="2012-10-19T23:00:57"/>
    <n v="64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d v="2012-05-25T14:14:00"/>
    <n v="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d v="2015-06-28T15:09:30"/>
    <n v="13.200000000000001"/>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d v="2013-04-06T06:16:22"/>
    <n v="15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d v="2016-11-20T18:48:47"/>
    <n v="1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d v="2016-08-15T07:00:00"/>
    <n v="696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d v="2014-08-09T14:44:07"/>
    <n v="38"/>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d v="2015-12-29T11:46:41"/>
    <n v="24651"/>
  </r>
  <r>
    <n v="516"/>
    <s v="Shipmates"/>
    <s v="A big brother style comedy animation series starring famous seafarers"/>
    <n v="5000"/>
    <n v="0"/>
    <x v="2"/>
    <x v="1"/>
    <s v="GBP"/>
    <n v="1432752080"/>
    <n v="1427568080"/>
    <b v="0"/>
    <n v="0"/>
    <b v="0"/>
    <s v="film &amp; video/animation"/>
    <n v="0"/>
    <n v="0"/>
    <x v="0"/>
    <x v="5"/>
    <d v="2015-03-28T18:41:20"/>
    <d v="2015-05-27T18:41:20"/>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d v="2017-02-02T14:46:01"/>
    <n v="20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d v="2012-12-05T09:23:41"/>
    <n v="274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d v="2015-12-10T16:51:01"/>
    <n v="6738.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5232"/>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344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603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5020.686000000000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d v="2014-09-13T09:37:21"/>
    <n v="1200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2257.2000000000003"/>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10085"/>
  </r>
  <r>
    <n v="528"/>
    <s v="Devastated No Matter What"/>
    <s v="A Festival Backed Production of a Full-Length Play."/>
    <n v="1150"/>
    <n v="1330"/>
    <x v="0"/>
    <x v="0"/>
    <s v="USD"/>
    <n v="1434921600"/>
    <n v="1433109907"/>
    <b v="0"/>
    <n v="30"/>
    <b v="1"/>
    <s v="theater/plays"/>
    <n v="1.1565217391304348"/>
    <n v="44.333333333333336"/>
    <x v="1"/>
    <x v="6"/>
    <d v="2015-05-31T22:05:07"/>
    <d v="2015-06-21T21:20:00"/>
    <n v="133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d v="2017-01-11T05:00:00"/>
    <n v="1189.400000000000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d v="2015-06-24T02:00:00"/>
    <n v="367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d v="2016-12-17T06:59:00"/>
    <n v="40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d v="2016-05-13T00:10:08"/>
    <n v="12325"/>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645.2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172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270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5151.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d v="2015-11-04T19:26:31"/>
    <n v="241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1512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d v="2016-07-05T01:11:47"/>
    <n v="664.2504000000000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d v="2015-02-04T19:36:46"/>
    <n v="1"/>
  </r>
  <r>
    <n v="541"/>
    <s v="Deviations"/>
    <s v="A website dedicated to local Kink Communities; to find others with matching interests and bring them together."/>
    <n v="4500"/>
    <n v="25"/>
    <x v="2"/>
    <x v="0"/>
    <s v="USD"/>
    <n v="1446080834"/>
    <n v="1443488834"/>
    <b v="0"/>
    <n v="1"/>
    <b v="0"/>
    <s v="technology/web"/>
    <n v="5.5555555555555558E-3"/>
    <n v="25"/>
    <x v="2"/>
    <x v="7"/>
    <d v="2015-09-29T01:07:14"/>
    <d v="2015-10-29T01:07:14"/>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d v="2016-05-03T16:41:56"/>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d v="2014-11-01T02:12:42"/>
    <n v="51.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d v="2016-07-04T15:46:00"/>
    <n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d v="2015-11-15T15:13:09"/>
    <n v="16156.5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d v="2015-10-17T16:01:55"/>
    <n v="52"/>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d v="2015-10-29T21:40:48"/>
    <n v="11.8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d v="2015-07-08T15:17:02"/>
    <n v="89.7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d v="2017-01-31T05:00:00"/>
    <n v="26.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d v="2015-08-01T17:53:00"/>
    <n v="3781"/>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d v="2014-11-14T18:16:31"/>
    <n v="12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d v="2014-10-19T16:26:12"/>
    <n v="141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0"/>
  </r>
  <r>
    <n v="556"/>
    <s v="Braille Academy"/>
    <s v="An educational platform for learning Unified English Braille Code"/>
    <n v="8000"/>
    <n v="200"/>
    <x v="2"/>
    <x v="0"/>
    <s v="USD"/>
    <n v="1452112717"/>
    <n v="1449520717"/>
    <b v="0"/>
    <n v="1"/>
    <b v="0"/>
    <s v="technology/web"/>
    <n v="2.5000000000000001E-2"/>
    <n v="200"/>
    <x v="2"/>
    <x v="7"/>
    <d v="2015-12-07T20:38:37"/>
    <d v="2016-01-06T20:38:3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d v="2016-12-02T23:36:43"/>
    <n v="1611.8799999999999"/>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d v="2015-12-13T06:47:40"/>
    <n v="5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d v="2014-12-17T18:30:45"/>
    <n v="9.12000000000000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d v="2015-10-26T15:48:33"/>
    <n v="5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d v="2015-02-17T01:40:47"/>
    <n v="49.64"/>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d v="2016-03-12T22:37:55"/>
    <n v="1.18"/>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d v="2016-07-14T16:25:33"/>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d v="2016-01-16T11:00:00"/>
    <n v="164.15"/>
  </r>
  <r>
    <n v="569"/>
    <s v="Mioti"/>
    <s v="Mioti is an indie game marketplace that doubles as a community for developers to join networks and discuss projects."/>
    <n v="2500"/>
    <n v="20"/>
    <x v="2"/>
    <x v="5"/>
    <s v="CAD"/>
    <n v="1451679612"/>
    <n v="1449087612"/>
    <b v="0"/>
    <n v="1"/>
    <b v="0"/>
    <s v="technology/web"/>
    <n v="8.0000000000000002E-3"/>
    <n v="20"/>
    <x v="2"/>
    <x v="7"/>
    <d v="2015-12-02T20:20:12"/>
    <d v="2016-01-01T20:20:12"/>
    <n v="15.2"/>
  </r>
  <r>
    <n v="570"/>
    <s v="Relaunching in May"/>
    <s v="Humans have AM/FM/Satellite radio, kids have radio Disney, pets have DogCatRadio."/>
    <n v="85000"/>
    <n v="142"/>
    <x v="2"/>
    <x v="0"/>
    <s v="USD"/>
    <n v="1455822569"/>
    <n v="1453230569"/>
    <b v="0"/>
    <n v="1"/>
    <b v="0"/>
    <s v="technology/web"/>
    <n v="1.6705882352941177E-3"/>
    <n v="142"/>
    <x v="2"/>
    <x v="7"/>
    <d v="2016-01-19T19:09:29"/>
    <d v="2016-02-18T19:09:29"/>
    <n v="14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d v="2015-07-27T03:59:00"/>
    <n v="10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d v="2015-01-18T01:12:00"/>
    <n v="34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d v="2016-10-19T10:38:27"/>
    <n v="105.6000000000000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d v="2015-06-13T16:37:23"/>
    <n v="305.62"/>
  </r>
  <r>
    <n v="576"/>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d v="2015-03-28T10:19:12"/>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d v="2016-05-20T14:08:22"/>
    <n v="10"/>
  </r>
  <r>
    <n v="578"/>
    <s v="weBuy Crowdsourced Shopping"/>
    <s v="weBuy trade built on technology and Crowd Sourced Power"/>
    <n v="125000"/>
    <n v="14"/>
    <x v="2"/>
    <x v="1"/>
    <s v="GBP"/>
    <n v="1441633993"/>
    <n v="1439560393"/>
    <b v="0"/>
    <n v="7"/>
    <b v="0"/>
    <s v="technology/web"/>
    <n v="1.12E-4"/>
    <n v="2"/>
    <x v="2"/>
    <x v="7"/>
    <d v="2015-08-14T13:53:13"/>
    <d v="2015-09-07T13:53:13"/>
    <n v="18.48"/>
  </r>
  <r>
    <n v="579"/>
    <s v="Course: Learn Cryptography"/>
    <s v="Learn classic and public key cryptography with a full proof-of-concept system in JavaScript."/>
    <n v="12000"/>
    <n v="175"/>
    <x v="2"/>
    <x v="0"/>
    <s v="USD"/>
    <n v="1419539223"/>
    <n v="1416947223"/>
    <b v="0"/>
    <n v="5"/>
    <b v="0"/>
    <s v="technology/web"/>
    <n v="1.4583333333333334E-2"/>
    <n v="35"/>
    <x v="2"/>
    <x v="7"/>
    <d v="2014-11-25T20:27:03"/>
    <d v="2014-12-25T20:27:03"/>
    <n v="175"/>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d v="2016-09-22T21:47:47"/>
    <n v="1"/>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0"/>
  </r>
  <r>
    <n v="583"/>
    <s v="HackersArchive.com"/>
    <s v="HackersArchive.com will help rid the web of viruses and scams found everywhere else you look!"/>
    <n v="9000"/>
    <n v="1"/>
    <x v="2"/>
    <x v="0"/>
    <s v="USD"/>
    <n v="1426800687"/>
    <n v="1424212287"/>
    <b v="0"/>
    <n v="1"/>
    <b v="0"/>
    <s v="technology/web"/>
    <n v="1.1111111111111112E-4"/>
    <n v="1"/>
    <x v="2"/>
    <x v="7"/>
    <d v="2015-02-17T22:31:27"/>
    <d v="2015-03-19T21:31:27"/>
    <n v="1"/>
  </r>
  <r>
    <n v="584"/>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d v="2015-03-16T16:11:56"/>
    <n v="10"/>
  </r>
  <r>
    <n v="585"/>
    <s v="Link Card"/>
    <s v="SAVE UP TO 40% WHEN YOU SPEND!_x000a__x000a_PRE-ORDER YOUR LINK CARD TODAY"/>
    <n v="9000"/>
    <n v="0"/>
    <x v="2"/>
    <x v="1"/>
    <s v="GBP"/>
    <n v="1448928000"/>
    <n v="1444123377"/>
    <b v="0"/>
    <n v="0"/>
    <b v="0"/>
    <s v="technology/web"/>
    <n v="0"/>
    <n v="0"/>
    <x v="2"/>
    <x v="7"/>
    <d v="2015-10-06T09:22:57"/>
    <d v="2015-12-01T00:00:00"/>
    <n v="0"/>
  </r>
  <r>
    <n v="586"/>
    <s v="Employ College 2K"/>
    <s v="Employ College is a movement for companies to hire college graduates from their respected institutions."/>
    <n v="10000"/>
    <n v="56"/>
    <x v="2"/>
    <x v="0"/>
    <s v="USD"/>
    <n v="1424032207"/>
    <n v="1421440207"/>
    <b v="0"/>
    <n v="4"/>
    <b v="0"/>
    <s v="technology/web"/>
    <n v="5.5999999999999999E-3"/>
    <n v="14"/>
    <x v="2"/>
    <x v="7"/>
    <d v="2015-01-16T20:30:07"/>
    <d v="2015-02-15T20:30:07"/>
    <n v="5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d v="2015-04-16T18:10:33"/>
    <n v="207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d v="2016-11-17T19:28:06"/>
    <n v="355.18"/>
  </r>
  <r>
    <n v="589"/>
    <s v="Get Neighborly"/>
    <s v="Services closer than you think..."/>
    <n v="7500"/>
    <n v="1"/>
    <x v="2"/>
    <x v="0"/>
    <s v="USD"/>
    <n v="1436366699"/>
    <n v="1435070699"/>
    <b v="0"/>
    <n v="1"/>
    <b v="0"/>
    <s v="technology/web"/>
    <n v="1.3333333333333334E-4"/>
    <n v="1"/>
    <x v="2"/>
    <x v="7"/>
    <d v="2015-06-23T14:44:59"/>
    <d v="2015-07-08T14:44:59"/>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d v="2016-02-08T13:01:00"/>
    <n v="294.3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d v="2015-07-22T13:02:10"/>
    <n v="6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d v="2014-12-03T05:34:20"/>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d v="2015-04-06T15:15:45"/>
    <n v="151.80000000000001"/>
  </r>
  <r>
    <n v="594"/>
    <s v="Unleashed Fitness"/>
    <s v="Creating a fitness site that will change the fitness game forever!"/>
    <n v="25000"/>
    <n v="26"/>
    <x v="2"/>
    <x v="0"/>
    <s v="USD"/>
    <n v="1460832206"/>
    <n v="1458240206"/>
    <b v="0"/>
    <n v="2"/>
    <b v="0"/>
    <s v="technology/web"/>
    <n v="1.0399999999999999E-3"/>
    <n v="13"/>
    <x v="2"/>
    <x v="7"/>
    <d v="2016-03-17T18:43:26"/>
    <d v="2016-04-16T18:43:26"/>
    <n v="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d v="2015-05-04T01:40:38"/>
    <n v="426"/>
  </r>
  <r>
    <n v="596"/>
    <s v="DigitaliBook free library"/>
    <s v="We present digitaibook,com site which can become a free electronic library with your help,"/>
    <n v="20000"/>
    <n v="6"/>
    <x v="2"/>
    <x v="0"/>
    <s v="USD"/>
    <n v="1478122292"/>
    <n v="1475530292"/>
    <b v="0"/>
    <n v="2"/>
    <b v="0"/>
    <s v="technology/web"/>
    <n v="2.9999999999999997E-4"/>
    <n v="3"/>
    <x v="2"/>
    <x v="7"/>
    <d v="2016-10-03T21:31:32"/>
    <d v="2016-11-02T21:31:32"/>
    <n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d v="2016-07-31T16:00:00"/>
    <n v="20"/>
  </r>
  <r>
    <n v="598"/>
    <s v="Goals not creeds"/>
    <s v="This is a project to create a crowd-funding site for Urantia Book readers worldwide."/>
    <n v="2500"/>
    <n v="850"/>
    <x v="2"/>
    <x v="0"/>
    <s v="USD"/>
    <n v="1417737781"/>
    <n v="1415145781"/>
    <b v="0"/>
    <n v="7"/>
    <b v="0"/>
    <s v="technology/web"/>
    <n v="0.34"/>
    <n v="121.42857142857143"/>
    <x v="2"/>
    <x v="7"/>
    <d v="2014-11-05T00:03:01"/>
    <d v="2014-12-05T00:03:01"/>
    <n v="850"/>
  </r>
  <r>
    <n v="599"/>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d v="2015-03-08T15:16:00"/>
    <n v="31"/>
  </r>
  <r>
    <n v="600"/>
    <s v="Anaheim California here we come but we need your help."/>
    <s v="Science Technology Engineering and Math + youth = a brighter tomorrow."/>
    <n v="5000"/>
    <n v="100"/>
    <x v="1"/>
    <x v="0"/>
    <s v="USD"/>
    <n v="1431198562"/>
    <n v="1426014562"/>
    <b v="0"/>
    <n v="1"/>
    <b v="0"/>
    <s v="technology/web"/>
    <n v="0.02"/>
    <n v="100"/>
    <x v="2"/>
    <x v="7"/>
    <d v="2015-03-10T19:09:22"/>
    <d v="2015-05-09T19:09:2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d v="2014-12-26T20:35:39"/>
    <n v="106.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d v="2014-08-14T15:20:23"/>
    <n v="590.0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0"/>
  </r>
  <r>
    <n v="605"/>
    <s v="Teach Your Parents iPad (Canceled)"/>
    <s v="An iPad support care package for your parents / seniors."/>
    <n v="5000"/>
    <n v="131"/>
    <x v="1"/>
    <x v="0"/>
    <s v="USD"/>
    <n v="1440318908"/>
    <n v="1436430908"/>
    <b v="0"/>
    <n v="8"/>
    <b v="0"/>
    <s v="technology/web"/>
    <n v="2.6200000000000001E-2"/>
    <n v="16.375"/>
    <x v="2"/>
    <x v="7"/>
    <d v="2015-07-09T08:35:08"/>
    <d v="2015-08-23T08:35:08"/>
    <n v="13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d v="2015-05-24T15:00:00"/>
    <n v="11.799999999999999"/>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d v="2015-06-15T22:06:20"/>
    <n v="146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d v="2015-11-29T01:49:04"/>
    <n v="6.6000000000000005"/>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0"/>
  </r>
  <r>
    <n v="612"/>
    <s v="Web Streaming 2.0 (Canceled)"/>
    <s v="A Fast and Reliable new Web platform to stream videos from Internet"/>
    <n v="10000"/>
    <n v="0"/>
    <x v="1"/>
    <x v="13"/>
    <s v="EUR"/>
    <n v="1472777146"/>
    <n v="1470185146"/>
    <b v="0"/>
    <n v="0"/>
    <b v="0"/>
    <s v="technology/web"/>
    <n v="0"/>
    <n v="0"/>
    <x v="2"/>
    <x v="7"/>
    <d v="2016-08-03T00:45:46"/>
    <d v="2016-09-02T00:45:46"/>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d v="2015-10-01T04:59:00"/>
    <n v="1281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d v="2015-05-08T08:14:03"/>
    <n v="79.2"/>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0"/>
  </r>
  <r>
    <n v="619"/>
    <s v="Big Data (Canceled)"/>
    <s v="Big Data Sets for researchers interested in improving the quality of life."/>
    <n v="2500000"/>
    <n v="1"/>
    <x v="1"/>
    <x v="0"/>
    <s v="USD"/>
    <n v="1416933390"/>
    <n v="1411745790"/>
    <b v="0"/>
    <n v="1"/>
    <b v="0"/>
    <s v="technology/web"/>
    <n v="3.9999999999999998E-7"/>
    <n v="1"/>
    <x v="2"/>
    <x v="7"/>
    <d v="2014-09-26T15:36:30"/>
    <d v="2014-11-25T16:36:30"/>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d v="2014-08-25T17:12:18"/>
    <n v="22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d v="2016-07-07T23:42:17"/>
    <n v="26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d v="2016-07-01T18:35:38"/>
    <n v="34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d v="2015-08-15T13:22:00"/>
    <n v="4345"/>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d v="2016-03-14T23:00:00"/>
    <n v="9.9"/>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d v="2016-05-14T15:18:28"/>
    <n v="255.5"/>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d v="2015-09-06T05:10:00"/>
    <n v="1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d v="2016-05-28T18:32:09"/>
    <n v="524.4"/>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d v="2016-06-17T23:00:00"/>
    <n v="1245"/>
  </r>
  <r>
    <n v="634"/>
    <s v="pitchtograndma (Canceled)"/>
    <s v="We help companies to explain what they do in simple, grandma-would-understand terms."/>
    <n v="5000"/>
    <n v="1"/>
    <x v="1"/>
    <x v="0"/>
    <s v="USD"/>
    <n v="1424989029"/>
    <n v="1422397029"/>
    <b v="0"/>
    <n v="1"/>
    <b v="0"/>
    <s v="technology/web"/>
    <n v="2.0000000000000001E-4"/>
    <n v="1"/>
    <x v="2"/>
    <x v="7"/>
    <d v="2015-01-27T22:17:09"/>
    <d v="2015-02-26T22:17:09"/>
    <n v="1"/>
  </r>
  <r>
    <n v="635"/>
    <s v="Pleero, A Technology Team Building Website (Canceled)"/>
    <s v="Network used for building technology development teams."/>
    <n v="25000"/>
    <n v="2"/>
    <x v="1"/>
    <x v="0"/>
    <s v="USD"/>
    <n v="1428804762"/>
    <n v="1426212762"/>
    <b v="0"/>
    <n v="1"/>
    <b v="0"/>
    <s v="technology/web"/>
    <n v="8.0000000000000007E-5"/>
    <n v="2"/>
    <x v="2"/>
    <x v="7"/>
    <d v="2015-03-13T02:12:42"/>
    <d v="2015-04-12T02:12:42"/>
    <n v="2"/>
  </r>
  <r>
    <n v="636"/>
    <s v="Keto Advice (Canceled)"/>
    <s v="With no central location for keto knowledge, keto advice will be a community run knowledge base."/>
    <n v="2000"/>
    <n v="4"/>
    <x v="1"/>
    <x v="1"/>
    <s v="GBP"/>
    <n v="1433587620"/>
    <n v="1430996150"/>
    <b v="0"/>
    <n v="1"/>
    <b v="0"/>
    <s v="technology/web"/>
    <n v="2E-3"/>
    <n v="4"/>
    <x v="2"/>
    <x v="7"/>
    <d v="2015-05-07T10:55:50"/>
    <d v="2015-06-06T10:47:00"/>
    <n v="5.2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0"/>
  </r>
  <r>
    <n v="638"/>
    <s v="W (Canceled)"/>
    <s v="O0"/>
    <n v="200000"/>
    <n v="18"/>
    <x v="1"/>
    <x v="12"/>
    <s v="EUR"/>
    <n v="1490447662"/>
    <n v="1485267262"/>
    <b v="0"/>
    <n v="6"/>
    <b v="0"/>
    <s v="technology/web"/>
    <n v="9.0000000000000006E-5"/>
    <n v="3"/>
    <x v="2"/>
    <x v="7"/>
    <d v="2017-01-24T14:14:22"/>
    <d v="2017-03-25T13:14:22"/>
    <n v="21.24"/>
  </r>
  <r>
    <n v="639"/>
    <s v="Kids Educational Social Media Site (Canceled)"/>
    <s v="Development of a Safe and Educational Social Media site for kids."/>
    <n v="1000000"/>
    <n v="1"/>
    <x v="1"/>
    <x v="0"/>
    <s v="USD"/>
    <n v="1413208795"/>
    <n v="1408024795"/>
    <b v="0"/>
    <n v="1"/>
    <b v="0"/>
    <s v="technology/web"/>
    <n v="9.9999999999999995E-7"/>
    <n v="1"/>
    <x v="2"/>
    <x v="7"/>
    <d v="2014-08-14T13:59:55"/>
    <d v="2014-10-13T13:59:55"/>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19.1799999999999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47665"/>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44674.4599999999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2645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75029.48"/>
  </r>
  <r>
    <n v="645"/>
    <s v="Carbon Fiber Collar Stays"/>
    <s v="Ever wanted to own something made out of carbon fiber? Now you can!"/>
    <n v="2000"/>
    <n v="5574"/>
    <x v="0"/>
    <x v="0"/>
    <s v="USD"/>
    <n v="1470962274"/>
    <n v="1468370274"/>
    <b v="0"/>
    <n v="237"/>
    <b v="1"/>
    <s v="technology/wearables"/>
    <n v="2.7869999999999999"/>
    <n v="23.518987341772153"/>
    <x v="2"/>
    <x v="8"/>
    <d v="2016-07-13T00:37:54"/>
    <d v="2016-08-12T00:37:54"/>
    <n v="557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d v="2014-08-11T20:27:47"/>
    <n v="1055.0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1627.16"/>
  </r>
  <r>
    <n v="648"/>
    <s v="Audio Jacket"/>
    <s v="Get ready for the next product that you canâ€™t live without"/>
    <n v="35000"/>
    <n v="44388"/>
    <x v="0"/>
    <x v="0"/>
    <s v="USD"/>
    <n v="1413304708"/>
    <n v="1410280708"/>
    <b v="0"/>
    <n v="27"/>
    <b v="1"/>
    <s v="technology/wearables"/>
    <n v="1.2682285714285715"/>
    <n v="1644"/>
    <x v="2"/>
    <x v="8"/>
    <d v="2014-09-09T16:38:28"/>
    <d v="2014-10-14T16:38:28"/>
    <n v="4438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349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d v="2014-12-19T01:53:04"/>
    <n v="168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d v="2014-12-13T00:25:11"/>
    <n v="2513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d v="2016-12-01T17:34:10"/>
    <n v="30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d v="2015-08-20T14:50:40"/>
    <n v="106084.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d v="2015-07-08T22:58:33"/>
    <n v="32075"/>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1175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d v="2016-04-17T18:18:39"/>
    <n v="1067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1885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0177"/>
  </r>
  <r>
    <n v="659"/>
    <s v="Lulu Watch Designs - Apple Watch"/>
    <s v="Sync up your lifestyle"/>
    <n v="3000"/>
    <n v="3017"/>
    <x v="0"/>
    <x v="0"/>
    <s v="USD"/>
    <n v="1440339295"/>
    <n v="1437747295"/>
    <b v="0"/>
    <n v="21"/>
    <b v="1"/>
    <s v="technology/wearables"/>
    <n v="1.0056666666666667"/>
    <n v="143.66666666666666"/>
    <x v="2"/>
    <x v="8"/>
    <d v="2015-07-24T14:14:55"/>
    <d v="2015-08-23T14:14:55"/>
    <n v="3017"/>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d v="2014-11-09T18:47:59"/>
    <n v="152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d v="2016-10-23T15:29:19"/>
    <n v="95"/>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d v="2015-01-16T10:30:47"/>
    <n v="15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d v="2015-07-18T20:14:16"/>
    <n v="11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d v="2015-04-13T15:59:35"/>
    <n v="90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d v="2017-01-13T17:04:21"/>
    <n v="1864"/>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d v="2014-08-17T19:58:18"/>
    <n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d v="2016-10-29T08:57:43"/>
    <n v="5911.79999999999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d v="2015-05-11T19:57:02"/>
    <n v="684"/>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d v="2016-07-06T15:00:58"/>
    <n v="4731.649999999999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d v="2016-06-19T08:10:00"/>
    <n v="31091.8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d v="2015-01-14T04:00:00"/>
    <n v="1182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d v="2015-01-01T04:59:00"/>
    <n v="1081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d v="2014-09-01T20:10:17"/>
    <n v="205"/>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d v="2014-08-12T02:47:07"/>
    <n v="1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d v="2015-01-01T06:59:00"/>
    <n v="89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d v="2015-02-07T18:26:21"/>
    <n v="1117.9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d v="2016-06-28T09:41:35"/>
    <n v="15094.5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d v="2016-05-21T09:02:18"/>
    <n v="110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d v="2016-09-03T16:41:49"/>
    <n v="8827"/>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d v="2014-09-17T12:02:11"/>
    <n v="1943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d v="2016-10-26T19:20:04"/>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d v="2017-03-14T17:22:02"/>
    <n v="53"/>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d v="2016-10-31T21:36:04"/>
    <n v="298"/>
  </r>
  <r>
    <n v="684"/>
    <s v="Arcus Motion Analyzer | The Versatile Smart Ring"/>
    <s v="Arcus gives your fingers super powers."/>
    <n v="320000"/>
    <n v="23948"/>
    <x v="2"/>
    <x v="0"/>
    <s v="USD"/>
    <n v="1406257200"/>
    <n v="1403176891"/>
    <b v="0"/>
    <n v="135"/>
    <b v="0"/>
    <s v="technology/wearables"/>
    <n v="7.4837500000000001E-2"/>
    <n v="177.39259259259259"/>
    <x v="2"/>
    <x v="8"/>
    <d v="2014-06-19T11:21:31"/>
    <d v="2014-07-25T03:00:00"/>
    <n v="2394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d v="2015-01-12T20:47:52"/>
    <n v="553"/>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d v="2017-02-05T18:00:53"/>
    <n v="163.3000000000000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d v="2015-10-15T02:30:53"/>
    <n v="1459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d v="2016-12-08T04:59:00"/>
    <n v="115297.5"/>
  </r>
  <r>
    <n v="690"/>
    <s v="BLOXSHIELD"/>
    <s v="A radiation shield for your fitness tracker, smartwatch or other wearable smart device"/>
    <n v="20000"/>
    <n v="2468"/>
    <x v="2"/>
    <x v="0"/>
    <s v="USD"/>
    <n v="1473400800"/>
    <n v="1469718841"/>
    <b v="0"/>
    <n v="34"/>
    <b v="0"/>
    <s v="technology/wearables"/>
    <n v="0.1234"/>
    <n v="72.588235294117652"/>
    <x v="2"/>
    <x v="8"/>
    <d v="2016-07-28T15:14:01"/>
    <d v="2016-09-09T06:00:00"/>
    <n v="246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d v="2015-07-01T00:40:46"/>
    <n v="26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d v="2016-12-22T09:01:03"/>
    <n v="1723.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d v="2015-04-30T19:23:47"/>
    <n v="3533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d v="2017-02-01T15:55:59"/>
    <n v="59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d v="2014-10-31T12:30:20"/>
    <n v="636"/>
  </r>
  <r>
    <n v="696"/>
    <s v="trustee"/>
    <s v="Show your fidelity by wearing the Trustee rings! Show where you are (at)!"/>
    <n v="175000"/>
    <n v="1"/>
    <x v="2"/>
    <x v="9"/>
    <s v="EUR"/>
    <n v="1406326502"/>
    <n v="1403734502"/>
    <b v="0"/>
    <n v="1"/>
    <b v="0"/>
    <s v="technology/wearables"/>
    <n v="5.7142857142857145E-6"/>
    <n v="1"/>
    <x v="2"/>
    <x v="8"/>
    <d v="2014-06-25T22:15:02"/>
    <d v="2014-07-25T22:15:02"/>
    <n v="1.1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d v="2016-02-03T12:33:09"/>
    <n v="2736.4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d v="2014-09-18T02:00:00"/>
    <n v="1539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d v="2013-11-22T16:00:00"/>
    <n v="107148.7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d v="2017-01-10T16:31:21"/>
    <n v="475.5399999999999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d v="2014-07-23T15:54:40"/>
    <n v="8075.7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d v="2016-11-24T18:26:27"/>
    <n v="4622.0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d v="2017-01-31T23:32:00"/>
    <n v="837"/>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d v="2017-02-20T04:37:48"/>
    <n v="365.56"/>
  </r>
  <r>
    <n v="705"/>
    <s v="SomnoScope"/>
    <s v="The closest thing ever to the Holy Grail of wearables technology"/>
    <n v="100000"/>
    <n v="977"/>
    <x v="2"/>
    <x v="9"/>
    <s v="EUR"/>
    <n v="1484999278"/>
    <n v="1482407278"/>
    <b v="0"/>
    <n v="5"/>
    <b v="0"/>
    <s v="technology/wearables"/>
    <n v="9.7699999999999992E-3"/>
    <n v="195.4"/>
    <x v="2"/>
    <x v="8"/>
    <d v="2016-12-22T11:47:58"/>
    <d v="2017-01-21T11:47:58"/>
    <n v="1152.8599999999999"/>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d v="2017-01-01T15:55:27"/>
    <n v="70845.191999999995"/>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d v="2014-09-13T13:56:40"/>
    <n v="11664.84"/>
  </r>
  <r>
    <n v="709"/>
    <s v="lumiglove"/>
    <s v="A &quot;handheld&quot; light, which eases the way you illuminate objects and/or paths."/>
    <n v="15000"/>
    <n v="61"/>
    <x v="2"/>
    <x v="0"/>
    <s v="USD"/>
    <n v="1417741159"/>
    <n v="1415149159"/>
    <b v="0"/>
    <n v="2"/>
    <b v="0"/>
    <s v="technology/wearables"/>
    <n v="4.0666666666666663E-3"/>
    <n v="30.5"/>
    <x v="2"/>
    <x v="8"/>
    <d v="2014-11-05T00:59:19"/>
    <d v="2014-12-05T00:59:19"/>
    <n v="61"/>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d v="2016-12-14T12:01:08"/>
    <n v="39873.37999999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d v="2016-02-14T16:20:32"/>
    <n v="10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d v="2016-06-05T12:42:12"/>
    <n v="234.8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d v="2017-02-28T18:54:42"/>
    <n v="224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d v="2015-11-05T03:10:40"/>
    <n v="138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d v="2014-12-01T00:00:00"/>
    <n v="715"/>
  </r>
  <r>
    <n v="717"/>
    <s v="cool air belt"/>
    <s v="Cool air flowing under clothing keeps you cool."/>
    <n v="100000"/>
    <n v="305"/>
    <x v="2"/>
    <x v="0"/>
    <s v="USD"/>
    <n v="1409949002"/>
    <n v="1407357002"/>
    <b v="0"/>
    <n v="4"/>
    <b v="0"/>
    <s v="technology/wearables"/>
    <n v="3.0500000000000002E-3"/>
    <n v="76.25"/>
    <x v="2"/>
    <x v="8"/>
    <d v="2014-08-06T20:30:02"/>
    <d v="2014-09-05T20:30:02"/>
    <n v="305"/>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d v="2017-02-18T05:59:00"/>
    <n v="9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d v="2016-02-23T00:57:56"/>
    <n v="19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d v="2012-01-29T15:34:51"/>
    <n v="273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d v="2014-08-01T13:43:27"/>
    <n v="1001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d v="2012-04-08T18:19:38"/>
    <n v="33006"/>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7383.0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2007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253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d v="2013-01-14T21:20:00"/>
    <n v="544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7917.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5226"/>
  </r>
  <r>
    <n v="730"/>
    <s v="Encyclopedia of Surfing"/>
    <s v="A Massive but Cheerful Online Digital Archive of Surfing"/>
    <n v="20000"/>
    <n v="26438"/>
    <x v="0"/>
    <x v="0"/>
    <s v="USD"/>
    <n v="1323280391"/>
    <n v="1320688391"/>
    <b v="0"/>
    <n v="265"/>
    <b v="1"/>
    <s v="publishing/nonfiction"/>
    <n v="1.3219000000000001"/>
    <n v="99.766037735849054"/>
    <x v="3"/>
    <x v="9"/>
    <d v="2011-11-07T17:53:11"/>
    <d v="2011-12-07T17:53:11"/>
    <n v="2643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63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d v="2013-09-29T10:11:01"/>
    <n v="84.48"/>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d v="2013-12-20T10:04:52"/>
    <n v="3975.84"/>
  </r>
  <r>
    <n v="734"/>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d v="2015-05-09T05:00:00"/>
    <n v="8109.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5377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d v="2013-11-21T04:59:00"/>
    <n v="1134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d v="2014-02-14T20:00:00"/>
    <n v="612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160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d v="2014-08-11T12:03:49"/>
    <n v="950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d v="2015-06-21T03:31:22"/>
    <n v="3222"/>
  </r>
  <r>
    <n v="741"/>
    <s v="reVILNA: the vilna ghetto project"/>
    <s v="A revolutionary digital mapping project of the Vilna Ghetto"/>
    <n v="13000"/>
    <n v="13293.8"/>
    <x v="0"/>
    <x v="0"/>
    <s v="USD"/>
    <n v="1370964806"/>
    <n v="1367940806"/>
    <b v="0"/>
    <n v="94"/>
    <b v="1"/>
    <s v="publishing/nonfiction"/>
    <n v="1.0226"/>
    <n v="141.42340425531913"/>
    <x v="3"/>
    <x v="9"/>
    <d v="2013-05-07T15:33:26"/>
    <d v="2013-06-11T15:33:26"/>
    <n v="13293.8"/>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155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81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511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d v="2013-05-03T13:44:05"/>
    <n v="3976"/>
  </r>
  <r>
    <n v="746"/>
    <s v="Attention: People With Body Parts"/>
    <s v="This is a book of letters. Letters to our body parts."/>
    <n v="2987"/>
    <n v="3318"/>
    <x v="0"/>
    <x v="0"/>
    <s v="USD"/>
    <n v="1348372740"/>
    <n v="1346806909"/>
    <b v="0"/>
    <n v="97"/>
    <b v="1"/>
    <s v="publishing/nonfiction"/>
    <n v="1.1108135252761968"/>
    <n v="34.206185567010309"/>
    <x v="3"/>
    <x v="9"/>
    <d v="2012-09-05T01:01:49"/>
    <d v="2012-09-23T03:59:00"/>
    <n v="3318"/>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8263.539999999999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d v="2014-08-10T20:19:26"/>
    <n v="200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d v="2017-01-28T22:35:30"/>
    <n v="1055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d v="2013-02-24T21:04:32"/>
    <n v="455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d v="2011-08-04T15:07:55"/>
    <n v="35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4077.049999999999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1280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207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d v="2013-05-20T00:41:00"/>
    <n v="2547.6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d v="2011-04-18T17:24:19"/>
    <n v="82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595"/>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255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d v="2014-07-09T07:55:39"/>
    <n v="6726.72"/>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d v="2014-02-02T18:02:06"/>
    <n v="235"/>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d v="2013-08-15T10:43:28"/>
    <n v="6.6000000000000005"/>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d v="2014-10-19T13:01:24"/>
    <n v="252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d v="2015-05-21T03:26:50"/>
    <n v="17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d v="2013-12-26T23:54:54"/>
    <n v="165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d v="2016-01-30T19:46:4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d v="2009-11-01T03:59:0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d v="2015-05-10T23:01:00"/>
    <n v="42.24"/>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d v="2014-02-23T18:43:38"/>
    <n v="35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d v="2011-12-16T01:26:35"/>
    <n v="17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d v="2015-10-11T05:00:00"/>
    <n v="359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d v="2013-07-31T23:32:57"/>
    <n v="2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d v="2014-04-30T16:51:2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d v="2010-10-15T04:00:00"/>
    <n v="4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104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1065.23"/>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d v="2012-08-25T18:11:42"/>
    <n v="70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d v="2012-04-27T22:00:00"/>
    <n v="222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1025"/>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903.1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d v="2012-05-11T15:47:00"/>
    <n v="714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137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2035.0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6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d v="2013-02-01T01:08:59"/>
    <n v="14437.4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7790"/>
  </r>
  <r>
    <n v="792"/>
    <s v="&quot;Believable Lies&quot; - The Album"/>
    <s v="Rock n' Roll about the intersection of lies and belief: the Believable Lie."/>
    <n v="2500"/>
    <n v="2511.11"/>
    <x v="0"/>
    <x v="0"/>
    <s v="USD"/>
    <n v="1383861483"/>
    <n v="1381265883"/>
    <b v="0"/>
    <n v="60"/>
    <b v="1"/>
    <s v="music/rock"/>
    <n v="1.0044440000000001"/>
    <n v="41.851833333333339"/>
    <x v="4"/>
    <x v="11"/>
    <d v="2013-10-08T20:58:03"/>
    <d v="2013-11-07T21:58:03"/>
    <n v="2511.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d v="2013-07-03T04:59:00"/>
    <n v="2826.43"/>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8425"/>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1565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10135"/>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2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d v="2014-09-30T14:09:47"/>
    <n v="402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5001"/>
  </r>
  <r>
    <n v="800"/>
    <s v="LF4 WildFire"/>
    <s v="Scotland's premier classic rock and metal festival, 3 days, 3-4 stages, family friendly,  for people of all ages"/>
    <n v="1500"/>
    <n v="2282"/>
    <x v="0"/>
    <x v="1"/>
    <s v="GBP"/>
    <n v="1410431054"/>
    <n v="1407839054"/>
    <b v="0"/>
    <n v="56"/>
    <b v="1"/>
    <s v="music/rock"/>
    <n v="1.5213333333333334"/>
    <n v="40.75"/>
    <x v="4"/>
    <x v="11"/>
    <d v="2014-08-12T10:24:14"/>
    <d v="2014-09-11T10:24:14"/>
    <n v="3012.240000000000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d v="2011-07-01T19:05:20"/>
    <n v="2230.4299999999998"/>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608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8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d v="2011-07-23T03:59:00"/>
    <n v="55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3150"/>
  </r>
  <r>
    <n v="806"/>
    <s v="Golden Animals NEW Album!"/>
    <s v="Help Golden Animals finish their NEW Album!"/>
    <n v="8000"/>
    <n v="8355"/>
    <x v="0"/>
    <x v="0"/>
    <s v="USD"/>
    <n v="1315413339"/>
    <n v="1312821339"/>
    <b v="0"/>
    <n v="71"/>
    <b v="1"/>
    <s v="music/rock"/>
    <n v="1.0443750000000001"/>
    <n v="117.67605633802818"/>
    <x v="4"/>
    <x v="11"/>
    <d v="2011-08-08T16:35:39"/>
    <d v="2011-09-07T16:35:39"/>
    <n v="8355"/>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4205"/>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d v="2014-12-22T04:59:00"/>
    <n v="3420"/>
  </r>
  <r>
    <n v="809"/>
    <s v="Peter's New Album!!"/>
    <s v="Acknowledged songwriter looking to record album of new songs to secure a Publishing Contract"/>
    <n v="4000"/>
    <n v="4151"/>
    <x v="0"/>
    <x v="0"/>
    <s v="USD"/>
    <n v="1390161630"/>
    <n v="1387569630"/>
    <b v="0"/>
    <n v="52"/>
    <b v="1"/>
    <s v="music/rock"/>
    <n v="1.03775"/>
    <n v="79.82692307692308"/>
    <x v="4"/>
    <x v="11"/>
    <d v="2013-12-20T20:00:30"/>
    <d v="2014-01-19T20:00:30"/>
    <n v="415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1575"/>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104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d v="2013-03-01T13:58:00"/>
    <n v="911"/>
  </r>
  <r>
    <n v="813"/>
    <s v="Rules of Civility and Decent Behavior"/>
    <s v="A pre order campaign to fund the pressing of our second full length vinyl LP"/>
    <n v="1500"/>
    <n v="2399.94"/>
    <x v="0"/>
    <x v="0"/>
    <s v="USD"/>
    <n v="1342825365"/>
    <n v="1340233365"/>
    <b v="0"/>
    <n v="96"/>
    <b v="1"/>
    <s v="music/rock"/>
    <n v="1.59996"/>
    <n v="24.999375000000001"/>
    <x v="4"/>
    <x v="11"/>
    <d v="2012-06-20T23:02:45"/>
    <d v="2012-07-20T23:02:45"/>
    <n v="2399.9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d v="2011-05-31T18:04:00"/>
    <n v="1273"/>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42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8058.55"/>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2056.6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545"/>
  </r>
  <r>
    <n v="819"/>
    <s v="Winter Tour"/>
    <s v="We are touring the Southeast in support of our new EP"/>
    <n v="400"/>
    <n v="435"/>
    <x v="0"/>
    <x v="0"/>
    <s v="USD"/>
    <n v="1387601040"/>
    <n v="1386806254"/>
    <b v="0"/>
    <n v="14"/>
    <b v="1"/>
    <s v="music/rock"/>
    <n v="1.0874999999999999"/>
    <n v="31.071428571428573"/>
    <x v="4"/>
    <x v="11"/>
    <d v="2013-12-11T23:57:34"/>
    <d v="2013-12-21T04:44:00"/>
    <n v="435"/>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d v="2014-06-09T05:00:00"/>
    <n v="268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d v="2015-05-04T04:01:00"/>
    <n v="1748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57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d v="2015-03-22T22:20:52"/>
    <n v="143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2150.1"/>
  </r>
  <r>
    <n v="825"/>
    <s v="KILL FREEMAN"/>
    <s v="Kickstarting Kill Freeman independently. Help fund the New Record, Video and Live Shows."/>
    <n v="12500"/>
    <n v="12554"/>
    <x v="0"/>
    <x v="0"/>
    <s v="USD"/>
    <n v="1351495284"/>
    <n v="1349335284"/>
    <b v="0"/>
    <n v="99"/>
    <b v="1"/>
    <s v="music/rock"/>
    <n v="1.0043200000000001"/>
    <n v="126.8080808080808"/>
    <x v="4"/>
    <x v="11"/>
    <d v="2012-10-04T07:21:24"/>
    <d v="2012-10-29T07:21:24"/>
    <n v="1255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d v="2012-03-25T23:55:30"/>
    <n v="558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3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39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86.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1941"/>
  </r>
  <r>
    <n v="831"/>
    <s v="Let The 7Horse Run!"/>
    <s v="7Horse is a new band with a self-funded album and a show they want to rock in your town!"/>
    <n v="1500"/>
    <n v="3500"/>
    <x v="0"/>
    <x v="0"/>
    <s v="USD"/>
    <n v="1335540694"/>
    <n v="1332948694"/>
    <b v="0"/>
    <n v="20"/>
    <b v="1"/>
    <s v="music/rock"/>
    <n v="2.3333333333333335"/>
    <n v="175"/>
    <x v="4"/>
    <x v="11"/>
    <d v="2012-03-28T15:31:34"/>
    <d v="2012-04-27T15:31:34"/>
    <n v="350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d v="2012-01-21T08:13:00"/>
    <n v="15091.06"/>
  </r>
  <r>
    <n v="833"/>
    <s v="Ragman Rolls"/>
    <s v="This is an American rock album."/>
    <n v="6000"/>
    <n v="6100"/>
    <x v="0"/>
    <x v="0"/>
    <s v="USD"/>
    <n v="1397941475"/>
    <n v="1395349475"/>
    <b v="0"/>
    <n v="41"/>
    <b v="1"/>
    <s v="music/rock"/>
    <n v="1.0166666666666666"/>
    <n v="148.78048780487805"/>
    <x v="4"/>
    <x v="11"/>
    <d v="2014-03-20T21:04:35"/>
    <d v="2014-04-19T21:04:35"/>
    <n v="610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d v="2013-07-01T03:59:00"/>
    <n v="720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2345"/>
  </r>
  <r>
    <n v="836"/>
    <s v="DESMADRE Full Album + Press Kit"/>
    <s v="An album you can bring home to mom."/>
    <n v="5000"/>
    <n v="5046.5200000000004"/>
    <x v="0"/>
    <x v="0"/>
    <s v="USD"/>
    <n v="1381108918"/>
    <n v="1378516918"/>
    <b v="0"/>
    <n v="46"/>
    <b v="1"/>
    <s v="music/rock"/>
    <n v="1.009304"/>
    <n v="109.70695652173914"/>
    <x v="4"/>
    <x v="11"/>
    <d v="2013-09-07T01:21:58"/>
    <d v="2013-10-07T01:21:58"/>
    <n v="5046.520000000000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45"/>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2908"/>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d v="2012-09-22T18:19:16"/>
    <n v="5830.8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d v="2016-09-24T05:26:27"/>
    <n v="12041.6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506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d v="2013-10-14T03:59:00"/>
    <n v="1982.08"/>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d v="2016-12-08T08:00:00"/>
    <n v="801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d v="2014-11-01T04:59:00"/>
    <n v="582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6019.0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771.4532000000002"/>
  </r>
  <r>
    <n v="847"/>
    <s v="CENTROPYMUSIC"/>
    <s v="MUSIC WITH MEANING!  MUSIC THAT MATTERS!!!"/>
    <n v="10"/>
    <n v="10"/>
    <x v="0"/>
    <x v="0"/>
    <s v="USD"/>
    <n v="1436555376"/>
    <n v="1433963376"/>
    <b v="0"/>
    <n v="1"/>
    <b v="1"/>
    <s v="music/metal"/>
    <n v="1"/>
    <n v="10"/>
    <x v="4"/>
    <x v="12"/>
    <d v="2015-06-10T19:09:36"/>
    <d v="2015-07-10T19:09:36"/>
    <n v="10"/>
  </r>
  <r>
    <n v="848"/>
    <s v="God Am"/>
    <s v="God Am, a Grunge/Doom metal band, who have been trying to fund the production of our EP to bring you a unique aural assault."/>
    <n v="300"/>
    <n v="300"/>
    <x v="0"/>
    <x v="0"/>
    <s v="USD"/>
    <n v="1429038033"/>
    <n v="1426446033"/>
    <b v="0"/>
    <n v="16"/>
    <b v="1"/>
    <s v="music/metal"/>
    <n v="1"/>
    <n v="18.75"/>
    <x v="4"/>
    <x v="12"/>
    <d v="2015-03-15T19:00:33"/>
    <d v="2015-04-14T19:00:33"/>
    <n v="30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d v="2015-03-16T02:34:24"/>
    <n v="479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d v="2016-04-25T04:59:00"/>
    <n v="6207"/>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d v="2016-07-31T19:45:00"/>
    <n v="3078.6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d v="2016-10-24T21:00:00"/>
    <n v="3674"/>
  </r>
  <r>
    <n v="853"/>
    <s v="sloggoth"/>
    <s v="Help release a CD of sloggoth's first album &quot;sloggoth&quot;.  All contributors of $5 or more get a CD when the goal is met!"/>
    <n v="300"/>
    <n v="300"/>
    <x v="0"/>
    <x v="0"/>
    <s v="USD"/>
    <n v="1424116709"/>
    <n v="1421524709"/>
    <b v="0"/>
    <n v="10"/>
    <b v="1"/>
    <s v="music/metal"/>
    <n v="1"/>
    <n v="30"/>
    <x v="4"/>
    <x v="12"/>
    <d v="2015-01-17T19:58:29"/>
    <d v="2015-02-16T19:58:29"/>
    <n v="30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d v="2016-12-28T05:05:46"/>
    <n v="32865.30000000000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150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d v="2016-10-25T19:00:00"/>
    <n v="643.1"/>
  </r>
  <r>
    <n v="857"/>
    <s v="A Reason To Breathe - DEBUT ALBUM"/>
    <s v="Modern Post-Hardcore/Electro music (Hardstyle, EDM, Trap, Dubstep, Dembow, House)."/>
    <n v="1200"/>
    <n v="1200"/>
    <x v="0"/>
    <x v="3"/>
    <s v="EUR"/>
    <n v="1448463431"/>
    <n v="1444831031"/>
    <b v="0"/>
    <n v="24"/>
    <b v="1"/>
    <s v="music/metal"/>
    <n v="1"/>
    <n v="50"/>
    <x v="4"/>
    <x v="12"/>
    <d v="2015-10-14T13:57:11"/>
    <d v="2015-11-25T14:57:11"/>
    <n v="141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d v="2015-04-15T22:59:00"/>
    <n v="2281.052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418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d v="2013-11-22T12:35:13"/>
    <n v="254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d v="2016-09-16T23:10:04"/>
    <n v="10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d v="2013-11-11T14:19:08"/>
    <n v="224.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d v="2012-02-12T02:49:26"/>
    <n v="9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d v="2013-10-16T09:59:00"/>
    <n v="27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d v="2013-01-16T18:33:17"/>
    <n v="4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d v="2015-02-28T15:10:00"/>
    <n v="64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d v="2009-12-01T04:59:00"/>
    <n v="120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d v="2014-01-07T00:39:58"/>
    <n v="50"/>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d v="2013-04-08T19:17:37"/>
    <n v="104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d v="2013-09-01T00:32:03"/>
    <n v="81.8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d v="2013-11-29T14:28:15"/>
    <n v="32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d v="2011-03-10T19:48:47"/>
    <n v="65"/>
  </r>
  <r>
    <n v="873"/>
    <s v="The Dreamer-An Original Jazz CD"/>
    <s v="Fall in love with &quot;The Dreamer&quot;, new original music from trumpeter Freddie Dunn!"/>
    <n v="3500"/>
    <n v="45"/>
    <x v="2"/>
    <x v="0"/>
    <s v="USD"/>
    <n v="1352610040"/>
    <n v="1349150440"/>
    <b v="0"/>
    <n v="5"/>
    <b v="0"/>
    <s v="music/jazz"/>
    <n v="1.2857142857142857E-2"/>
    <n v="9"/>
    <x v="4"/>
    <x v="13"/>
    <d v="2012-10-02T04:00:40"/>
    <d v="2012-11-11T05:00:40"/>
    <n v="4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d v="2013-05-04T14:00:34"/>
    <n v="7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0"/>
  </r>
  <r>
    <n v="876"/>
    <s v="Sound Of Dobells"/>
    <s v="What was the greatest record shop ever?  DOBELLS!"/>
    <n v="3152"/>
    <n v="1286"/>
    <x v="2"/>
    <x v="1"/>
    <s v="GBP"/>
    <n v="1359978927"/>
    <n v="1357127727"/>
    <b v="0"/>
    <n v="45"/>
    <b v="0"/>
    <s v="music/jazz"/>
    <n v="0.40799492385786801"/>
    <n v="28.577777777777779"/>
    <x v="4"/>
    <x v="13"/>
    <d v="2013-01-02T11:55:27"/>
    <d v="2013-02-04T11:55:27"/>
    <n v="1697.5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d v="2013-12-19T18:56:00"/>
    <n v="135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d v="2010-12-23T05:35:24"/>
    <n v="6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d v="2012-05-29T19:55:05"/>
    <n v="64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d v="2012-10-30T07:42:18"/>
    <n v="1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d v="2012-01-14T06:01:26"/>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d v="2011-09-06T20:39:10"/>
    <n v="30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d v="2016-03-02T22:27:15"/>
    <n v="200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d v="2012-05-12T02:31:00"/>
    <n v="2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d v="2016-12-30T22:35:11"/>
    <n v="75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d v="2016-09-15T20:53:33"/>
    <n v="20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d v="2011-09-01T06:00:00"/>
    <n v="7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d v="2014-10-05T18:49:03"/>
    <n v="2360.320000000000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d v="2013-11-21T17:46:19"/>
    <n v="12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d v="2014-08-21T00:45:30"/>
    <n v="26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d v="2010-08-01T04:00:00"/>
    <n v="244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d v="2015-04-01T20:32:43"/>
    <n v="20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d v="2016-06-05T23:33:30"/>
    <n v="783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d v="2010-10-25T03:03:49"/>
    <n v="19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d v="2015-08-28T04:00:00"/>
    <n v="32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d v="2012-01-15T18:11:50"/>
    <n v="70"/>
  </r>
  <r>
    <n v="899"/>
    <s v="Lets get 48/14 pressed!!!"/>
    <s v="Lets get 48/14 pressed and in your cd players,ipods,blogs, and facebook status'. Lets get it everywhere!"/>
    <n v="750"/>
    <n v="280"/>
    <x v="2"/>
    <x v="0"/>
    <s v="USD"/>
    <n v="1306549362"/>
    <n v="1302661362"/>
    <b v="0"/>
    <n v="8"/>
    <b v="0"/>
    <s v="music/indie rock"/>
    <n v="0.37333333333333335"/>
    <n v="35"/>
    <x v="4"/>
    <x v="14"/>
    <d v="2011-04-13T02:22:42"/>
    <d v="2011-05-28T02:22:42"/>
    <n v="280"/>
  </r>
  <r>
    <n v="900"/>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d v="2016-03-30T19:23:22"/>
    <n v="2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d v="2014-08-30T15:30:00"/>
    <n v="9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d v="2012-09-23T02:25:00"/>
    <n v="16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d v="2016-01-03T01:55:37"/>
    <n v="15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d v="2011-01-24T05:45:26"/>
    <n v="196"/>
  </r>
  <r>
    <n v="906"/>
    <s v="24th Music Presents Channeling Motown (Live)"/>
    <s v="The DMV's most respected saxophonist pay tribute to Motown."/>
    <n v="15000"/>
    <n v="0"/>
    <x v="2"/>
    <x v="0"/>
    <s v="USD"/>
    <n v="1394681590"/>
    <n v="1392093190"/>
    <b v="0"/>
    <n v="0"/>
    <b v="0"/>
    <s v="music/jazz"/>
    <n v="0"/>
    <n v="0"/>
    <x v="4"/>
    <x v="13"/>
    <d v="2014-02-11T04:33:10"/>
    <d v="2014-03-13T03:33:10"/>
    <n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d v="2012-07-23T04:00:00"/>
    <n v="52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d v="2017-03-03T13:05:19"/>
    <n v="162.3600000000000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0"/>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d v="2012-12-11T03:37:27"/>
    <n v="3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d v="2012-05-05T03:20:19"/>
    <n v="1982"/>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d v="2012-03-01T04:59:00"/>
    <n v="37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d v="2014-07-14T02:30:00"/>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d v="2014-12-01T22:59:21"/>
    <n v="258.72000000000003"/>
  </r>
  <r>
    <n v="919"/>
    <s v="Jazz CD:  Out of The Blue"/>
    <s v="Cool jazz with a New Orleans flavor."/>
    <n v="20000"/>
    <n v="100"/>
    <x v="2"/>
    <x v="0"/>
    <s v="USD"/>
    <n v="1355930645"/>
    <n v="1352906645"/>
    <b v="0"/>
    <n v="1"/>
    <b v="0"/>
    <s v="music/jazz"/>
    <n v="5.0000000000000001E-3"/>
    <n v="100"/>
    <x v="4"/>
    <x v="13"/>
    <d v="2012-11-14T15:24:05"/>
    <d v="2012-12-19T15:24:05"/>
    <n v="10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d v="2011-12-12T05:06:16"/>
    <n v="4635"/>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d v="2014-10-01T12:43:13"/>
    <n v="568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d v="2014-11-22T00:02:03"/>
    <n v="33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d v="2013-02-13T22:37:49"/>
    <n v="327"/>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d v="2013-11-27T22:08:31"/>
    <n v="16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0"/>
  </r>
  <r>
    <n v="927"/>
    <s v="JETRO DA SILVA FUNK PROJECT"/>
    <s v="Studio CD/DVD Solo project of Pianist &amp; Keyboardist Jetro da Silva"/>
    <n v="20000"/>
    <n v="0"/>
    <x v="2"/>
    <x v="0"/>
    <s v="USD"/>
    <n v="1337024695"/>
    <n v="1334432695"/>
    <b v="0"/>
    <n v="0"/>
    <b v="0"/>
    <s v="music/jazz"/>
    <n v="0"/>
    <n v="0"/>
    <x v="4"/>
    <x v="13"/>
    <d v="2012-04-14T19:44:55"/>
    <d v="2012-05-14T19:44:55"/>
    <n v="0"/>
  </r>
  <r>
    <n v="928"/>
    <s v="In a Jazzy Motown"/>
    <s v="A real Motown Backup singer on 22 gold and platinum albums headlines her own Jazz CD of Motown songs."/>
    <n v="14500"/>
    <n v="1575"/>
    <x v="2"/>
    <x v="0"/>
    <s v="USD"/>
    <n v="1353196800"/>
    <n v="1348864913"/>
    <b v="0"/>
    <n v="28"/>
    <b v="0"/>
    <s v="music/jazz"/>
    <n v="0.10862068965517241"/>
    <n v="56.25"/>
    <x v="4"/>
    <x v="13"/>
    <d v="2012-09-28T20:41:53"/>
    <d v="2012-11-18T00:00:00"/>
    <n v="1575"/>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d v="2010-06-25T21:32:00"/>
    <n v="34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d v="2014-03-16T22:00:00"/>
    <n v="172.92000000000002"/>
  </r>
  <r>
    <n v="932"/>
    <s v="Mandy Harvey Christmas Album"/>
    <s v="Help me to create my 3rd album, a Christmas CD with 16 Holiday/Original favorites!"/>
    <n v="9500"/>
    <n v="1381"/>
    <x v="2"/>
    <x v="0"/>
    <s v="USD"/>
    <n v="1363990545"/>
    <n v="1360106145"/>
    <b v="0"/>
    <n v="30"/>
    <b v="0"/>
    <s v="music/jazz"/>
    <n v="0.14536842105263159"/>
    <n v="46.033333333333331"/>
    <x v="4"/>
    <x v="13"/>
    <d v="2013-02-05T23:15:45"/>
    <d v="2013-03-22T22:15:45"/>
    <n v="138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d v="2014-05-12T04:03:29"/>
    <n v="120"/>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d v="2014-05-04T06:00:00"/>
    <n v="1155.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d v="2016-01-29T08:00:29"/>
    <n v="5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d v="2013-11-03T20:09:17"/>
    <n v="40"/>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d v="2012-09-02T11:30:48"/>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d v="2013-06-30T19:58:00"/>
    <n v="4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d v="2015-08-11T00:12:06"/>
    <n v="154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d v="2017-02-10T02:19:05"/>
    <n v="116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d v="2016-02-18T20:14:20"/>
    <n v="668"/>
  </r>
  <r>
    <n v="943"/>
    <s v="SleepMode"/>
    <s v="A mask for home or travel that will give you the best, undisturbed sleep of your life."/>
    <n v="3000"/>
    <n v="289"/>
    <x v="2"/>
    <x v="0"/>
    <s v="USD"/>
    <n v="1480438905"/>
    <n v="1477843305"/>
    <b v="0"/>
    <n v="12"/>
    <b v="0"/>
    <s v="technology/wearables"/>
    <n v="9.633333333333334E-2"/>
    <n v="24.083333333333332"/>
    <x v="2"/>
    <x v="8"/>
    <d v="2016-10-30T16:01:45"/>
    <d v="2016-11-29T17:01:45"/>
    <n v="28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d v="2016-04-18T14:00:00"/>
    <n v="6663"/>
  </r>
  <r>
    <n v="945"/>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d v="2017-02-18T23:59:00"/>
    <n v="2931.12"/>
  </r>
  <r>
    <n v="946"/>
    <s v="OmniTrade Apron"/>
    <s v="Soft edged-Hard working. The perfect wearable organization for the home and professional shop."/>
    <n v="15000"/>
    <n v="286"/>
    <x v="2"/>
    <x v="0"/>
    <s v="USD"/>
    <n v="1473444048"/>
    <n v="1470852048"/>
    <b v="0"/>
    <n v="5"/>
    <b v="0"/>
    <s v="technology/wearables"/>
    <n v="1.9066666666666666E-2"/>
    <n v="57.2"/>
    <x v="2"/>
    <x v="8"/>
    <d v="2016-08-10T18:00:48"/>
    <d v="2016-09-09T18:00:48"/>
    <n v="28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0"/>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d v="2016-03-12T19:52:44"/>
    <n v="566.4"/>
  </r>
  <r>
    <n v="949"/>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d v="2016-02-21T01:02:56"/>
    <n v="322.14"/>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d v="2016-01-17T18:01:01"/>
    <n v="1065.52"/>
  </r>
  <r>
    <n v="951"/>
    <s v="Smart Harness"/>
    <s v="Revolutionizing the way we walk our dogs!"/>
    <n v="50000"/>
    <n v="19195"/>
    <x v="2"/>
    <x v="0"/>
    <s v="USD"/>
    <n v="1465054872"/>
    <n v="1461166872"/>
    <b v="0"/>
    <n v="121"/>
    <b v="0"/>
    <s v="technology/wearables"/>
    <n v="0.38390000000000002"/>
    <n v="158.63636363636363"/>
    <x v="2"/>
    <x v="8"/>
    <d v="2016-04-20T15:41:12"/>
    <d v="2016-06-04T15:41:12"/>
    <n v="19195"/>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d v="2016-11-18T15:43:32"/>
    <n v="1957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d v="2015-01-25T03:56:39"/>
    <n v="12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d v="2015-08-20T20:00:39"/>
    <n v="651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d v="2016-09-13T07:05:00"/>
    <n v="16984"/>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d v="2015-04-26T20:55:59"/>
    <n v="86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d v="2016-11-17T14:15:33"/>
    <n v="2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d v="2015-04-10T04:59:00"/>
    <n v="88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d v="2015-01-19T04:11:05"/>
    <n v="194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d v="2017-03-14T14:02:35"/>
    <n v="2565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d v="2017-02-20T19:00:00"/>
    <n v="4007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d v="2016-02-11T17:05:53"/>
    <n v="712"/>
  </r>
  <r>
    <n v="963"/>
    <s v="The Ultimate Learning Center"/>
    <s v="WE are molding an educated, motivated, non violent GENERATION!"/>
    <n v="35000"/>
    <n v="377"/>
    <x v="2"/>
    <x v="0"/>
    <s v="USD"/>
    <n v="1476717319"/>
    <n v="1473693319"/>
    <b v="0"/>
    <n v="9"/>
    <b v="0"/>
    <s v="technology/wearables"/>
    <n v="1.0771428571428571E-2"/>
    <n v="41.888888888888886"/>
    <x v="2"/>
    <x v="8"/>
    <d v="2016-09-12T15:15:19"/>
    <d v="2016-10-17T15:15:19"/>
    <n v="377"/>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d v="2015-09-01T15:05:19"/>
    <n v="668.0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d v="2016-10-26T03:59:00"/>
    <n v="29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d v="2016-10-06T15:15:32"/>
    <n v="1776"/>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d v="2016-04-22T05:06:14"/>
    <n v="356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d v="2014-08-15T20:20:34"/>
    <n v="106"/>
  </r>
  <r>
    <n v="969"/>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d v="2017-02-09T07:16:47"/>
    <n v="644"/>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d v="2017-01-23T04:59:00"/>
    <n v="1744.9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d v="2015-06-01T17:01:00"/>
    <n v="22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d v="2014-09-04T06:59:00"/>
    <n v="692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d v="2015-11-09T01:21:33"/>
    <n v="41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d v="2016-03-25T16:59:16"/>
    <n v="28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d v="2016-06-28T16:43:05"/>
    <n v="2607"/>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d v="2015-08-14T01:24:57"/>
    <n v="2108.969999999999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d v="2016-02-21T22:36:37"/>
    <n v="1072.619999999999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d v="2016-02-25T07:25:01"/>
    <n v="10700.03"/>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d v="2016-06-20T18:59:00"/>
    <n v="28986.1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d v="2014-11-30T22:42:02"/>
    <n v="148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d v="2014-08-09T22:43:42"/>
    <n v="11"/>
  </r>
  <r>
    <n v="982"/>
    <s v="Smart 2-in-1 I-PHONE HANDLE/WALLETtm"/>
    <s v="revolutonary ultra-slim 2-in-1 Smart  2-in-1 I-PHONE handle/WALLETtm with 360 rotatiion"/>
    <n v="17500"/>
    <n v="3"/>
    <x v="2"/>
    <x v="0"/>
    <s v="USD"/>
    <n v="1475431486"/>
    <n v="1472839486"/>
    <b v="0"/>
    <n v="3"/>
    <b v="0"/>
    <s v="technology/wearables"/>
    <n v="1.7142857142857143E-4"/>
    <n v="1"/>
    <x v="2"/>
    <x v="8"/>
    <d v="2016-09-02T18:04:46"/>
    <d v="2016-10-02T18:04:46"/>
    <n v="3"/>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d v="2016-08-23T20:54:00"/>
    <n v="36286.1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d v="2015-03-28T01:46:48"/>
    <n v="10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d v="2015-12-31T23:00:00"/>
    <n v="2227.8399999999997"/>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d v="2016-01-10T00:00:00"/>
    <n v="336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d v="2014-06-23T07:04:10"/>
    <n v="7799.799999999999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0"/>
  </r>
  <r>
    <n v="989"/>
    <s v="Power Rope"/>
    <s v="The most useful phone charger you will ever buy"/>
    <n v="10000"/>
    <n v="1677"/>
    <x v="2"/>
    <x v="0"/>
    <s v="USD"/>
    <n v="1475101495"/>
    <n v="1472509495"/>
    <b v="0"/>
    <n v="32"/>
    <b v="0"/>
    <s v="technology/wearables"/>
    <n v="0.16769999999999999"/>
    <n v="52.40625"/>
    <x v="2"/>
    <x v="8"/>
    <d v="2016-08-29T22:24:55"/>
    <d v="2016-09-28T22:24:55"/>
    <n v="1677"/>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d v="2014-09-03T18:49:24"/>
    <n v="2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d v="2016-07-12T18:51:00"/>
    <n v="279.84000000000003"/>
  </r>
  <r>
    <n v="992"/>
    <s v="WairConditioning"/>
    <s v="The HOTTEST and COOLEST thing yet! WairConditioning... an entirely new level of comfortability!"/>
    <n v="100000"/>
    <n v="467"/>
    <x v="2"/>
    <x v="0"/>
    <s v="USD"/>
    <n v="1462655519"/>
    <n v="1457475119"/>
    <b v="0"/>
    <n v="4"/>
    <b v="0"/>
    <s v="technology/wearables"/>
    <n v="4.6699999999999997E-3"/>
    <n v="116.75"/>
    <x v="2"/>
    <x v="8"/>
    <d v="2016-03-08T22:11:59"/>
    <d v="2016-05-07T21:11:59"/>
    <n v="46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d v="2016-11-12T05:00:00"/>
    <n v="1756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d v="2014-11-30T22:59:00"/>
    <n v="466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d v="2014-11-29T16:00:00"/>
    <n v="726"/>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d v="2014-07-27T15:27:00"/>
    <n v="65"/>
  </r>
  <r>
    <n v="997"/>
    <s v="iPhanny"/>
    <s v="The iPhanny keeps your iPhone 6 safe from bending in those dangerous pants pockets."/>
    <n v="5000"/>
    <n v="65"/>
    <x v="2"/>
    <x v="0"/>
    <s v="USD"/>
    <n v="1417145297"/>
    <n v="1414549697"/>
    <b v="0"/>
    <n v="8"/>
    <b v="0"/>
    <s v="technology/wearables"/>
    <n v="1.2999999999999999E-2"/>
    <n v="8.125"/>
    <x v="2"/>
    <x v="8"/>
    <d v="2014-10-29T02:28:17"/>
    <d v="2014-11-28T03:28:17"/>
    <n v="65"/>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d v="2015-11-19T05:03:21"/>
    <n v="26702.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d v="2014-11-13T08:02:00"/>
    <n v="8879.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d v="2017-03-15T00:26:00"/>
    <n v="1982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686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d v="2015-12-17T05:59:00"/>
    <n v="296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d v="2017-03-16T16:01:01"/>
    <n v="3788.9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d v="2016-02-18T17:00:27"/>
    <n v="2055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d v="2015-10-30T14:59:43"/>
    <n v="15010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d v="2014-12-12T07:11:00"/>
    <n v="23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d v="2016-12-14T15:00:23"/>
    <n v="1329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d v="2016-12-28T19:25:15"/>
    <n v="1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d v="2016-06-19T14:30:46"/>
    <n v="65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d v="2016-09-05T02:59:00"/>
    <n v="22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d v="2014-12-18T21:33:1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d v="2017-01-24T10:34:12"/>
    <n v="1076751.0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d v="2015-12-29T20:00:00"/>
    <n v="863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d v="2015-01-01T00:03:35"/>
    <n v="306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d v="2015-11-25T22:04:55"/>
    <n v="220.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d v="2016-04-07T01:34:16"/>
    <n v="284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d v="2015-11-21T17:12:15"/>
    <n v="57197"/>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d v="2016-07-14T11:48:53"/>
    <n v="62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d v="2015-02-04T23:22:29"/>
    <n v="213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2421.3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d v="2015-10-17T04:00:00"/>
    <n v="10554.1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2298"/>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d v="2015-06-20T22:04:21"/>
    <n v="6260.7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d v="2016-01-31T13:56:03"/>
    <n v="2610.0304999999998"/>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d v="2015-03-16T19:00:37"/>
    <n v="76949.82000000000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9240.765600000000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d v="2014-10-23T00:49:07"/>
    <n v="773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15479.64000000000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1229.3599999999999"/>
  </r>
  <r>
    <n v="1030"/>
    <s v="The Gothsicles - I FEEL SICLE"/>
    <s v="Help fund the latest Gothsicles mega-album, I FEEL SICLE!"/>
    <n v="2000"/>
    <n v="6842"/>
    <x v="0"/>
    <x v="0"/>
    <s v="USD"/>
    <n v="1473680149"/>
    <n v="1472470549"/>
    <b v="0"/>
    <n v="159"/>
    <b v="1"/>
    <s v="music/electronic music"/>
    <n v="3.4209999999999998"/>
    <n v="43.031446540880502"/>
    <x v="4"/>
    <x v="15"/>
    <d v="2016-08-29T11:35:49"/>
    <d v="2016-09-12T11:35:49"/>
    <n v="684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d v="2015-12-16T18:20:10"/>
    <n v="10740"/>
  </r>
  <r>
    <n v="1032"/>
    <s v="Phantom Ship / Coastal (Album Preorder)"/>
    <s v="Ideal for living rooms and open spaces."/>
    <n v="5400"/>
    <n v="5858.84"/>
    <x v="0"/>
    <x v="0"/>
    <s v="USD"/>
    <n v="1466697625"/>
    <n v="1464105625"/>
    <b v="0"/>
    <n v="96"/>
    <b v="1"/>
    <s v="music/electronic music"/>
    <n v="1.0849703703703704"/>
    <n v="61.029583333333335"/>
    <x v="4"/>
    <x v="15"/>
    <d v="2016-05-24T16:00:25"/>
    <d v="2016-06-23T16:00:25"/>
    <n v="5858.8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1803.120000000000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d v="2016-08-05T03:59:00"/>
    <n v="6500.09"/>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4952"/>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5056.22"/>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d v="2015-05-18T05:00:00"/>
    <n v="102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218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d v="2016-12-13T07:59:00"/>
    <n v="64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d v="2016-08-27T17:00:09"/>
    <n v="25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d v="2014-09-12T10:00:00"/>
    <n v="1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d v="2015-05-20T06:04:15"/>
    <n v="853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d v="2015-03-05T20:27:00"/>
    <n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d v="2014-08-23T20:59:10"/>
    <n v="26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d v="2014-11-05T20:38:3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d v="2016-09-25T01:16:29"/>
    <n v="212"/>
  </r>
  <r>
    <n v="1049"/>
    <s v="J1 (Canceled)"/>
    <s v="------"/>
    <n v="12000"/>
    <n v="0"/>
    <x v="1"/>
    <x v="0"/>
    <s v="USD"/>
    <n v="1455272445"/>
    <n v="1452680445"/>
    <b v="0"/>
    <n v="0"/>
    <b v="0"/>
    <s v="journalism/audio"/>
    <n v="0"/>
    <n v="0"/>
    <x v="5"/>
    <x v="16"/>
    <d v="2016-01-13T10:20:45"/>
    <d v="2016-02-12T10:20:45"/>
    <n v="0"/>
  </r>
  <r>
    <n v="1050"/>
    <s v="The (Secular) Barbershop Podcast (Canceled)"/>
    <s v="Secularism is on the rise and I hear you.Talk to me."/>
    <n v="2500"/>
    <n v="0"/>
    <x v="1"/>
    <x v="0"/>
    <s v="USD"/>
    <n v="1442257677"/>
    <n v="1439665677"/>
    <b v="0"/>
    <n v="0"/>
    <b v="0"/>
    <s v="journalism/audio"/>
    <n v="0"/>
    <n v="0"/>
    <x v="5"/>
    <x v="16"/>
    <d v="2015-08-15T19:07:57"/>
    <d v="2015-09-14T19:07:57"/>
    <n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d v="2017-03-06T04:08:52"/>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0"/>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0"/>
  </r>
  <r>
    <n v="1059"/>
    <s v="Voice Over Artist (Canceled)"/>
    <s v="Turning myself into a vocal artist."/>
    <n v="1100"/>
    <n v="0"/>
    <x v="1"/>
    <x v="0"/>
    <s v="USD"/>
    <n v="1426269456"/>
    <n v="1423681056"/>
    <b v="0"/>
    <n v="0"/>
    <b v="0"/>
    <s v="journalism/audio"/>
    <n v="0"/>
    <n v="0"/>
    <x v="5"/>
    <x v="16"/>
    <d v="2015-02-11T18:57:36"/>
    <d v="2015-03-13T17:57:36"/>
    <n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d v="2015-04-15T21:54:53"/>
    <n v="5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0"/>
  </r>
  <r>
    <n v="1062"/>
    <s v="RETURNING AT A LATER DATE"/>
    <s v="SEE US ON PATREON www.badgirlartwork.com"/>
    <n v="199"/>
    <n v="190"/>
    <x v="1"/>
    <x v="0"/>
    <s v="USD"/>
    <n v="1468351341"/>
    <n v="1467746541"/>
    <b v="0"/>
    <n v="4"/>
    <b v="0"/>
    <s v="journalism/audio"/>
    <n v="0.95477386934673369"/>
    <n v="47.5"/>
    <x v="5"/>
    <x v="16"/>
    <d v="2016-07-05T19:22:21"/>
    <d v="2016-07-12T19:22:21"/>
    <n v="19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d v="2013-07-07T05:28:23"/>
    <n v="807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d v="2014-02-19T09:08:42"/>
    <n v="59.12999999999999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d v="2013-08-04T23:06:22"/>
    <n v="505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d v="2013-12-21T20:32:11"/>
    <n v="130"/>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d v="2016-04-10T07:54:24"/>
    <n v="4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d v="2013-11-26T06:30:59"/>
    <n v="85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d v="2012-10-01T00:17:02"/>
    <n v="70"/>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d v="2014-02-05T19:58:17"/>
    <n v="51"/>
  </r>
  <r>
    <n v="1073"/>
    <s v="Rainbow Ball to the Iphone"/>
    <s v="We want to bring our Game Rainbow Ball to the iphone and to do that we need a little help"/>
    <n v="750"/>
    <n v="10"/>
    <x v="2"/>
    <x v="0"/>
    <s v="USD"/>
    <n v="1318806541"/>
    <n v="1316214541"/>
    <b v="0"/>
    <n v="1"/>
    <b v="0"/>
    <s v="games/video games"/>
    <n v="1.3333333333333334E-2"/>
    <n v="10"/>
    <x v="6"/>
    <x v="17"/>
    <d v="2011-09-16T23:09:01"/>
    <d v="2011-10-16T23:09:01"/>
    <n v="1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d v="2014-01-04T04:09:05"/>
    <n v="3407"/>
  </r>
  <r>
    <n v="1075"/>
    <s v="Towers Of The Apocalypse"/>
    <s v="Fully 3D, post Apocalyptic themed tower defense video game. New take on the genre."/>
    <n v="1000"/>
    <n v="45"/>
    <x v="2"/>
    <x v="0"/>
    <s v="USD"/>
    <n v="1336340516"/>
    <n v="1333748516"/>
    <b v="0"/>
    <n v="3"/>
    <b v="0"/>
    <s v="games/video games"/>
    <n v="4.4999999999999998E-2"/>
    <n v="15"/>
    <x v="6"/>
    <x v="17"/>
    <d v="2012-04-06T21:41:56"/>
    <d v="2012-05-06T21:41:56"/>
    <n v="4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d v="2014-09-11T09:04:10"/>
    <n v="47074"/>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d v="2016-01-14T04:00:11"/>
    <n v="7344"/>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d v="2011-07-22T04:42:0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d v="2016-05-14T13:35:36"/>
    <n v="800.04"/>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d v="2014-05-11T03:18:53"/>
    <n v="1821"/>
  </r>
  <r>
    <n v="1081"/>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d v="2015-01-28T22:14:52"/>
    <n v="1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d v="2012-08-10T21:44:48"/>
    <n v="5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d v="2014-08-02T15:49:43"/>
    <n v="311.60000000000002"/>
  </r>
  <r>
    <n v="1084"/>
    <s v="My own channel"/>
    <s v="I want to start my own channel for gaming"/>
    <n v="550"/>
    <n v="0"/>
    <x v="2"/>
    <x v="0"/>
    <s v="USD"/>
    <n v="1407534804"/>
    <n v="1404942804"/>
    <b v="0"/>
    <n v="0"/>
    <b v="0"/>
    <s v="games/video games"/>
    <n v="0"/>
    <n v="0"/>
    <x v="6"/>
    <x v="17"/>
    <d v="2014-07-09T21:53:24"/>
    <d v="2014-08-08T21:53:24"/>
    <n v="0"/>
  </r>
  <r>
    <n v="1085"/>
    <s v="Sun Dryd Studios"/>
    <s v="The new kid on the block. Re-imagining old games and creating new ones. Ship, Lazer, Rock is first."/>
    <n v="30000"/>
    <n v="1026"/>
    <x v="2"/>
    <x v="5"/>
    <s v="CAD"/>
    <n v="1457967975"/>
    <n v="1455379575"/>
    <b v="0"/>
    <n v="9"/>
    <b v="0"/>
    <s v="games/video games"/>
    <n v="3.4200000000000001E-2"/>
    <n v="114"/>
    <x v="6"/>
    <x v="17"/>
    <d v="2016-02-13T16:06:15"/>
    <d v="2016-03-14T15:06:15"/>
    <n v="779.76"/>
  </r>
  <r>
    <n v="1086"/>
    <s v="Cyber Universe Online"/>
    <s v="Humanity's future in the Galaxy"/>
    <n v="18000"/>
    <n v="15"/>
    <x v="2"/>
    <x v="0"/>
    <s v="USD"/>
    <n v="1408913291"/>
    <n v="1406321291"/>
    <b v="0"/>
    <n v="2"/>
    <b v="0"/>
    <s v="games/video games"/>
    <n v="8.3333333333333339E-4"/>
    <n v="7.5"/>
    <x v="6"/>
    <x v="17"/>
    <d v="2014-07-25T20:48:11"/>
    <d v="2014-08-24T20:48:11"/>
    <n v="15"/>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0"/>
  </r>
  <r>
    <n v="1088"/>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d v="2014-04-24T19:11:07"/>
    <n v="6382.34"/>
  </r>
  <r>
    <n v="1089"/>
    <s v="Farabel"/>
    <s v="Farabel is a single player turn-based fantasy strategy game for Mac/PC/Linux"/>
    <n v="15000"/>
    <n v="1174"/>
    <x v="2"/>
    <x v="6"/>
    <s v="EUR"/>
    <n v="1435293175"/>
    <n v="1432701175"/>
    <b v="0"/>
    <n v="49"/>
    <b v="0"/>
    <s v="games/video games"/>
    <n v="7.8266666666666665E-2"/>
    <n v="23.959183673469386"/>
    <x v="6"/>
    <x v="17"/>
    <d v="2015-05-27T04:32:55"/>
    <d v="2015-06-26T04:32:55"/>
    <n v="1385.3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d v="2015-05-29T04:27:33"/>
    <n v="3.6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d v="2016-04-10T18:41:12"/>
    <n v="3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d v="2013-01-06T00:37:18"/>
    <n v="2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d v="2016-02-11T23:22:17"/>
    <n v="32.1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d v="2011-10-09T17:07:13"/>
    <n v="3294.0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d v="2013-08-30T12:53:40"/>
    <n v="2517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d v="2014-10-04T03:30:00"/>
    <n v="2152"/>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d v="2014-03-02T19:01:17"/>
    <n v="47"/>
  </r>
  <r>
    <n v="1098"/>
    <s v="Kick, Punch... Fireball"/>
    <s v="Kick, Punch... Fireball is an FPS type arena game set inside the fantasy world."/>
    <n v="25000"/>
    <n v="1803"/>
    <x v="2"/>
    <x v="0"/>
    <s v="USD"/>
    <n v="1397413095"/>
    <n v="1394821095"/>
    <b v="0"/>
    <n v="22"/>
    <b v="0"/>
    <s v="games/video games"/>
    <n v="7.2120000000000004E-2"/>
    <n v="81.954545454545453"/>
    <x v="6"/>
    <x v="17"/>
    <d v="2014-03-14T18:18:15"/>
    <d v="2014-04-13T18:18:15"/>
    <n v="180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d v="2015-05-13T20:04:28"/>
    <n v="33"/>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d v="2016-02-14T02:39:31"/>
    <n v="118"/>
  </r>
  <r>
    <n v="1101"/>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d v="2016-07-14T18:12:00"/>
    <n v="4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d v="2013-12-09T05:59:00"/>
    <n v="42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d v="2016-06-18T05:19:50"/>
    <n v="24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d v="2014-06-11T09:50:21"/>
    <n v="3921.720000000000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d v="2014-03-24T02:15:27"/>
    <n v="143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d v="2012-04-04T16:46:15"/>
    <n v="16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d v="2012-04-13T14:17:15"/>
    <n v="732.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d v="2016-11-18T19:03:10"/>
    <n v="4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d v="2012-12-07T22:23:42"/>
    <n v="25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d v="2016-01-08T04:53:10"/>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d v="2015-01-19T08:30:00"/>
    <n v="31272.9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d v="2014-08-14T23:27:00"/>
    <n v="6.600000000000000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d v="2013-10-09T08:18:07"/>
    <n v="13.20000000000000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d v="2016-03-30T15:41:35"/>
    <n v="53"/>
  </r>
  <r>
    <n v="1116"/>
    <s v="Quest Remnants of Chaos"/>
    <s v="A medieval, post apocolyptic, Online, MMORPG. Class morphing, character customization game."/>
    <n v="500000"/>
    <n v="178.52"/>
    <x v="2"/>
    <x v="0"/>
    <s v="USD"/>
    <n v="1339273208"/>
    <n v="1334089208"/>
    <b v="0"/>
    <n v="10"/>
    <b v="0"/>
    <s v="games/video games"/>
    <n v="3.5704000000000004E-4"/>
    <n v="17.852"/>
    <x v="6"/>
    <x v="17"/>
    <d v="2012-04-10T20:20:08"/>
    <d v="2012-06-09T20:20:08"/>
    <n v="178.52"/>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d v="2015-12-25T14:21:53"/>
    <n v="97.9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d v="2014-04-05T02:59:39"/>
    <n v="79.56999999999999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d v="2014-04-06T19:01:04"/>
    <n v="5"/>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0"/>
  </r>
  <r>
    <n v="1121"/>
    <s v="Pwincess"/>
    <s v="An action packed, side scrolling, platform jumping, laser shooting ADVENTURE that will be fun for everyone."/>
    <n v="250000"/>
    <n v="29"/>
    <x v="2"/>
    <x v="0"/>
    <s v="USD"/>
    <n v="1457904316"/>
    <n v="1455315916"/>
    <b v="0"/>
    <n v="5"/>
    <b v="0"/>
    <s v="games/video games"/>
    <n v="1.16E-4"/>
    <n v="5.8"/>
    <x v="6"/>
    <x v="17"/>
    <d v="2016-02-12T22:25:16"/>
    <d v="2016-03-13T21:25:16"/>
    <n v="29"/>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0"/>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d v="2014-04-19T12:34:08"/>
    <n v="1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d v="2015-04-30T16:00:51"/>
    <n v="425"/>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0"/>
  </r>
  <r>
    <n v="1126"/>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d v="2016-07-14T07:51:34"/>
    <n v="1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d v="2014-11-14T21:30:00"/>
    <n v="585"/>
  </r>
  <r>
    <n v="1128"/>
    <s v="Flying Turds"/>
    <s v="#havingfunFTW"/>
    <n v="1000"/>
    <n v="1"/>
    <x v="2"/>
    <x v="1"/>
    <s v="GBP"/>
    <n v="1407425717"/>
    <n v="1404833717"/>
    <b v="0"/>
    <n v="1"/>
    <b v="0"/>
    <s v="games/mobile games"/>
    <n v="1E-3"/>
    <n v="1"/>
    <x v="6"/>
    <x v="18"/>
    <d v="2014-07-08T15:35:17"/>
    <d v="2014-08-07T15:35:17"/>
    <n v="1.32"/>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d v="2016-06-05T06:21:33"/>
    <n v="2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d v="2014-11-26T00:55:00"/>
    <n v="11"/>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d v="2017-01-01T02:46:11"/>
    <n v="1092.880000000000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d v="2014-07-31T09:46:21"/>
    <n v="26.400000000000002"/>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d v="2014-11-29T04:33:00"/>
    <n v="0.7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d v="2016-08-06T23:44:54"/>
    <n v="5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d v="2015-12-19T16:07:09"/>
    <n v="318.59999999999997"/>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d v="2016-04-23T19:40:21"/>
    <n v="9875"/>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d v="2017-01-21T21:45:31"/>
    <n v="125"/>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d v="2015-01-01T08:20:26"/>
    <n v="5"/>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0"/>
  </r>
  <r>
    <n v="1141"/>
    <s v="Arena Z - Zombie Survival"/>
    <s v="I think this will be a great game!"/>
    <n v="500"/>
    <n v="0"/>
    <x v="2"/>
    <x v="12"/>
    <s v="EUR"/>
    <n v="1436460450"/>
    <n v="1433868450"/>
    <b v="0"/>
    <n v="0"/>
    <b v="0"/>
    <s v="games/mobile games"/>
    <n v="0"/>
    <n v="0"/>
    <x v="6"/>
    <x v="18"/>
    <d v="2015-06-09T16:47:30"/>
    <d v="2015-07-09T16:47:30"/>
    <n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d v="2015-12-17T04:38:46"/>
    <n v="18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0"/>
  </r>
  <r>
    <n v="1145"/>
    <s v="A FORK IN THE ROAD food truck"/>
    <s v="Emphasizing locally and responsibly raised ingredients, serving delicious food! I need your help."/>
    <n v="80000"/>
    <n v="100"/>
    <x v="2"/>
    <x v="0"/>
    <s v="USD"/>
    <n v="1412272592"/>
    <n v="1407088592"/>
    <b v="0"/>
    <n v="1"/>
    <b v="0"/>
    <s v="food/food trucks"/>
    <n v="1.25E-3"/>
    <n v="100"/>
    <x v="7"/>
    <x v="19"/>
    <d v="2014-08-03T17:56:32"/>
    <d v="2014-10-02T17:56:32"/>
    <n v="10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d v="2014-05-02T22:52:53"/>
    <n v="53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0"/>
  </r>
  <r>
    <n v="1148"/>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d v="2016-12-01T05:06:21"/>
    <n v="73"/>
  </r>
  <r>
    <n v="1149"/>
    <s v="The Floridian Food Truck"/>
    <s v="Bringing culturally diverse Floridian cuisine to the people!"/>
    <n v="50000"/>
    <n v="75"/>
    <x v="2"/>
    <x v="0"/>
    <s v="USD"/>
    <n v="1466096566"/>
    <n v="1463504566"/>
    <b v="0"/>
    <n v="2"/>
    <b v="0"/>
    <s v="food/food trucks"/>
    <n v="1.5E-3"/>
    <n v="37.5"/>
    <x v="7"/>
    <x v="19"/>
    <d v="2016-05-17T17:02:46"/>
    <d v="2016-06-16T17:02:46"/>
    <n v="75"/>
  </r>
  <r>
    <n v="1150"/>
    <s v="Chef Po's Food Truck"/>
    <s v="Bringing delicious authentic and fusion Taiwanese Food to the West Coast."/>
    <n v="2500"/>
    <n v="252"/>
    <x v="2"/>
    <x v="0"/>
    <s v="USD"/>
    <n v="1452293675"/>
    <n v="1447109675"/>
    <b v="0"/>
    <n v="6"/>
    <b v="0"/>
    <s v="food/food trucks"/>
    <n v="0.1008"/>
    <n v="42"/>
    <x v="7"/>
    <x v="19"/>
    <d v="2015-11-09T22:54:35"/>
    <d v="2016-01-08T22:54:35"/>
    <n v="25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0"/>
  </r>
  <r>
    <n v="1152"/>
    <s v="Peruvian King Food Truck"/>
    <s v="Peruvian food truck with an LA twist."/>
    <n v="16000"/>
    <n v="911"/>
    <x v="2"/>
    <x v="0"/>
    <s v="USD"/>
    <n v="1431709312"/>
    <n v="1429117312"/>
    <b v="0"/>
    <n v="15"/>
    <b v="0"/>
    <s v="food/food trucks"/>
    <n v="5.6937500000000002E-2"/>
    <n v="60.733333333333334"/>
    <x v="7"/>
    <x v="19"/>
    <d v="2015-04-15T17:01:52"/>
    <d v="2015-05-15T17:01:52"/>
    <n v="911"/>
  </r>
  <r>
    <n v="1153"/>
    <s v="The Cold Spot Mobile Trailer"/>
    <s v="A mobile concession trailer for snow cones, ice cream, smoothies and more"/>
    <n v="8000"/>
    <n v="50"/>
    <x v="2"/>
    <x v="0"/>
    <s v="USD"/>
    <n v="1434647305"/>
    <n v="1432055305"/>
    <b v="0"/>
    <n v="1"/>
    <b v="0"/>
    <s v="food/food trucks"/>
    <n v="6.2500000000000003E-3"/>
    <n v="50"/>
    <x v="7"/>
    <x v="19"/>
    <d v="2015-05-19T17:08:25"/>
    <d v="2015-06-18T17:08:25"/>
    <n v="5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d v="2015-09-06T02:36:46"/>
    <n v="325"/>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d v="2014-08-14T18:20:08"/>
    <n v="188"/>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d v="2014-12-05T16:04:40"/>
    <n v="15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d v="2014-12-09T02:12:08"/>
    <n v="35"/>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d v="2015-03-28T02:43:06"/>
    <n v="115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d v="2014-09-25T16:24:24"/>
    <n v="3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d v="2014-07-06T05:08:50"/>
    <n v="2070.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d v="2015-06-26T04:00:00"/>
    <n v="287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d v="2014-09-12T17:38:15"/>
    <n v="97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d v="2016-09-22T01:17:45"/>
    <n v="10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d v="2015-02-22T08:29:23"/>
    <n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d v="2015-05-30T21:26:11"/>
    <n v="132"/>
  </r>
  <r>
    <n v="1171"/>
    <s v="The Mean Green Purple Machine"/>
    <s v="Tulsa's first true biodiesel, alternative energy powered food truck! Oh yeah, and delicious food!"/>
    <n v="25000"/>
    <n v="25"/>
    <x v="2"/>
    <x v="0"/>
    <s v="USD"/>
    <n v="1415909927"/>
    <n v="1414351127"/>
    <b v="0"/>
    <n v="1"/>
    <b v="0"/>
    <s v="food/food trucks"/>
    <n v="1E-3"/>
    <n v="25"/>
    <x v="7"/>
    <x v="19"/>
    <d v="2014-10-26T19:18:47"/>
    <d v="2014-11-13T20:18:47"/>
    <n v="25"/>
  </r>
  <r>
    <n v="1172"/>
    <s v="let your dayz take you to the dogs."/>
    <s v="Bringing YOUR favorite dog recipes to the streets."/>
    <n v="9000"/>
    <n v="0"/>
    <x v="2"/>
    <x v="0"/>
    <s v="USD"/>
    <n v="1408551752"/>
    <n v="1405959752"/>
    <b v="0"/>
    <n v="0"/>
    <b v="0"/>
    <s v="food/food trucks"/>
    <n v="0"/>
    <n v="0"/>
    <x v="7"/>
    <x v="19"/>
    <d v="2014-07-21T16:22:32"/>
    <d v="2014-08-20T16:22:32"/>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d v="2015-08-03T04:27:37"/>
    <n v="3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d v="2016-05-08T20:12:07"/>
    <n v="88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d v="2015-07-15T17:28:59"/>
    <n v="58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d v="2017-03-06T13:00:00"/>
    <n v="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d v="2014-08-16T21:44:12"/>
    <n v="5"/>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d v="2015-10-28T17:17:07"/>
    <n v="2432"/>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d v="2014-06-28T19:21:54"/>
    <n v="5875"/>
  </r>
  <r>
    <n v="1181"/>
    <s v="Gringo Loco Tacos Food Truck"/>
    <s v="Bringing the best tacos to the streets of Chicago!"/>
    <n v="50000"/>
    <n v="4"/>
    <x v="2"/>
    <x v="0"/>
    <s v="USD"/>
    <n v="1425197321"/>
    <n v="1422605321"/>
    <b v="0"/>
    <n v="3"/>
    <b v="0"/>
    <s v="food/food trucks"/>
    <n v="8.0000000000000007E-5"/>
    <n v="1.3333333333333333"/>
    <x v="7"/>
    <x v="19"/>
    <d v="2015-01-30T08:08:41"/>
    <d v="2015-03-01T08:08:41"/>
    <n v="4"/>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d v="2017-01-12T16:42:00"/>
    <n v="4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d v="2016-11-02T03:59:00"/>
    <n v="1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d v="2017-02-06T14:23:31"/>
    <n v="30473.5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1318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10566.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d v="2015-05-17T18:00:00"/>
    <n v="911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d v="2016-12-28T16:49:00"/>
    <n v="2440.3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970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67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2945"/>
  </r>
  <r>
    <n v="1192"/>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d v="2017-02-11T12:09:38"/>
    <n v="382.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2183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d v="2015-04-08T11:42:59"/>
    <n v="47530.3999999999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1593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d v="2015-12-18T19:38:59"/>
    <n v="51660.84000000000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d v="2016-06-13T05:59:00"/>
    <n v="3799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d v="2015-12-31T03:00:00"/>
    <n v="91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554.7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6029"/>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8113.076400000000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6362.0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1670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d v="2015-12-04T05:00:00"/>
    <n v="13383"/>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15472.1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1221.3"/>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20527.2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d v="2016-03-24T16:01:04"/>
    <n v="1553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6360"/>
  </r>
  <r>
    <n v="1210"/>
    <s v="Det Andra GÃ¶teborg"/>
    <s v="En fotobok om livet i det enda andra GÃ¶teborg i vÃ¤rlden"/>
    <n v="20000"/>
    <n v="50863"/>
    <x v="0"/>
    <x v="11"/>
    <s v="SEK"/>
    <n v="1433106000"/>
    <n v="1431124572"/>
    <b v="0"/>
    <n v="103"/>
    <b v="1"/>
    <s v="photography/photobooks"/>
    <n v="2.5431499999999998"/>
    <n v="493.81553398058253"/>
    <x v="8"/>
    <x v="20"/>
    <d v="2015-05-08T22:36:12"/>
    <d v="2015-05-31T21:00:00"/>
    <n v="5594.93"/>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d v="2016-06-09T20:47:41"/>
    <n v="768.3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322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8771.4"/>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263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d v="2014-05-30T22:09:16"/>
    <n v="39304.0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d v="2015-10-02T23:03:00"/>
    <n v="2039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d v="2016-07-14T19:25:40"/>
    <n v="27189"/>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15505"/>
  </r>
  <r>
    <n v="1219"/>
    <s v="The Box"/>
    <s v="The Box is a fine art book of Ron Amato's innovative and seductive photography project."/>
    <n v="16350"/>
    <n v="26024"/>
    <x v="0"/>
    <x v="0"/>
    <s v="USD"/>
    <n v="1476961513"/>
    <n v="1474369513"/>
    <b v="0"/>
    <n v="253"/>
    <b v="1"/>
    <s v="photography/photobooks"/>
    <n v="1.5916819571865444"/>
    <n v="102.86166007905139"/>
    <x v="8"/>
    <x v="20"/>
    <d v="2016-09-20T11:05:13"/>
    <d v="2016-10-20T11:05:13"/>
    <n v="26024"/>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d v="2015-08-25T15:05:12"/>
    <n v="18366.7"/>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3235.3332000000005"/>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8523.4"/>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22197"/>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d v="2014-06-06T13:11:42"/>
    <n v="10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d v="2013-10-22T21:44:38"/>
    <n v="13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d v="2014-04-21T01:00:00"/>
    <n v="19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d v="2011-09-28T17:30:08"/>
    <n v="1465"/>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d v="2012-04-16T16:00:00"/>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d v="2013-10-06T20:21:10"/>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d v="2012-02-21T22:46:14"/>
    <n v="11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d v="2013-12-15T03:14:59"/>
    <n v="210"/>
  </r>
  <r>
    <n v="1236"/>
    <s v="&quot;Volando&quot; CD Release (Canceled)"/>
    <s v="Raising money to give the musicians their due."/>
    <n v="2500"/>
    <n v="0"/>
    <x v="1"/>
    <x v="0"/>
    <s v="USD"/>
    <n v="1343491200"/>
    <n v="1342801164"/>
    <b v="0"/>
    <n v="0"/>
    <b v="0"/>
    <s v="music/world music"/>
    <n v="0"/>
    <n v="0"/>
    <x v="4"/>
    <x v="21"/>
    <d v="2012-07-20T16:19:24"/>
    <d v="2012-07-28T16:00:00"/>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d v="2011-08-06T14:38:56"/>
    <n v="178"/>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0"/>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d v="2013-07-12T21:51:00"/>
    <n v="24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d v="2014-11-03T05:59:00"/>
    <n v="2537"/>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d v="2011-09-11T13:18:00"/>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d v="2011-07-08T21:00:00"/>
    <n v="169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207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240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234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4275"/>
  </r>
  <r>
    <n v="1248"/>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d v="2014-06-13T06:59:00"/>
    <n v="379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522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d v="2014-09-06T15:25:31"/>
    <n v="60046"/>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108"/>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d v="2013-10-24T23:42:49"/>
    <n v="4818"/>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d v="2014-09-03T18:48:27"/>
    <n v="30383.3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1332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607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5389.12999999999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d v="2011-04-03T01:03:10"/>
    <n v="162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d v="2013-08-31T14:40:12"/>
    <n v="25577.56"/>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260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751"/>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2025"/>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6195.52"/>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1785"/>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d v="2013-10-29T15:54:43"/>
    <n v="10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170.17"/>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954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2239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14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2042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1147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763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53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146.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d v="2012-08-30T16:33:45"/>
    <n v="38743.839999999997"/>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d v="2013-08-07T20:49:47"/>
    <n v="24321.1"/>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3132.6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15918.6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d v="2014-06-25T02:00:00"/>
    <n v="1007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13864.17"/>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d v="2011-03-01T18:10:54"/>
    <n v="16636.78"/>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775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18542"/>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110.5"/>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02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d v="2015-06-20T13:59:35"/>
    <n v="2683.5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214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798.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401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1876"/>
  </r>
  <r>
    <n v="1290"/>
    <s v="I Died... I Came Back, ... Whatever"/>
    <s v="Sometimes your Heart has to STOP for your Life to START."/>
    <n v="3500"/>
    <n v="3800"/>
    <x v="0"/>
    <x v="0"/>
    <s v="USD"/>
    <n v="1429772340"/>
    <n v="1427121931"/>
    <b v="0"/>
    <n v="86"/>
    <b v="1"/>
    <s v="theater/plays"/>
    <n v="1.0857142857142856"/>
    <n v="44.186046511627907"/>
    <x v="1"/>
    <x v="6"/>
    <d v="2015-03-23T14:45:31"/>
    <d v="2015-04-23T06:59:00"/>
    <n v="38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d v="2015-04-07T07:00:00"/>
    <n v="437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468.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15335"/>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805.2"/>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364.680000000000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158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21905"/>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2762.76"/>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434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405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2055"/>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d v="2016-12-01T02:23:31"/>
    <n v="250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6018.051600000000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d v="2017-03-13T03:40:05"/>
    <n v="20923.3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d v="2016-07-21T17:30:00"/>
    <n v="7793"/>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d v="2014-12-04T10:58:54"/>
    <n v="7177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d v="2016-02-17T12:04:39"/>
    <n v="5757"/>
  </r>
  <r>
    <n v="1308"/>
    <s v="Boost Band: Wristband Phone Charger (Canceled)"/>
    <s v="Boost Band, a wristband that charges any device"/>
    <n v="10000"/>
    <n v="1136"/>
    <x v="1"/>
    <x v="0"/>
    <s v="USD"/>
    <n v="1475937812"/>
    <n v="1472481812"/>
    <b v="0"/>
    <n v="38"/>
    <b v="0"/>
    <s v="technology/wearables"/>
    <n v="0.11360000000000001"/>
    <n v="29.894736842105264"/>
    <x v="2"/>
    <x v="8"/>
    <d v="2016-08-29T14:43:32"/>
    <d v="2016-10-08T14:43:32"/>
    <n v="113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12879"/>
  </r>
  <r>
    <n v="1310"/>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d v="2016-08-19T16:00:50"/>
    <n v="310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d v="2016-11-30T20:15:19"/>
    <n v="8007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d v="2015-04-18T16:52:02"/>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d v="2016-03-03T17:01:54"/>
    <n v="1244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d v="2016-10-21T16:04:20"/>
    <n v="202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d v="2015-11-06T01:00:00"/>
    <n v="4040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d v="2016-02-28T23:05:09"/>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d v="2016-07-21T14:00:00"/>
    <n v="1834.7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d v="2015-01-11T01:02:52"/>
    <n v="61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d v="2014-07-11T16:00:00"/>
    <n v="1156.320000000000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d v="2016-12-30T23:00:00"/>
    <n v="593.54"/>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d v="2016-12-23T17:58:57"/>
    <n v="662.0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d v="2015-05-21T15:45:25"/>
    <n v="139.9200000000000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d v="2016-04-26T06:55:00"/>
    <n v="133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d v="2016-10-13T15:12:32"/>
    <n v="492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d v="2016-12-30T02:03:55"/>
    <n v="48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d v="2015-01-15T19:00:28"/>
    <n v="113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d v="2015-05-29T16:17:15"/>
    <n v="170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d v="2016-10-14T15:25:34"/>
    <n v="174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d v="2014-12-02T06:19:05"/>
    <n v="40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d v="2016-07-02T04:00:00"/>
    <n v="787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d v="2016-08-17T12:05:54"/>
    <n v="3417"/>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0"/>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d v="2016-03-11T18:34:47"/>
    <n v="14303"/>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d v="2015-12-05T22:28:22"/>
    <n v="494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d v="2014-12-17T20:43:48"/>
    <n v="84947"/>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d v="2017-03-03T13:51:19"/>
    <n v="2469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d v="2015-08-02T19:17:13"/>
    <n v="991"/>
  </r>
  <r>
    <n v="1339"/>
    <s v="Linkoo (Canceled)"/>
    <s v="World's Smallest customizable Phone &amp; GPS Watch for kids !"/>
    <n v="50000"/>
    <n v="3317"/>
    <x v="1"/>
    <x v="0"/>
    <s v="USD"/>
    <n v="1418056315"/>
    <n v="1414164715"/>
    <b v="0"/>
    <n v="37"/>
    <b v="0"/>
    <s v="technology/wearables"/>
    <n v="6.6339999999999996E-2"/>
    <n v="89.648648648648646"/>
    <x v="2"/>
    <x v="8"/>
    <d v="2014-10-24T15:31:55"/>
    <d v="2014-12-08T16:31:55"/>
    <n v="3317"/>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d v="2016-10-01T14:58:37"/>
    <n v="23218.800000000003"/>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d v="2015-07-17T19:35:39"/>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114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d v="2016-06-30T18:57:19"/>
    <n v="4306.1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7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d v="2013-06-27T01:49:11"/>
    <n v="721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255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5985"/>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d v="2015-12-16T06:59:00"/>
    <n v="7759.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5202.5"/>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d v="2016-02-12T17:45:44"/>
    <n v="2025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13614"/>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d v="2013-03-11T00:00:00"/>
    <n v="133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2063.160000000000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4048.44"/>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6215.5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d v="2013-03-01T05:59:00"/>
    <n v="250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35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764"/>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59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d v="2014-06-21T17:12:52"/>
    <n v="9977.88000000000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109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d v="2016-02-15T07:59:00"/>
    <n v="2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7972.8"/>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d v="2015-03-16T16:35:52"/>
    <n v="7520"/>
  </r>
  <r>
    <n v="1366"/>
    <s v="Kick It! A Tribute to the A.K.s"/>
    <s v="A musical memorial for Alexi Petersen."/>
    <n v="7500"/>
    <n v="9486.69"/>
    <x v="0"/>
    <x v="0"/>
    <s v="USD"/>
    <n v="1417049663"/>
    <n v="1413158063"/>
    <b v="0"/>
    <n v="147"/>
    <b v="1"/>
    <s v="music/rock"/>
    <n v="1.2648920000000001"/>
    <n v="64.535306122448986"/>
    <x v="4"/>
    <x v="11"/>
    <d v="2014-10-12T23:54:23"/>
    <d v="2014-11-27T00:54:23"/>
    <n v="9486.69"/>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d v="2015-11-14T01:04:10"/>
    <n v="57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553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4090.629999999997"/>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5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7495"/>
  </r>
  <r>
    <n v="1372"/>
    <s v="Ted Lukas &amp; the Misled new CD - &quot;FEED&quot;"/>
    <s v="Please help us raise funds to press our new CD!"/>
    <n v="500"/>
    <n v="620"/>
    <x v="0"/>
    <x v="0"/>
    <s v="USD"/>
    <n v="1342115132"/>
    <n v="1339523132"/>
    <b v="0"/>
    <n v="16"/>
    <b v="1"/>
    <s v="music/rock"/>
    <n v="1.24"/>
    <n v="38.75"/>
    <x v="4"/>
    <x v="11"/>
    <d v="2012-06-12T17:45:32"/>
    <d v="2012-07-12T17:45:32"/>
    <n v="62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1050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284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8086.54"/>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12331.4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1510"/>
  </r>
  <r>
    <n v="1378"/>
    <s v="SIX BY SEVEN"/>
    <s v="A psychedelic post rock masterpiece!"/>
    <n v="2000"/>
    <n v="4067"/>
    <x v="0"/>
    <x v="1"/>
    <s v="GBP"/>
    <n v="1470075210"/>
    <n v="1468779210"/>
    <b v="0"/>
    <n v="133"/>
    <b v="1"/>
    <s v="music/rock"/>
    <n v="2.0335000000000001"/>
    <n v="30.578947368421051"/>
    <x v="4"/>
    <x v="11"/>
    <d v="2016-07-17T18:13:30"/>
    <d v="2016-08-01T18:13:30"/>
    <n v="5368.4400000000005"/>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11160"/>
  </r>
  <r>
    <n v="1380"/>
    <s v="BARNFEST 2015"/>
    <s v="A DIY MUSIC FESTIVAL FROM ST. LOUIS MO! Bands make their own festival, help make it legit!"/>
    <n v="25"/>
    <n v="106"/>
    <x v="0"/>
    <x v="0"/>
    <s v="USD"/>
    <n v="1433815200"/>
    <n v="1431886706"/>
    <b v="0"/>
    <n v="5"/>
    <b v="1"/>
    <s v="music/rock"/>
    <n v="4.24"/>
    <n v="21.2"/>
    <x v="4"/>
    <x v="11"/>
    <d v="2015-05-17T18:18:26"/>
    <d v="2015-06-09T02:00:00"/>
    <n v="10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535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8349"/>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d v="2016-12-23T01:47:58"/>
    <n v="3551.4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4343"/>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10422.338199999998"/>
  </r>
  <r>
    <n v="1386"/>
    <s v="MALTESE CROSS: The First Album"/>
    <s v="We are a classic hard rock/heavy metal band just trying to keep rock alive!"/>
    <n v="400"/>
    <n v="875"/>
    <x v="0"/>
    <x v="0"/>
    <s v="USD"/>
    <n v="1438183889"/>
    <n v="1435591889"/>
    <b v="0"/>
    <n v="14"/>
    <b v="1"/>
    <s v="music/rock"/>
    <n v="2.1875"/>
    <n v="62.5"/>
    <x v="4"/>
    <x v="11"/>
    <d v="2015-06-29T15:31:29"/>
    <d v="2015-07-29T15:31:29"/>
    <n v="875"/>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546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6740.37"/>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959.640000000000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055"/>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d v="2015-08-22T04:59:00"/>
    <n v="55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2841"/>
  </r>
  <r>
    <n v="1393"/>
    <s v="WolfHunt | Social Commentary Rock Project"/>
    <s v="Rock n' Roll tales of our times"/>
    <n v="10000"/>
    <n v="10235"/>
    <x v="0"/>
    <x v="0"/>
    <s v="USD"/>
    <n v="1470068523"/>
    <n v="1467476523"/>
    <b v="0"/>
    <n v="52"/>
    <b v="1"/>
    <s v="music/rock"/>
    <n v="1.0235000000000001"/>
    <n v="196.82692307692307"/>
    <x v="4"/>
    <x v="11"/>
    <d v="2016-07-02T16:22:03"/>
    <d v="2016-08-01T16:22:03"/>
    <n v="1023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916"/>
  </r>
  <r>
    <n v="1395"/>
    <s v="Quiet Oaks Full Length Album"/>
    <s v="Help Quiet Oaks record their debut album!!!"/>
    <n v="3500"/>
    <n v="3916"/>
    <x v="0"/>
    <x v="0"/>
    <s v="USD"/>
    <n v="1484430481"/>
    <n v="1481838481"/>
    <b v="0"/>
    <n v="82"/>
    <b v="1"/>
    <s v="music/rock"/>
    <n v="1.1188571428571428"/>
    <n v="47.756097560975611"/>
    <x v="4"/>
    <x v="11"/>
    <d v="2016-12-15T21:48:01"/>
    <d v="2017-01-14T21:48:01"/>
    <n v="391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6438"/>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11385"/>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482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d v="2014-10-07T00:06:13"/>
    <n v="113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773.5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d v="2013-05-26T23:54:34"/>
    <n v="1241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d v="2015-05-01T00:16:51"/>
    <n v="3602.28"/>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41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d v="2015-02-22T12:14:45"/>
    <n v="318.1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d v="2014-11-28T17:20:01"/>
    <n v="105"/>
  </r>
  <r>
    <n v="1406"/>
    <s v="Man Down! Translation project"/>
    <s v="The White coat and the battle dress uniform"/>
    <n v="12000"/>
    <n v="15"/>
    <x v="2"/>
    <x v="13"/>
    <s v="EUR"/>
    <n v="1449914400"/>
    <n v="1445336607"/>
    <b v="0"/>
    <n v="3"/>
    <b v="0"/>
    <s v="publishing/translations"/>
    <n v="1.25E-3"/>
    <n v="5"/>
    <x v="3"/>
    <x v="22"/>
    <d v="2015-10-20T10:23:27"/>
    <d v="2015-12-12T10:00:00"/>
    <n v="17.7"/>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d v="2014-08-12T12:52:58"/>
    <n v="1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d v="2015-11-13T21:55:56"/>
    <n v="95.04"/>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d v="2016-06-03T07:38:40"/>
    <n v="1.18"/>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d v="2015-02-06T01:25:00"/>
    <n v="9.24"/>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d v="2014-12-04T01:31:39"/>
    <n v="3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d v="2016-02-20T10:29:30"/>
    <n v="118"/>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d v="2017-01-03T06:04:27"/>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d v="2015-08-16T16:13:11"/>
    <n v="80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d v="2015-09-15T11:11:00"/>
    <n v="55"/>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d v="2016-02-25T10:57:14"/>
    <n v="7.0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d v="2016-10-09T10:56:59"/>
    <n v="445"/>
  </r>
  <r>
    <n v="1420"/>
    <s v="Shakespeare in the Hood - Romeo and Juliet"/>
    <s v="Help me butcher Shakespeare in a satirical fashion."/>
    <n v="110"/>
    <n v="3"/>
    <x v="2"/>
    <x v="0"/>
    <s v="USD"/>
    <n v="1467129686"/>
    <n v="1464969686"/>
    <b v="0"/>
    <n v="3"/>
    <b v="0"/>
    <s v="publishing/translations"/>
    <n v="2.7272727272727271E-2"/>
    <n v="1"/>
    <x v="3"/>
    <x v="22"/>
    <d v="2016-06-03T16:01:26"/>
    <d v="2016-06-28T16:01:26"/>
    <n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d v="2015-02-08T21:58:29"/>
    <n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d v="2016-09-21T05:45:04"/>
    <n v="17.42000000000000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d v="2016-01-01T08:38:51"/>
    <n v="7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d v="2016-11-15T18:13:22"/>
    <n v="152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d v="2016-09-18T20:26:25"/>
    <n v="494.4199999999999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d v="2016-04-02T08:06:57"/>
    <n v="53.099999999999994"/>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d v="2014-12-19T19:31:28"/>
    <n v="40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d v="2015-11-26T06:03:36"/>
    <n v="5431"/>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d v="2016-12-10T11:00:00"/>
    <n v="949.9"/>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d v="2015-06-08T15:00:00"/>
    <n v="1310.400000000000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d v="2015-10-11T18:43:40"/>
    <n v="17.7"/>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d v="2016-02-21T08:24:17"/>
    <n v="90.8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d v="2014-07-13T04:59:00"/>
    <n v="80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d v="2016-04-27T13:55:00"/>
    <n v="9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d v="2015-03-07T19:55:01"/>
    <n v="136.800000000000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d v="2016-05-26T17:57:43"/>
    <n v="1.18"/>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d v="2015-09-11T18:22:49"/>
    <n v="2666.4"/>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0"/>
  </r>
  <r>
    <n v="1447"/>
    <s v="Indian Language Dictionary"/>
    <s v="I'm creating a dictionary of multiple Indian languages."/>
    <n v="500000"/>
    <n v="75"/>
    <x v="2"/>
    <x v="0"/>
    <s v="USD"/>
    <n v="1467999134"/>
    <n v="1465407134"/>
    <b v="0"/>
    <n v="3"/>
    <b v="0"/>
    <s v="publishing/translations"/>
    <n v="1.4999999999999999E-4"/>
    <n v="25"/>
    <x v="3"/>
    <x v="22"/>
    <d v="2016-06-08T17:32:14"/>
    <d v="2016-07-08T17:32:14"/>
    <n v="7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d v="2016-02-20T04:06:37"/>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d v="2014-11-19T00:00:59"/>
    <n v="2"/>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d v="2016-04-24T21:59:00"/>
    <n v="17.7"/>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d v="2014-09-05T13:39:00"/>
    <n v="1575"/>
  </r>
  <r>
    <n v="1456"/>
    <s v="Sometimes you don't need love (Canceled)"/>
    <s v="English Version of my auto-published novel"/>
    <n v="5000"/>
    <n v="145"/>
    <x v="1"/>
    <x v="13"/>
    <s v="EUR"/>
    <n v="1483459365"/>
    <n v="1480867365"/>
    <b v="0"/>
    <n v="3"/>
    <b v="0"/>
    <s v="publishing/translations"/>
    <n v="2.9000000000000001E-2"/>
    <n v="48.333333333333336"/>
    <x v="3"/>
    <x v="22"/>
    <d v="2016-12-04T16:02:45"/>
    <d v="2017-01-03T16:02:45"/>
    <n v="171.1"/>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0"/>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d v="2014-10-21T00:00:00"/>
    <n v="15186.69"/>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4340.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886"/>
  </r>
  <r>
    <n v="1464"/>
    <s v="Science Studio"/>
    <s v="The Best Science Media on the Web"/>
    <n v="5000"/>
    <n v="8160"/>
    <x v="0"/>
    <x v="0"/>
    <s v="USD"/>
    <n v="1361029958"/>
    <n v="1358437958"/>
    <b v="1"/>
    <n v="234"/>
    <b v="1"/>
    <s v="publishing/radio &amp; podcasts"/>
    <n v="1.6319999999999999"/>
    <n v="34.871794871794869"/>
    <x v="3"/>
    <x v="23"/>
    <d v="2013-01-17T15:52:38"/>
    <d v="2013-02-16T15:52:38"/>
    <n v="816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d v="2012-03-22T03:00:00"/>
    <n v="136924.3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17260.37"/>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4603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9725"/>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47978"/>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187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322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4676"/>
  </r>
  <r>
    <n v="1473"/>
    <s v="ONE LOVES ONLY FORM"/>
    <s v="Public Radio Project"/>
    <n v="1500"/>
    <n v="1807.74"/>
    <x v="0"/>
    <x v="0"/>
    <s v="USD"/>
    <n v="1330644639"/>
    <n v="1328052639"/>
    <b v="1"/>
    <n v="47"/>
    <b v="1"/>
    <s v="publishing/radio &amp; podcasts"/>
    <n v="1.20516"/>
    <n v="38.462553191489363"/>
    <x v="3"/>
    <x v="23"/>
    <d v="2012-01-31T23:30:39"/>
    <d v="2012-03-01T23:30:39"/>
    <n v="1807.7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36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28300.45"/>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d v="2011-09-10T01:00:22"/>
    <n v="39693.279999999999"/>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3339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d v="2013-05-14T20:55:13"/>
    <n v="590807.1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2198"/>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d v="2013-07-26T17:00:00"/>
    <n v="58520.2"/>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d v="2013-11-02T22:09:05"/>
    <n v="79.8"/>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d v="2012-09-07T07:51:00"/>
    <n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d v="2016-07-22T04:37:55"/>
    <n v="50"/>
  </r>
  <r>
    <n v="1484"/>
    <s v="a book called filtered down thru the stars"/>
    <s v="The mussings of an old wizard"/>
    <n v="2000"/>
    <n v="0"/>
    <x v="2"/>
    <x v="0"/>
    <s v="USD"/>
    <n v="1342882260"/>
    <n v="1337834963"/>
    <b v="0"/>
    <n v="0"/>
    <b v="0"/>
    <s v="publishing/fiction"/>
    <n v="0"/>
    <n v="0"/>
    <x v="3"/>
    <x v="10"/>
    <d v="2012-05-24T04:49:23"/>
    <d v="2012-07-21T14:51:0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d v="2015-06-20T19:06:13"/>
    <n v="1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d v="2015-02-27T04:02:41"/>
    <n v="48"/>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0"/>
  </r>
  <r>
    <n v="1488"/>
    <s v="Nanolution"/>
    <s v="A blockbuster sci-fi adventure. What would you do if one day your life changed to beyond the imaginable?"/>
    <n v="15000"/>
    <n v="360"/>
    <x v="2"/>
    <x v="2"/>
    <s v="AUD"/>
    <n v="1388928660"/>
    <n v="1386336660"/>
    <b v="0"/>
    <n v="6"/>
    <b v="0"/>
    <s v="publishing/fiction"/>
    <n v="2.4E-2"/>
    <n v="60"/>
    <x v="3"/>
    <x v="10"/>
    <d v="2013-12-06T13:31:00"/>
    <d v="2014-01-05T13:31:00"/>
    <n v="262.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d v="2013-10-02T13:27:54"/>
    <n v="895"/>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d v="2015-02-15T15:38:0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d v="2011-06-18T21:14:06"/>
    <n v="3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d v="2015-04-03T15:38:00"/>
    <n v="445"/>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d v="2013-07-31T19:43:0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d v="2014-09-03T23:36:18"/>
    <n v="57"/>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d v="2016-08-05T00:10:33"/>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d v="2013-05-01T21:42:37"/>
    <n v="701"/>
  </r>
  <r>
    <n v="1501"/>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d v="2015-07-08T14:00:23"/>
    <n v="65733.91999999999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9459.7600000000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4774.1973999999991"/>
  </r>
  <r>
    <n v="1504"/>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d v="2014-06-10T08:33:00"/>
    <n v="23847.12000000000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19556.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d v="2014-07-24T18:51:44"/>
    <n v="2205.720000000000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258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2049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5531.91960000000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21338.5920000000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1565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d v="2017-02-05T16:25:39"/>
    <n v="19557"/>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d v="2014-07-16T15:17:46"/>
    <n v="15841.98000000000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d v="2015-09-27T14:20:40"/>
    <n v="266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d v="2016-03-16T05:04:57"/>
    <n v="51872.3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1847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24297"/>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8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d v="2014-06-20T21:59:00"/>
    <n v="9302.75"/>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18625"/>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d v="2016-06-07T04:01:31"/>
    <n v="4005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d v="2014-10-17T19:55:39"/>
    <n v="60450.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2309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d v="2017-02-20T12:01:30"/>
    <n v="683.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d v="2016-08-18T16:52:18"/>
    <n v="4524.149999999999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d v="2016-01-19T06:37:27"/>
    <n v="27675"/>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3865.55"/>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d v="2017-02-01T00:00:00"/>
    <n v="8447"/>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191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d v="2015-10-23T18:24:55"/>
    <n v="4718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4135"/>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d v="2016-02-15T15:00:00"/>
    <n v="17666.73"/>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d v="2016-05-02T03:59:00"/>
    <n v="6531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d v="2015-09-04T16:11:02"/>
    <n v="313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d v="2016-05-23T22:00:00"/>
    <n v="5297"/>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037.0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d v="2016-08-06T18:00:00"/>
    <n v="25473.8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718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d v="2017-01-03T22:03:39"/>
    <n v="27197.2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d v="2014-11-26T01:15:00"/>
    <n v="1768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d v="2014-12-31T17:05:38"/>
    <n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d v="2015-06-30T23:55:00"/>
    <n v="15.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d v="2014-11-22T13:13:54"/>
    <n v="1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0"/>
  </r>
  <r>
    <n v="1545"/>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d v="2015-03-02T21:16:00"/>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d v="2014-09-17T05:06:39"/>
    <n v="381.48"/>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0"/>
  </r>
  <r>
    <n v="1548"/>
    <s v="Change the World through Color"/>
    <s v="Beauty is in the eye of the beholder and I want to inspire conservation through color."/>
    <n v="700"/>
    <n v="60"/>
    <x v="2"/>
    <x v="0"/>
    <s v="USD"/>
    <n v="1447020620"/>
    <n v="1444425020"/>
    <b v="0"/>
    <n v="1"/>
    <b v="0"/>
    <s v="photography/nature"/>
    <n v="8.5714285714285715E-2"/>
    <n v="60"/>
    <x v="8"/>
    <x v="24"/>
    <d v="2015-10-09T21:10:20"/>
    <d v="2015-11-08T22:10:20"/>
    <n v="6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d v="2015-11-03T04:15:59"/>
    <n v="17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d v="2016-05-12T10:47:14"/>
    <n v="133.3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d v="2014-10-01T03:59:00"/>
    <n v="211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d v="2016-07-04T03:40:24"/>
    <n v="514.52"/>
  </r>
  <r>
    <n v="1557"/>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d v="2014-09-20T15:40:33"/>
    <n v="100"/>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d v="2015-08-28T12:12:00"/>
    <n v="46.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d v="2015-04-29T01:16:39"/>
    <n v="5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d v="2014-11-13T01:29:53"/>
    <n v="9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d v="2013-11-07T02:00:03"/>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d v="2014-03-14T16:49:11"/>
    <n v="112.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d v="2015-05-28T20:05:00"/>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d v="2011-06-08T17:31:01"/>
    <n v="100"/>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d v="2016-07-27T22:00:00"/>
    <n v="637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d v="2014-02-17T00:00:00"/>
    <n v="35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d v="2014-12-24T01:29:45"/>
    <n v="3410"/>
  </r>
  <r>
    <n v="1569"/>
    <s v="to be removed (Canceled)"/>
    <s v="to be removed"/>
    <n v="30000"/>
    <n v="0"/>
    <x v="1"/>
    <x v="0"/>
    <s v="USD"/>
    <n v="1369498714"/>
    <n v="1366906714"/>
    <b v="0"/>
    <n v="0"/>
    <b v="0"/>
    <s v="publishing/art books"/>
    <n v="0"/>
    <n v="0"/>
    <x v="3"/>
    <x v="25"/>
    <d v="2013-04-25T16:18:34"/>
    <d v="2013-05-25T16:18:34"/>
    <n v="0"/>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d v="2016-04-08T18:31:22"/>
    <n v="2484"/>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d v="2015-06-19T18:28:03"/>
    <n v="105.6000000000000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d v="2016-02-28T23:59:00"/>
    <n v="16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d v="2017-04-01T03:59:00"/>
    <n v="169.48"/>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d v="2015-02-17T22:15:29"/>
    <n v="50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d v="2014-07-09T12:34:56"/>
    <n v="2291"/>
  </r>
  <r>
    <n v="1576"/>
    <s v="The Obsessive Line Collection (Canceled)"/>
    <s v="For the publication of my first 3 books: an Art book, a graphic novel, and a coloring book"/>
    <n v="5000"/>
    <n v="650"/>
    <x v="1"/>
    <x v="0"/>
    <s v="USD"/>
    <n v="1435698368"/>
    <n v="1431810368"/>
    <b v="0"/>
    <n v="10"/>
    <b v="0"/>
    <s v="publishing/art books"/>
    <n v="0.13"/>
    <n v="65"/>
    <x v="3"/>
    <x v="25"/>
    <d v="2015-05-16T21:06:08"/>
    <d v="2015-06-30T21:06:08"/>
    <n v="65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d v="2012-07-24T20:20:48"/>
    <n v="5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d v="2010-09-02T02:00:00"/>
    <n v="20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d v="2013-08-28T23:54:51"/>
    <n v="28"/>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d v="2015-12-19T10:46:30"/>
    <n v="6.6000000000000005"/>
  </r>
  <r>
    <n v="1582"/>
    <s v="Scenes from New Orleans"/>
    <s v="I create canvas prints of images from in and around New Orleans"/>
    <n v="1000"/>
    <n v="93"/>
    <x v="2"/>
    <x v="0"/>
    <s v="USD"/>
    <n v="1445894400"/>
    <n v="1440961053"/>
    <b v="0"/>
    <n v="3"/>
    <b v="0"/>
    <s v="photography/places"/>
    <n v="9.2999999999999999E-2"/>
    <n v="31"/>
    <x v="8"/>
    <x v="26"/>
    <d v="2015-08-30T18:57:33"/>
    <d v="2015-10-26T21:20:00"/>
    <n v="93"/>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d v="2014-09-25T21:43:11"/>
    <n v="19.8"/>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d v="2016-12-25T11:00:00"/>
    <n v="1200.8"/>
  </r>
  <r>
    <n v="1586"/>
    <s v="Missouri In Pictures"/>
    <s v="Show the world the beauty that is in all of our back yards!"/>
    <n v="1500"/>
    <n v="0"/>
    <x v="2"/>
    <x v="0"/>
    <s v="USD"/>
    <n v="1428197422"/>
    <n v="1425609022"/>
    <b v="0"/>
    <n v="0"/>
    <b v="0"/>
    <s v="photography/places"/>
    <n v="0"/>
    <n v="0"/>
    <x v="8"/>
    <x v="26"/>
    <d v="2015-03-06T02:30:22"/>
    <d v="2015-04-05T01:30:22"/>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d v="2014-12-13T22:49:25"/>
    <n v="1"/>
  </r>
  <r>
    <n v="1588"/>
    <s v="The Right Side of Texas"/>
    <s v="Southeast Texas as seen through the lens of a cell phone camera"/>
    <n v="516"/>
    <n v="0"/>
    <x v="2"/>
    <x v="0"/>
    <s v="USD"/>
    <n v="1422735120"/>
    <n v="1420091999"/>
    <b v="0"/>
    <n v="0"/>
    <b v="0"/>
    <s v="photography/places"/>
    <n v="0"/>
    <n v="0"/>
    <x v="8"/>
    <x v="26"/>
    <d v="2015-01-01T05:59:59"/>
    <d v="2015-01-31T20:12:00"/>
    <n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0"/>
  </r>
  <r>
    <n v="1590"/>
    <s v="An Italian Adventure"/>
    <s v="Discover Italy through photography."/>
    <n v="60000"/>
    <n v="1020"/>
    <x v="2"/>
    <x v="13"/>
    <s v="EUR"/>
    <n v="1443040464"/>
    <n v="1440448464"/>
    <b v="0"/>
    <n v="2"/>
    <b v="0"/>
    <s v="photography/places"/>
    <n v="1.7000000000000001E-2"/>
    <n v="510"/>
    <x v="8"/>
    <x v="26"/>
    <d v="2015-08-24T20:34:24"/>
    <d v="2015-09-23T20:34:24"/>
    <n v="1203.5999999999999"/>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d v="2016-04-03T16:25:41"/>
    <n v="5401.4400000000005"/>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0"/>
  </r>
  <r>
    <n v="1593"/>
    <s v="Picturing Italy"/>
    <s v="A trip to fulfill a dream of capturing the wonders and history of ancient Italy in person."/>
    <n v="22000"/>
    <n v="3"/>
    <x v="2"/>
    <x v="0"/>
    <s v="USD"/>
    <n v="1425154655"/>
    <n v="1422562655"/>
    <b v="0"/>
    <n v="3"/>
    <b v="0"/>
    <s v="photography/places"/>
    <n v="1.3636363636363637E-4"/>
    <n v="1"/>
    <x v="8"/>
    <x v="26"/>
    <d v="2015-01-29T20:17:35"/>
    <d v="2015-02-28T20:17:35"/>
    <n v="3"/>
  </r>
  <r>
    <n v="1594"/>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d v="2016-05-15T16:21:00"/>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d v="2014-06-18T20:13:00"/>
    <n v="280"/>
  </r>
  <r>
    <n v="1596"/>
    <s v="The Town We Live In"/>
    <s v="London is beautiful. I want to create a book of stunning images from in and around our great city"/>
    <n v="3250"/>
    <n v="75"/>
    <x v="2"/>
    <x v="1"/>
    <s v="GBP"/>
    <n v="1418469569"/>
    <n v="1414577969"/>
    <b v="0"/>
    <n v="3"/>
    <b v="0"/>
    <s v="photography/places"/>
    <n v="2.3076923076923078E-2"/>
    <n v="25"/>
    <x v="8"/>
    <x v="26"/>
    <d v="2014-10-29T10:19:29"/>
    <d v="2014-12-13T11:19:29"/>
    <n v="99"/>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d v="2015-07-26T16:00:58"/>
    <n v="1"/>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d v="2014-07-15T05:11:00"/>
    <n v="36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2706.2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1502.5"/>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2000.6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3419"/>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d v="2011-08-01T07:00:00"/>
    <n v="604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8080.3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145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1215"/>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1775"/>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d v="2012-12-15T22:11:50"/>
    <n v="5437"/>
  </r>
  <r>
    <n v="1611"/>
    <s v="Skelton-Luns CD/7&quot;             No Big Deal."/>
    <s v="Skelton-Luns CD/7&quot; No Big Deal."/>
    <n v="800"/>
    <n v="1001"/>
    <x v="0"/>
    <x v="0"/>
    <s v="USD"/>
    <n v="1370390432"/>
    <n v="1368576032"/>
    <b v="0"/>
    <n v="27"/>
    <b v="1"/>
    <s v="music/rock"/>
    <n v="1.25125"/>
    <n v="37.074074074074076"/>
    <x v="4"/>
    <x v="11"/>
    <d v="2013-05-15T00:00:32"/>
    <d v="2013-06-05T00:00:32"/>
    <n v="100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55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101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5135"/>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913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1042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1021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157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d v="2014-09-15T04:28:06"/>
    <n v="2000"/>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113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606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7019"/>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1000.5600000000001"/>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118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d v="2012-09-11T16:47:33"/>
    <n v="1165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8095"/>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234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4037"/>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622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d v="2012-03-02T06:59:00"/>
    <n v="106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d v="2012-10-12T20:37:41"/>
    <n v="1559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406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d v="2012-01-16T05:00:00"/>
    <n v="10000"/>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20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d v="2016-07-11T20:51:01"/>
    <n v="250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66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19"/>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105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d v="2012-03-03T15:39:25"/>
    <n v="180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d v="2010-08-03T01:59:00"/>
    <n v="679.44"/>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253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d v="2011-06-14T00:35:27"/>
    <n v="1200"/>
  </r>
  <r>
    <n v="1643"/>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d v="2012-09-24T19:46:52"/>
    <n v="623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1095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554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d v="2014-08-14T18:11:00"/>
    <n v="2909.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d v="2012-06-09T09:49:37"/>
    <n v="523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288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3822.33"/>
  </r>
  <r>
    <n v="1650"/>
    <s v="The Psalm Praise Project, Vol. 2"/>
    <s v="Help me record a CD that uses pop styling to give a fresh sound to ancient wisdom from scripture!"/>
    <n v="2000"/>
    <n v="2831"/>
    <x v="0"/>
    <x v="0"/>
    <s v="USD"/>
    <n v="1381314437"/>
    <n v="1378722437"/>
    <b v="0"/>
    <n v="32"/>
    <b v="1"/>
    <s v="music/pop"/>
    <n v="1.4155"/>
    <n v="88.46875"/>
    <x v="4"/>
    <x v="27"/>
    <d v="2013-09-09T10:27:17"/>
    <d v="2013-10-09T10:27:17"/>
    <n v="283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d v="2011-04-26T06:59:00"/>
    <n v="201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453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d v="2011-04-24T20:01:36"/>
    <n v="8711.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d v="2012-04-18T21:22:40"/>
    <n v="1319"/>
  </r>
  <r>
    <n v="1655"/>
    <s v="Meg Porter Debut EP!"/>
    <s v="Berklee College of Music student, Meg Porter needs YOUR help to fund her very first EP!"/>
    <n v="1500"/>
    <n v="2143"/>
    <x v="0"/>
    <x v="0"/>
    <s v="USD"/>
    <n v="1333648820"/>
    <n v="1331060420"/>
    <b v="0"/>
    <n v="48"/>
    <b v="1"/>
    <s v="music/pop"/>
    <n v="1.4286666666666668"/>
    <n v="44.645833333333336"/>
    <x v="4"/>
    <x v="27"/>
    <d v="2012-03-06T19:00:20"/>
    <d v="2012-04-05T18:00:20"/>
    <n v="214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7525.1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26233.4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d v="2012-12-18T14:20:00"/>
    <n v="793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d v="2013-12-17T12:00:00"/>
    <n v="744.4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1183.5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d v="2016-01-17T21:00:00"/>
    <n v="9555.6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8211"/>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108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d v="2012-03-16T03:59:00"/>
    <n v="3060.22"/>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418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402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431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821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279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d v="2010-07-05T04:00:00"/>
    <n v="1026"/>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2013.47"/>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192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d v="2015-03-06T21:04:52"/>
    <n v="269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d v="2016-08-18T06:59:00"/>
    <n v="10085"/>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1374.16"/>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346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79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77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3500"/>
  </r>
  <r>
    <n v="1680"/>
    <s v="Kick Out a Record"/>
    <s v="Working Musician dilemma #164: how the taxman put Kick the Record 2.0 on hold"/>
    <n v="1000"/>
    <n v="1175"/>
    <x v="0"/>
    <x v="0"/>
    <s v="USD"/>
    <n v="1405188667"/>
    <n v="1402596667"/>
    <b v="0"/>
    <n v="25"/>
    <b v="1"/>
    <s v="music/pop"/>
    <n v="1.175"/>
    <n v="47"/>
    <x v="4"/>
    <x v="27"/>
    <d v="2014-06-12T18:11:07"/>
    <d v="2014-07-12T18:11:07"/>
    <n v="117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65924.38"/>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d v="2017-04-07T18:45:38"/>
    <n v="896.8"/>
  </r>
  <r>
    <n v="1684"/>
    <s v="Goodness &amp; Mercy EP - Marty Mikles"/>
    <s v="New Music from Marty Mikles!  A new EP all about God's Goodness &amp; Mercy."/>
    <n v="8000"/>
    <n v="8730"/>
    <x v="3"/>
    <x v="0"/>
    <s v="USD"/>
    <n v="1489775641"/>
    <n v="1487360041"/>
    <b v="0"/>
    <n v="101"/>
    <b v="0"/>
    <s v="music/faith"/>
    <n v="1.0912500000000001"/>
    <n v="86.43564356435644"/>
    <x v="4"/>
    <x v="28"/>
    <d v="2017-02-17T19:34:01"/>
    <d v="2017-03-17T18:34:01"/>
    <n v="873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6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d v="2017-04-27T19:15:19"/>
    <n v="13.6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d v="2017-04-10T20:15:00"/>
    <n v="3125"/>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d v="2017-04-09T11:49:54"/>
    <n v="1772"/>
  </r>
  <r>
    <n v="1689"/>
    <s v="Fly Away"/>
    <s v="Praising the Living God in the second half of life."/>
    <n v="2400"/>
    <n v="2400"/>
    <x v="3"/>
    <x v="0"/>
    <s v="USD"/>
    <n v="1489700230"/>
    <n v="1487111830"/>
    <b v="0"/>
    <n v="14"/>
    <b v="0"/>
    <s v="music/faith"/>
    <n v="1"/>
    <n v="171.42857142857142"/>
    <x v="4"/>
    <x v="28"/>
    <d v="2017-02-14T22:37:10"/>
    <d v="2017-03-16T21:37:10"/>
    <n v="240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d v="2017-04-06T09:20:42"/>
    <n v="635"/>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d v="2017-04-03T01:00:00"/>
    <n v="10042"/>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d v="2017-03-26T23:59:00"/>
    <n v="239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d v="2017-04-09T20:00:00"/>
    <n v="369.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d v="2017-03-27T04:36:0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d v="2017-04-10T01:00:00"/>
    <n v="140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d v="2017-04-09T23:47:28"/>
    <n v="25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d v="2017-04-11T20:44:05"/>
    <n v="21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d v="2017-04-01T04:00:00"/>
    <n v="5212"/>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d v="2015-01-15T15:56:45"/>
    <n v="10"/>
  </r>
  <r>
    <n v="1702"/>
    <s v="lyndale lewis and new vision prosper cd release"/>
    <s v="I can do all things through christ jesus"/>
    <n v="16500"/>
    <n v="1"/>
    <x v="2"/>
    <x v="0"/>
    <s v="USD"/>
    <n v="1427745150"/>
    <n v="1425156750"/>
    <b v="0"/>
    <n v="1"/>
    <b v="0"/>
    <s v="music/faith"/>
    <n v="6.0606060606060605E-5"/>
    <n v="1"/>
    <x v="4"/>
    <x v="28"/>
    <d v="2015-02-28T20:52:30"/>
    <d v="2015-03-30T19:52:30"/>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d v="2015-08-31T06:45:37"/>
    <n v="5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d v="2015-02-16T03:21:13"/>
    <n v="1302"/>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0"/>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d v="2016-03-28T16:18:15"/>
    <n v="487"/>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0"/>
  </r>
  <r>
    <n v="1709"/>
    <s v="Psalms"/>
    <s v="A project to set psalms to music. The psalms are taken from the English Standard Version (ESV) of the Bible."/>
    <n v="1750"/>
    <n v="85"/>
    <x v="2"/>
    <x v="0"/>
    <s v="USD"/>
    <n v="1409513940"/>
    <n v="1405949514"/>
    <b v="0"/>
    <n v="4"/>
    <b v="0"/>
    <s v="music/faith"/>
    <n v="4.8571428571428571E-2"/>
    <n v="21.25"/>
    <x v="4"/>
    <x v="28"/>
    <d v="2014-07-21T13:31:54"/>
    <d v="2014-08-31T19:39:00"/>
    <n v="85"/>
  </r>
  <r>
    <n v="1710"/>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d v="2016-01-18T13:00:00"/>
    <n v="40.119999999999997"/>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d v="2014-09-01T15:30:34"/>
    <n v="105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d v="2014-10-05T19:13:3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d v="2015-05-01T22:02:41"/>
    <n v="1967"/>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d v="2015-03-31T03:22:00"/>
    <n v="1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d v="2016-12-09T14:51:39"/>
    <n v="150"/>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d v="2016-04-21T04:00:00"/>
    <n v="1395"/>
  </r>
  <r>
    <n v="1718"/>
    <s v="The Prodigal Son"/>
    <s v="A melody for the galaxy."/>
    <n v="35000"/>
    <n v="75"/>
    <x v="2"/>
    <x v="0"/>
    <s v="USD"/>
    <n v="1463201940"/>
    <n v="1459435149"/>
    <b v="0"/>
    <n v="2"/>
    <b v="0"/>
    <s v="music/faith"/>
    <n v="2.142857142857143E-3"/>
    <n v="37.5"/>
    <x v="4"/>
    <x v="28"/>
    <d v="2016-03-31T14:39:09"/>
    <d v="2016-05-14T04:59:00"/>
    <n v="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d v="2014-09-17T12:49:51"/>
    <n v="35"/>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d v="2014-11-09T19:47:51"/>
    <n v="225"/>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d v="2016-04-03T00:10:00"/>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d v="2015-07-01T06:00:00"/>
    <n v="65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d v="2014-10-30T22:22:42"/>
    <n v="35"/>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d v="2014-08-24T23:14:09"/>
    <n v="560"/>
  </r>
  <r>
    <n v="1726"/>
    <s v="&quot;Every Day&quot; CD by Amanda Joy Hall"/>
    <s v="Amanda Joy Hall's sophomore album, &quot;Every Day&quot;. Release expected July 2014"/>
    <n v="6500"/>
    <n v="2196"/>
    <x v="2"/>
    <x v="0"/>
    <s v="USD"/>
    <n v="1403906664"/>
    <n v="1401401064"/>
    <b v="0"/>
    <n v="16"/>
    <b v="0"/>
    <s v="music/faith"/>
    <n v="0.33784615384615385"/>
    <n v="137.25"/>
    <x v="4"/>
    <x v="28"/>
    <d v="2014-05-29T22:04:24"/>
    <d v="2014-06-27T22:04:24"/>
    <n v="219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d v="2015-04-05T11:00:00"/>
    <n v="1.32"/>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d v="2015-10-21T15:01:14"/>
    <n v="855"/>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0"/>
  </r>
  <r>
    <n v="1731"/>
    <s v="Sam Cox Band First Christian Tour"/>
    <s v="We are a Christin Worship band looking to midwest tour. God Bless!"/>
    <n v="1000"/>
    <n v="0"/>
    <x v="2"/>
    <x v="0"/>
    <s v="USD"/>
    <n v="1434034800"/>
    <n v="1432849552"/>
    <b v="0"/>
    <n v="0"/>
    <b v="0"/>
    <s v="music/faith"/>
    <n v="0"/>
    <n v="0"/>
    <x v="4"/>
    <x v="28"/>
    <d v="2015-05-28T21:45:52"/>
    <d v="2015-06-11T15:00:00"/>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0"/>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d v="2015-05-08T00:52:36"/>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d v="2016-08-07T19:32:25"/>
    <n v="110"/>
  </r>
  <r>
    <n v="1736"/>
    <s v="In His Presence"/>
    <s v="A unique meditative album reflecting on the life of Christ, inviting Him into your presence"/>
    <n v="3000"/>
    <n v="22"/>
    <x v="2"/>
    <x v="0"/>
    <s v="USD"/>
    <n v="1447018833"/>
    <n v="1444423233"/>
    <b v="0"/>
    <n v="1"/>
    <b v="0"/>
    <s v="music/faith"/>
    <n v="7.3333333333333332E-3"/>
    <n v="22"/>
    <x v="4"/>
    <x v="28"/>
    <d v="2015-10-09T20:40:33"/>
    <d v="2015-11-08T21:40:33"/>
    <n v="22"/>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d v="2015-07-20T22:46:32"/>
    <n v="850"/>
  </r>
  <r>
    <n v="1738"/>
    <s v="The Flashing Lights"/>
    <s v="Music that inspires and gives hope for overcoming and change. And it is good music."/>
    <n v="5000"/>
    <n v="20"/>
    <x v="2"/>
    <x v="0"/>
    <s v="USD"/>
    <n v="1412283542"/>
    <n v="1409691542"/>
    <b v="0"/>
    <n v="1"/>
    <b v="0"/>
    <s v="music/faith"/>
    <n v="4.0000000000000001E-3"/>
    <n v="20"/>
    <x v="4"/>
    <x v="28"/>
    <d v="2014-09-02T20:59:02"/>
    <d v="2014-10-02T20:59:02"/>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d v="2016-05-04T19:58:52"/>
    <n v="1"/>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1755.600000000000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2175"/>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6025"/>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d v="2015-03-08T13:31:17"/>
    <n v="8599.800000000001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798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d v="2016-11-24T02:00:00"/>
    <n v="22215"/>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12468.720000000001"/>
  </r>
  <r>
    <n v="1748"/>
    <s v="So It Is: Vancouver"/>
    <s v="Telling the story of the city through remarkable people who live in Vancouver today."/>
    <n v="50000"/>
    <n v="64974"/>
    <x v="0"/>
    <x v="5"/>
    <s v="CAD"/>
    <n v="1441234143"/>
    <n v="1438642143"/>
    <b v="0"/>
    <n v="181"/>
    <b v="1"/>
    <s v="photography/photobooks"/>
    <n v="1.29948"/>
    <n v="358.97237569060775"/>
    <x v="8"/>
    <x v="20"/>
    <d v="2015-08-03T22:49:03"/>
    <d v="2015-09-02T22:49:03"/>
    <n v="49380.24"/>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d v="2017-03-01T19:00:00"/>
    <n v="14644.3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1008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10290"/>
  </r>
  <r>
    <n v="1752"/>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d v="2016-10-14T06:04:42"/>
    <n v="4121.04"/>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259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d v="2015-04-03T20:02:33"/>
    <n v="7140.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d v="2015-10-05T18:56:01"/>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565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58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1147"/>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533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d v="2016-02-25T16:08:33"/>
    <n v="8272"/>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204.60000000000002"/>
  </r>
  <r>
    <n v="1762"/>
    <s v="&quot;The Naked Pixel&quot; Ali Pakele"/>
    <s v="Project rewards $25 gets you 190+ digital images"/>
    <n v="100"/>
    <n v="885"/>
    <x v="0"/>
    <x v="0"/>
    <s v="USD"/>
    <n v="1457739245"/>
    <n v="1455147245"/>
    <b v="0"/>
    <n v="25"/>
    <b v="1"/>
    <s v="photography/photobooks"/>
    <n v="8.85"/>
    <n v="35.4"/>
    <x v="8"/>
    <x v="20"/>
    <d v="2016-02-10T23:34:05"/>
    <d v="2016-03-11T23:34:05"/>
    <n v="88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1222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d v="2014-08-03T11:39:39"/>
    <n v="2845.92"/>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d v="2014-08-13T23:31:52"/>
    <n v="7433.48"/>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d v="2014-08-03T15:48:04"/>
    <n v="228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d v="2014-09-27T13:27:24"/>
    <n v="187"/>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d v="2015-01-13T19:39:19"/>
    <n v="108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d v="2014-10-14T18:43:14"/>
    <n v="1384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d v="2014-10-23T23:30:40"/>
    <n v="1181.4000000000001"/>
  </r>
  <r>
    <n v="1772"/>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d v="2014-07-06T17:13:56"/>
    <n v="1132.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d v="2015-01-19T18:14:58"/>
    <n v="1877"/>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d v="2014-11-29T14:59:00"/>
    <n v="114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d v="2014-10-24T23:26:00"/>
    <n v="2115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d v="2014-10-29T22:57:51"/>
    <n v="442.20000000000005"/>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d v="2015-02-20T08:34:13"/>
    <n v="768.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d v="2015-03-27T19:43:15"/>
    <n v="99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d v="2016-09-02T16:36:20"/>
    <n v="398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d v="2016-07-02T14:25:10"/>
    <n v="11923"/>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d v="2016-09-15T14:49:05"/>
    <n v="1417"/>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d v="2016-02-21T13:48:09"/>
    <n v="542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d v="2015-05-21T22:47:58"/>
    <n v="947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d v="2015-01-31T03:25:00"/>
    <n v="198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d v="2014-10-16T00:00:00"/>
    <n v="485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d v="2014-12-15T13:12:57"/>
    <n v="1067.8999999999999"/>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d v="2015-04-04T14:43:57"/>
    <n v="1533"/>
  </r>
  <r>
    <n v="1788"/>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d v="2014-10-31T22:45:42"/>
    <n v="100.3200000000000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d v="2015-01-12T06:00:03"/>
    <n v="4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d v="2015-02-05T16:11:18"/>
    <n v="1636"/>
  </r>
  <r>
    <n v="1791"/>
    <s v="disCover: Napoli"/>
    <s v="For the love of street photography and the beauty of traditional cultures in southern Italy."/>
    <n v="3000"/>
    <n v="107"/>
    <x v="2"/>
    <x v="1"/>
    <s v="GBP"/>
    <n v="1422553565"/>
    <n v="1417369565"/>
    <b v="1"/>
    <n v="4"/>
    <b v="0"/>
    <s v="photography/photobooks"/>
    <n v="3.5666666666666666E-2"/>
    <n v="26.75"/>
    <x v="8"/>
    <x v="20"/>
    <d v="2014-11-30T17:46:05"/>
    <d v="2015-01-29T17:46:05"/>
    <n v="141.24"/>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d v="2015-08-10T06:59:00"/>
    <n v="1528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d v="2014-11-27T22:24:00"/>
    <n v="29.2"/>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d v="2015-02-11T13:13:42"/>
    <n v="997"/>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d v="2016-10-14T16:00:00"/>
    <n v="12798.279999999999"/>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d v="2016-07-24T10:32:46"/>
    <n v="5530.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d v="2016-12-15T13:39:49"/>
    <n v="675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d v="2016-02-04T07:50:33"/>
    <n v="2182"/>
  </r>
  <r>
    <n v="1799"/>
    <s v="The UnDiscovered Image"/>
    <s v="The UnDiscovered Image, a monthly publication dedicated to photographers."/>
    <n v="4000"/>
    <n v="69.83"/>
    <x v="2"/>
    <x v="1"/>
    <s v="GBP"/>
    <n v="1415740408"/>
    <n v="1414008808"/>
    <b v="1"/>
    <n v="6"/>
    <b v="0"/>
    <s v="photography/photobooks"/>
    <n v="1.7457500000000001E-2"/>
    <n v="11.638333333333334"/>
    <x v="8"/>
    <x v="20"/>
    <d v="2014-10-22T20:13:28"/>
    <d v="2014-11-11T21:13:28"/>
    <n v="92.17560000000000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d v="2016-10-10T14:32:50"/>
    <n v="12487.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d v="2015-12-15T12:10:00"/>
    <n v="3108.6000000000004"/>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d v="2015-06-27T21:59:00"/>
    <n v="2002.459999999999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d v="2015-02-14T01:43:02"/>
    <n v="539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d v="2015-11-14T17:16:44"/>
    <n v="5452"/>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d v="2015-10-02T18:00:00"/>
    <n v="9665.3799999999992"/>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d v="2014-09-30T15:19:09"/>
    <n v="780.12"/>
  </r>
  <r>
    <n v="1807"/>
    <s v="Anywhere but Here"/>
    <s v="I want to explore alternative cultures and lifestyles in America."/>
    <n v="5000"/>
    <n v="553"/>
    <x v="2"/>
    <x v="0"/>
    <s v="USD"/>
    <n v="1411868313"/>
    <n v="1409276313"/>
    <b v="1"/>
    <n v="8"/>
    <b v="0"/>
    <s v="photography/photobooks"/>
    <n v="0.1106"/>
    <n v="69.125"/>
    <x v="8"/>
    <x v="20"/>
    <d v="2014-08-29T01:38:33"/>
    <d v="2014-09-28T01:38:33"/>
    <n v="55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d v="2017-02-11T16:20:30"/>
    <n v="11594"/>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d v="2015-03-01T21:47:19"/>
    <n v="288.8"/>
  </r>
  <r>
    <n v="1810"/>
    <s v="Film Speed"/>
    <s v="Film Speed is a series of Zines focusing on architecture shot completely on 35 and 120mm film."/>
    <n v="450"/>
    <n v="15"/>
    <x v="2"/>
    <x v="0"/>
    <s v="USD"/>
    <n v="1408657826"/>
    <n v="1407621026"/>
    <b v="0"/>
    <n v="2"/>
    <b v="0"/>
    <s v="photography/photobooks"/>
    <n v="3.3333333333333333E-2"/>
    <n v="7.5"/>
    <x v="8"/>
    <x v="20"/>
    <d v="2014-08-09T21:50:26"/>
    <d v="2014-08-21T21:50:26"/>
    <n v="15"/>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d v="2014-10-24T04:00:00"/>
    <n v="4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d v="2016-07-03T07:38:56"/>
    <n v="1141.8"/>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d v="2015-02-28T07:32:16"/>
    <n v="7790.64"/>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d v="2016-07-25T19:00:00"/>
    <n v="468.28000000000003"/>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d v="2017-01-30T06:59:00"/>
    <n v="9419"/>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d v="2014-07-30T18:03:16"/>
    <n v="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d v="2015-04-01T01:01:30"/>
    <n v="1707"/>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d v="2012-03-03T07:39:27"/>
    <n v="3372.25"/>
  </r>
  <r>
    <n v="1822"/>
    <s v="Wood Butcher's new music video- I Don't Wanna Party"/>
    <s v="Wood Butcher needs your help to make this happen. Buy a CD, support local music!"/>
    <n v="300"/>
    <n v="300"/>
    <x v="0"/>
    <x v="5"/>
    <s v="CAD"/>
    <n v="1391194860"/>
    <n v="1388084862"/>
    <b v="0"/>
    <n v="11"/>
    <b v="1"/>
    <s v="music/rock"/>
    <n v="1"/>
    <n v="27.272727272727273"/>
    <x v="4"/>
    <x v="11"/>
    <d v="2013-12-26T19:07:42"/>
    <d v="2014-01-31T19:01:00"/>
    <n v="228"/>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811"/>
  </r>
  <r>
    <n v="1824"/>
    <s v="Tin Man's Broken Wisdom Fund"/>
    <s v="cd fund raiser"/>
    <n v="3000"/>
    <n v="3002"/>
    <x v="0"/>
    <x v="0"/>
    <s v="USD"/>
    <n v="1389146880"/>
    <n v="1387403967"/>
    <b v="0"/>
    <n v="40"/>
    <b v="1"/>
    <s v="music/rock"/>
    <n v="1.0006666666666666"/>
    <n v="75.05"/>
    <x v="4"/>
    <x v="11"/>
    <d v="2013-12-18T21:59:27"/>
    <d v="2014-01-08T02:08:00"/>
    <n v="300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101"/>
  </r>
  <r>
    <n v="1826"/>
    <s v="BEAR GHOST! Professional Recording! Yay!"/>
    <s v="Hear your favorite Bear Ghost in eargasmic quality!"/>
    <n v="2000"/>
    <n v="2020"/>
    <x v="0"/>
    <x v="0"/>
    <s v="USD"/>
    <n v="1392675017"/>
    <n v="1390083017"/>
    <b v="0"/>
    <n v="38"/>
    <b v="1"/>
    <s v="music/rock"/>
    <n v="1.01"/>
    <n v="53.157894736842103"/>
    <x v="4"/>
    <x v="11"/>
    <d v="2014-01-18T22:10:17"/>
    <d v="2014-02-17T22:10:17"/>
    <n v="20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8053"/>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d v="2014-05-09T22:00:00"/>
    <n v="2003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2500.25"/>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d v="2014-02-24T16:25:07"/>
    <n v="1523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03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50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105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1180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686.4"/>
  </r>
  <r>
    <n v="1836"/>
    <s v="KICKSTART OUR &lt;+3"/>
    <s v="Help fund our 2013 Sound &amp; Lighting Touring rig!"/>
    <n v="5000"/>
    <n v="10017"/>
    <x v="0"/>
    <x v="0"/>
    <s v="USD"/>
    <n v="1361129129"/>
    <n v="1359660329"/>
    <b v="0"/>
    <n v="55"/>
    <b v="1"/>
    <s v="music/rock"/>
    <n v="2.0034000000000001"/>
    <n v="182.12727272727273"/>
    <x v="4"/>
    <x v="11"/>
    <d v="2013-01-31T19:25:29"/>
    <d v="2013-02-17T19:25:29"/>
    <n v="100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d v="2012-03-18T00:08:55"/>
    <n v="184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1001.4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d v="2016-10-01T17:19:42"/>
    <n v="2053"/>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d v="2013-05-07T04:59:00"/>
    <n v="980"/>
  </r>
  <r>
    <n v="1841"/>
    <s v="Hydra Effect Debut EP"/>
    <s v="Hard Rock with a Positive Message. Help us fund, release and promote our debut EP!"/>
    <n v="2000"/>
    <n v="2035"/>
    <x v="0"/>
    <x v="0"/>
    <s v="USD"/>
    <n v="1400561940"/>
    <n v="1397679445"/>
    <b v="0"/>
    <n v="40"/>
    <b v="1"/>
    <s v="music/rock"/>
    <n v="1.0175000000000001"/>
    <n v="50.875"/>
    <x v="4"/>
    <x v="11"/>
    <d v="2014-04-16T20:17:25"/>
    <d v="2014-05-20T04:59:00"/>
    <n v="203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d v="2015-03-02T05:59:00"/>
    <n v="2505"/>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d v="2011-02-20T23:52:34"/>
    <n v="12400.6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15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d v="2016-06-17T04:55:00"/>
    <n v="10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d v="2012-12-15T15:36:17"/>
    <n v="2068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302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d v="2011-07-31T06:59:00"/>
    <n v="3221"/>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d v="2014-07-10T23:01:40"/>
    <n v="9137"/>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d v="2014-07-28T01:00:00"/>
    <n v="130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d v="2015-04-25T00:00:00"/>
    <n v="1754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81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d v="2013-05-24T00:30:37"/>
    <n v="15318.55"/>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10244.921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025"/>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d v="2014-09-12T18:26:53"/>
    <n v="300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41.55"/>
  </r>
  <r>
    <n v="1859"/>
    <s v="Queen Kwong Tour to London and Paris"/>
    <s v="Queen Kwong is going ON TOUR to London and Paris!"/>
    <n v="3000"/>
    <n v="3955"/>
    <x v="0"/>
    <x v="0"/>
    <s v="USD"/>
    <n v="1316716129"/>
    <n v="1314124129"/>
    <b v="0"/>
    <n v="56"/>
    <b v="1"/>
    <s v="music/rock"/>
    <n v="1.3183333333333334"/>
    <n v="70.625"/>
    <x v="4"/>
    <x v="11"/>
    <d v="2011-08-23T18:28:49"/>
    <d v="2011-09-22T18:28:49"/>
    <n v="3955"/>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100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d v="2017-03-08T07:30:00"/>
    <n v="1455"/>
  </r>
  <r>
    <n v="1863"/>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d v="2014-06-12T19:08:05"/>
    <n v="1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d v="2014-05-04T17:11:40"/>
    <n v="278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d v="2016-11-06T09:49:07"/>
    <n v="5.2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d v="2017-03-01T04:00:00"/>
    <n v="125"/>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d v="2016-11-05T22:11:52"/>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d v="2015-12-15T07:59:00"/>
    <n v="1217"/>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0"/>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d v="2016-01-31T04:17:00"/>
    <n v="36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d v="2014-11-20T19:48:21"/>
    <n v="466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d v="2015-06-30T03:06:42"/>
    <n v="21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d v="2015-07-08T16:45:00"/>
    <n v="27.3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d v="2016-06-28T23:15:33"/>
    <n v="26"/>
  </r>
  <r>
    <n v="1875"/>
    <s v="Claws &amp; Fins"/>
    <s v="Sea opposition of Crab's family and angry fishes. Who is going to win, and who is going to loose ?!"/>
    <n v="10000"/>
    <n v="51"/>
    <x v="2"/>
    <x v="0"/>
    <s v="USD"/>
    <n v="1470519308"/>
    <n v="1465335308"/>
    <b v="0"/>
    <n v="3"/>
    <b v="0"/>
    <s v="games/mobile games"/>
    <n v="5.1000000000000004E-3"/>
    <n v="17"/>
    <x v="6"/>
    <x v="18"/>
    <d v="2016-06-07T21:35:08"/>
    <d v="2016-08-06T21:35:08"/>
    <n v="51"/>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0"/>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d v="2016-03-14T14:35:29"/>
    <n v="7.08"/>
  </r>
  <r>
    <n v="1880"/>
    <s v="Sim Betting Football"/>
    <s v="Sim Betting Football is the only football (soccer) betting simulation  game."/>
    <n v="5000"/>
    <n v="1004"/>
    <x v="2"/>
    <x v="1"/>
    <s v="GBP"/>
    <n v="1459341380"/>
    <n v="1456839380"/>
    <b v="0"/>
    <n v="24"/>
    <b v="0"/>
    <s v="games/mobile games"/>
    <n v="0.20080000000000001"/>
    <n v="41.833333333333336"/>
    <x v="6"/>
    <x v="18"/>
    <d v="2016-03-01T13:36:20"/>
    <d v="2016-03-30T12:36:20"/>
    <n v="1325.2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d v="2015-03-10T02:39:49"/>
    <n v="3453.6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8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d v="2012-04-08T21:45:08"/>
    <n v="104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135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532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122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3935.299999999999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d v="2010-06-01T04:59:00"/>
    <n v="4152"/>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213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d v="2012-12-15T18:52:08"/>
    <n v="17350.1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1055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d v="2011-06-07T15:18:01"/>
    <n v="683"/>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2600"/>
  </r>
  <r>
    <n v="1894"/>
    <s v="Help me release my first 3 song EP!!"/>
    <s v="Im trying to raise $1000 for a 3 song EP in a studio!"/>
    <n v="1000"/>
    <n v="1145"/>
    <x v="0"/>
    <x v="0"/>
    <s v="USD"/>
    <n v="1329082983"/>
    <n v="1326404583"/>
    <b v="0"/>
    <n v="20"/>
    <b v="1"/>
    <s v="music/indie rock"/>
    <n v="1.145"/>
    <n v="57.25"/>
    <x v="4"/>
    <x v="14"/>
    <d v="2012-01-12T21:43:03"/>
    <d v="2012-02-12T21:43:03"/>
    <n v="114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9228"/>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559"/>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650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d v="2016-02-01T18:00:00"/>
    <n v="144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d v="2015-03-25T21:36:06"/>
    <n v="120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d v="2012-10-06T09:59:00"/>
    <n v="2734.1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d v="2015-05-22T13:00:00"/>
    <n v="3524.4"/>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d v="2015-03-04T18:57:27"/>
    <n v="14.1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d v="2017-01-27T18:29:51"/>
    <n v="1398"/>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d v="2016-01-02T16:27:01"/>
    <n v="5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d v="2014-09-07T22:13:14"/>
    <n v="4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d v="2016-06-23T16:06:23"/>
    <n v="21380"/>
  </r>
  <r>
    <n v="1907"/>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d v="2014-05-23T14:05:25"/>
    <n v="8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d v="2016-12-29T22:01:40"/>
    <n v="433"/>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d v="2014-10-23T10:17:59"/>
    <n v="493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d v="2015-10-31T22:45:00"/>
    <n v="39513.47999999999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d v="2014-08-09T00:48:54"/>
    <n v="6.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d v="2015-06-04T05:26:00"/>
    <n v="2965"/>
  </r>
  <r>
    <n v="1913"/>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d v="2014-10-08T12:16:18"/>
    <n v="840.84"/>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d v="2014-11-01T03:59:00"/>
    <n v="6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d v="2014-09-02T01:10:22"/>
    <n v="8"/>
  </r>
  <r>
    <n v="1916"/>
    <s v="The Paint Can Holder by U.S. Green Products"/>
    <s v="The Paint Can Holder Makes Painting Easier and Safer on Extension Ladders."/>
    <n v="20000"/>
    <n v="102"/>
    <x v="2"/>
    <x v="0"/>
    <s v="USD"/>
    <n v="1478542375"/>
    <n v="1476378775"/>
    <b v="0"/>
    <n v="6"/>
    <b v="0"/>
    <s v="technology/gadgets"/>
    <n v="5.1000000000000004E-3"/>
    <n v="17"/>
    <x v="2"/>
    <x v="29"/>
    <d v="2016-10-13T17:12:55"/>
    <d v="2016-11-07T18:12:55"/>
    <n v="102"/>
  </r>
  <r>
    <n v="1917"/>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d v="2017-02-10T06:28:53"/>
    <n v="26653.25"/>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d v="2014-08-12T18:57:31"/>
    <n v="26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d v="2015-05-19T21:00:49"/>
    <n v="23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d v="2015-10-21T23:00:00"/>
    <n v="5679.96"/>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2052"/>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231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d v="2011-09-27T04:59:00"/>
    <n v="30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3432"/>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165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d v="2010-11-02T00:26:00"/>
    <n v="2930.69"/>
  </r>
  <r>
    <n v="1927"/>
    <s v="GBS Detroit Presents Hampshire"/>
    <s v="Hampshire is headed to GBS Detroit."/>
    <n v="600"/>
    <n v="620"/>
    <x v="0"/>
    <x v="0"/>
    <s v="USD"/>
    <n v="1331182740"/>
    <n v="1329856839"/>
    <b v="0"/>
    <n v="11"/>
    <b v="1"/>
    <s v="music/indie rock"/>
    <n v="1.0333333333333334"/>
    <n v="56.363636363636367"/>
    <x v="4"/>
    <x v="14"/>
    <d v="2012-02-21T20:40:39"/>
    <d v="2012-03-08T04:59:00"/>
    <n v="62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263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321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1270"/>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2412.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561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d v="2014-09-27T03:08:27"/>
    <n v="1034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d v="2011-12-25T05:00:00"/>
    <n v="618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d v="2014-06-21T04:59:00"/>
    <n v="27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8739.0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d v="2012-06-15T03:59:00"/>
    <n v="1123.4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d v="2013-07-02T05:00:00"/>
    <n v="1739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1107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111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15295.89"/>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8306.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17052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d v="2014-05-01T14:01:30"/>
    <n v="315222.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d v="2015-07-12T06:02:38"/>
    <n v="410661.2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112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805.07"/>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80021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d v="2014-07-10T10:09:11"/>
    <n v="69961.71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96248.96000000000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10622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d v="2013-10-16T14:33:35"/>
    <n v="52793.650800000003"/>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d v="2012-03-02T03:00:00"/>
    <n v="33892"/>
  </r>
  <r>
    <n v="1954"/>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d v="2016-03-12T05:00:00"/>
    <n v="34947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167410.0199999999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d v="2015-04-18T21:10:05"/>
    <n v="176420"/>
  </r>
  <r>
    <n v="1957"/>
    <s v="freeSoC and freeSoC Mini"/>
    <s v="An open hardware platform for the best microcontroller in the world."/>
    <n v="30000"/>
    <n v="50251.41"/>
    <x v="0"/>
    <x v="0"/>
    <s v="USD"/>
    <n v="1351304513"/>
    <n v="1348712513"/>
    <b v="1"/>
    <n v="660"/>
    <b v="1"/>
    <s v="technology/hardware"/>
    <n v="1.6750470000000002"/>
    <n v="76.138500000000008"/>
    <x v="2"/>
    <x v="30"/>
    <d v="2012-09-27T02:21:53"/>
    <d v="2012-10-27T02:21:53"/>
    <n v="50251.4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100490.0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d v="2014-10-01T00:00:00"/>
    <n v="15673.44"/>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d v="2014-12-21T08:42:21"/>
    <n v="9078.5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d v="2012-10-06T03:59:00"/>
    <n v="110538.1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d v="2014-05-13T18:43:56"/>
    <n v="19292.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1822.56000000000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d v="2016-04-22T06:32:52"/>
    <n v="273220.8815999999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d v="2012-01-12T01:00:00"/>
    <n v="13114"/>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206743.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d v="2014-05-01T15:55:29"/>
    <n v="7402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14248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d v="2016-08-05T19:01:08"/>
    <n v="152877.1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5659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d v="2013-11-15T04:00:00"/>
    <n v="1052110.870000000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d v="2012-11-18T01:17:24"/>
    <n v="1686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d v="2016-08-06T07:00:00"/>
    <n v="508525.0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d v="2013-08-19T08:01:09"/>
    <n v="99130.944000000003"/>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d v="2013-03-10T18:07:31"/>
    <n v="33393.339999999997"/>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d v="2013-07-13T21:35:25"/>
    <n v="18300.4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d v="2015-12-19T07:59:00"/>
    <n v="201165"/>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d v="2012-06-12T07:00:00"/>
    <n v="513422.57"/>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229802.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d v="2016-04-03T12:01:02"/>
    <n v="209346.1718000000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d v="2014-07-09T17:24:25"/>
    <n v="289.56"/>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d v="2016-09-02T07:00:00"/>
    <n v="141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d v="2014-11-30T19:58:01"/>
    <n v="317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d v="2016-08-02T23:00:00"/>
    <n v="67.320000000000007"/>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d v="2016-03-14T09:24:43"/>
    <n v="1.32"/>
  </r>
  <r>
    <n v="1987"/>
    <s v="Ethiopia: Beheld"/>
    <s v="A collection of images that depicts the beauty and diversity within Ethiopia"/>
    <n v="5500"/>
    <n v="2336"/>
    <x v="2"/>
    <x v="1"/>
    <s v="GBP"/>
    <n v="1425223276"/>
    <n v="1422631276"/>
    <b v="0"/>
    <n v="28"/>
    <b v="0"/>
    <s v="photography/people"/>
    <n v="0.42472727272727273"/>
    <n v="83.428571428571431"/>
    <x v="8"/>
    <x v="31"/>
    <d v="2015-01-30T15:21:16"/>
    <d v="2015-03-01T15:21:16"/>
    <n v="3083.52"/>
  </r>
  <r>
    <n v="1988"/>
    <s v="Phillip Michael Photography"/>
    <s v="Expressing art in an image!"/>
    <n v="6000"/>
    <n v="25"/>
    <x v="2"/>
    <x v="0"/>
    <s v="USD"/>
    <n v="1440094742"/>
    <n v="1437502742"/>
    <b v="0"/>
    <n v="1"/>
    <b v="0"/>
    <s v="photography/people"/>
    <n v="4.1666666666666666E-3"/>
    <n v="25"/>
    <x v="8"/>
    <x v="31"/>
    <d v="2015-07-21T18:19:02"/>
    <d v="2015-08-20T18:19:02"/>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d v="2016-12-11T16:20:08"/>
    <n v="50"/>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d v="2016-02-13T04:42:12"/>
    <n v="509"/>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d v="2015-07-03T21:26:26"/>
    <n v="140"/>
  </r>
  <r>
    <n v="1992"/>
    <s v="The Wonderful World of Princes &amp; Princesses"/>
    <s v="A complete revamp of all the Disney Princes &amp; Princesses!"/>
    <n v="1500"/>
    <n v="2"/>
    <x v="2"/>
    <x v="0"/>
    <s v="USD"/>
    <n v="1424229991"/>
    <n v="1421637991"/>
    <b v="0"/>
    <n v="2"/>
    <b v="0"/>
    <s v="photography/people"/>
    <n v="1.3333333333333333E-3"/>
    <n v="1"/>
    <x v="8"/>
    <x v="31"/>
    <d v="2015-01-19T03:26:31"/>
    <d v="2015-02-18T03:26:31"/>
    <n v="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0"/>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d v="2015-07-16T21:38:56"/>
    <n v="59.2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0"/>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d v="2014-08-01T02:50:38"/>
    <n v="655"/>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d v="2014-11-13T12:35:08"/>
    <n v="311.52000000000004"/>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d v="2016-01-06T22:50:13"/>
    <n v="475"/>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248001.7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108397.1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56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117210.2400000000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d v="2013-10-16T03:59:00"/>
    <n v="37104.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d v="2014-12-03T13:00:45"/>
    <n v="12392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11570.9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1839"/>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d v="2016-11-23T08:45:43"/>
    <n v="180043.22"/>
  </r>
  <r>
    <n v="2010"/>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d v="2016-08-18T23:54:51"/>
    <n v="96015.9"/>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d v="2016-01-11T23:00:00"/>
    <n v="483542.75999999995"/>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d v="2015-02-05T19:44:01"/>
    <n v="11745"/>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d v="2016-07-08T23:03:34"/>
    <n v="79186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d v="2013-03-25T04:08:59"/>
    <n v="2344134.6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d v="2011-09-09T21:02:43"/>
    <n v="8136.0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d v="2013-03-09T21:08:19"/>
    <n v="92154.2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275.599999999999"/>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78420.71139999998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d v="2016-09-22T17:00:21"/>
    <n v="193963.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d v="2014-05-14T23:04:00"/>
    <n v="288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d v="2014-09-24T01:41:37"/>
    <n v="1405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12513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16145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d v="2012-08-13T03:00:00"/>
    <n v="2341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189885.5999999999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d v="2014-04-21T03:59:00"/>
    <n v="33370.76999999999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12024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85"/>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d v="2014-08-27T00:31:21"/>
    <n v="90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97856.8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71006.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7604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4466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d v="2015-05-07T06:58:00"/>
    <n v="301719.59000000003"/>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168829.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d v="2014-05-09T20:45:19"/>
    <n v="39500.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d v="2013-12-30T06:02:33"/>
    <n v="30047.6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d v="2013-07-01T18:00:00"/>
    <n v="44406.1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d v="2016-12-01T04:59:00"/>
    <n v="170271"/>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7445.1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1727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d v="2016-01-22T16:59:34"/>
    <n v="1235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d v="2016-12-11T04:59:00"/>
    <n v="701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1623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d v="2012-07-09T02:07:27"/>
    <n v="40140.0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1211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73685.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d v="2013-05-23T15:38:11"/>
    <n v="126082.45"/>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79325.86200000000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7327"/>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d v="2013-12-26T00:32:17"/>
    <n v="10429"/>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d v="2016-02-20T02:00:53"/>
    <n v="176524"/>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505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52479.24000000000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1004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d v="2013-04-17T18:15:42"/>
    <n v="7672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d v="2016-02-26T11:52:12"/>
    <n v="40041.975600000005"/>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5686.5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4303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4910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539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d v="2016-03-24T08:11:38"/>
    <n v="18396.3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d v="2016-05-15T17:35:01"/>
    <n v="6987.9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500784.27"/>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105185.5860000000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d v="2014-08-23T18:31:23"/>
    <n v="4372"/>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828.9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d v="2016-10-20T20:11:55"/>
    <n v="26305.9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d v="2016-01-02T23:19:51"/>
    <n v="64203.33"/>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d v="2016-06-28T15:45:23"/>
    <n v="468057.6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d v="2016-10-02T06:41:24"/>
    <n v="561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7917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d v="2015-05-08T16:01:58"/>
    <n v="152604.29999999999"/>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615"/>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167820.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d v="2014-07-23T21:08:09"/>
    <n v="1283825.386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754"/>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d v="2016-12-18T18:30:57"/>
    <n v="30964.37999999999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d v="2015-06-25T19:00:00"/>
    <n v="38038.44"/>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d v="2015-11-11T23:58:20"/>
    <n v="507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0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166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85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5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d v="2012-07-15T20:03:07"/>
    <n v="7412"/>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402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d v="2011-09-08T04:54:18"/>
    <n v="155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d v="2010-09-11T03:59:00"/>
    <n v="3465.32"/>
  </r>
  <r>
    <n v="2089"/>
    <s v="Little Moses EP"/>
    <s v="Little Moses is trying to record their first EP, and we can't do it without your help!"/>
    <n v="2500"/>
    <n v="3010.01"/>
    <x v="0"/>
    <x v="0"/>
    <s v="USD"/>
    <n v="1375408194"/>
    <n v="1372384194"/>
    <b v="0"/>
    <n v="62"/>
    <b v="1"/>
    <s v="music/indie rock"/>
    <n v="1.2040040000000001"/>
    <n v="48.54854838709678"/>
    <x v="4"/>
    <x v="14"/>
    <d v="2013-06-28T01:49:54"/>
    <d v="2013-08-02T01:49:54"/>
    <n v="3010.0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d v="2013-02-24T09:09:15"/>
    <n v="9203.23"/>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21684.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7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d v="2012-12-22T21:30:32"/>
    <n v="1537"/>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d v="2012-03-05T03:00:00"/>
    <n v="4219"/>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d v="2011-10-02T17:36:13"/>
    <n v="250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6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d v="2011-12-01T15:02:15"/>
    <n v="300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6020"/>
  </r>
  <r>
    <n v="2099"/>
    <s v="Roosevelt Died."/>
    <s v="Our tour van died, we need help!"/>
    <n v="3000"/>
    <n v="3971"/>
    <x v="0"/>
    <x v="0"/>
    <s v="USD"/>
    <n v="1435808400"/>
    <n v="1434650084"/>
    <b v="0"/>
    <n v="63"/>
    <b v="1"/>
    <s v="music/indie rock"/>
    <n v="1.3236666666666668"/>
    <n v="63.031746031746032"/>
    <x v="4"/>
    <x v="14"/>
    <d v="2015-06-18T17:54:44"/>
    <d v="2015-07-02T03:40:00"/>
    <n v="397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d v="2012-06-30T03:59:00"/>
    <n v="82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d v="2012-02-13T03:35:14"/>
    <n v="226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136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1136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d v="2013-05-31T00:00:00"/>
    <n v="103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508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d v="2013-01-26T05:09:34"/>
    <n v="235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54.6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1717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d v="2015-07-05T17:00:17"/>
    <n v="426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007"/>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d v="2011-08-15T01:00:00"/>
    <n v="213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d v="2013-04-15T22:16:33"/>
    <n v="300"/>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734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523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d v="2011-02-20T01:56:41"/>
    <n v="338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d v="2012-10-02T18:40:03"/>
    <n v="4843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773"/>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1346.1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d v="2012-08-16T03:07:25"/>
    <n v="2015"/>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8070.43"/>
  </r>
  <r>
    <n v="2121"/>
    <s v="Legend of Decay"/>
    <s v="Join us on an epic journey to discover a millennia old secret which will change the world forever."/>
    <n v="50000"/>
    <n v="284"/>
    <x v="2"/>
    <x v="16"/>
    <s v="CHF"/>
    <n v="1484156948"/>
    <n v="1481564948"/>
    <b v="0"/>
    <n v="10"/>
    <b v="0"/>
    <s v="games/video games"/>
    <n v="5.6800000000000002E-3"/>
    <n v="28.4"/>
    <x v="6"/>
    <x v="17"/>
    <d v="2016-12-12T17:49:08"/>
    <d v="2017-01-11T17:49:08"/>
    <n v="261.28000000000003"/>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d v="2017-01-07T07:12:49"/>
    <n v="14.2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d v="2010-03-15T06:59:00"/>
    <n v="5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d v="2010-11-30T05:00:00"/>
    <n v="1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d v="2015-08-05T00:33:53"/>
    <n v="852"/>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d v="2014-12-08T23:21:27"/>
    <n v="10"/>
  </r>
  <r>
    <n v="2127"/>
    <s v="Three Monkeys - Part 1: Into the Abyss"/>
    <s v="Three Monkeys is an audio adventure game for PC."/>
    <n v="28000"/>
    <n v="8076"/>
    <x v="2"/>
    <x v="1"/>
    <s v="GBP"/>
    <n v="1426158463"/>
    <n v="1423570063"/>
    <b v="0"/>
    <n v="236"/>
    <b v="0"/>
    <s v="games/video games"/>
    <n v="0.28842857142857142"/>
    <n v="34.220338983050844"/>
    <x v="6"/>
    <x v="17"/>
    <d v="2015-02-10T12:07:43"/>
    <d v="2015-03-12T11:07:43"/>
    <n v="10660.32"/>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d v="2014-09-21T18:32:49"/>
    <n v="1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d v="2016-03-10T00:35:00"/>
    <n v="236"/>
  </r>
  <r>
    <n v="2130"/>
    <s v="Wondrous Adventures: A Kid's Game"/>
    <s v="You are the hero tasked to save your home from the villainous Sanword."/>
    <n v="42000"/>
    <n v="85"/>
    <x v="2"/>
    <x v="0"/>
    <s v="USD"/>
    <n v="1408154663"/>
    <n v="1405130663"/>
    <b v="0"/>
    <n v="4"/>
    <b v="0"/>
    <s v="games/video games"/>
    <n v="2.0238095238095236E-3"/>
    <n v="21.25"/>
    <x v="6"/>
    <x v="17"/>
    <d v="2014-07-12T02:04:23"/>
    <d v="2014-08-16T02:04:23"/>
    <n v="85"/>
  </r>
  <r>
    <n v="2131"/>
    <s v="Scout's Honor"/>
    <s v="From frightened girl to empowered woman, Scout's Honor is a tale about facing your fears and overcoming odds."/>
    <n v="500"/>
    <n v="25"/>
    <x v="2"/>
    <x v="0"/>
    <s v="USD"/>
    <n v="1436677091"/>
    <n v="1434085091"/>
    <b v="0"/>
    <n v="3"/>
    <b v="0"/>
    <s v="games/video games"/>
    <n v="0.05"/>
    <n v="8.3333333333333339"/>
    <x v="6"/>
    <x v="17"/>
    <d v="2015-06-12T04:58:11"/>
    <d v="2015-07-12T04:58:11"/>
    <n v="2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d v="2014-02-03T11:41:32"/>
    <n v="2112.989999999999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d v="2011-04-24T06:59:00"/>
    <n v="1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d v="2013-04-27T21:16:31"/>
    <n v="10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d v="2012-10-04T23:07:13"/>
    <n v="47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d v="2013-10-19T12:13:06"/>
    <n v="47.6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d v="2014-12-05T18:30:29"/>
    <n v="10794.28"/>
  </r>
  <r>
    <n v="2138"/>
    <s v="Tales Of Tameria - Dawning Light"/>
    <s v="A game with a mixture of a few genres from RPG, Simulation and to adventure elements."/>
    <n v="1000"/>
    <n v="128"/>
    <x v="2"/>
    <x v="1"/>
    <s v="GBP"/>
    <n v="1383959939"/>
    <n v="1381364339"/>
    <b v="0"/>
    <n v="12"/>
    <b v="0"/>
    <s v="games/video games"/>
    <n v="0.128"/>
    <n v="10.666666666666666"/>
    <x v="6"/>
    <x v="17"/>
    <d v="2013-10-10T00:18:59"/>
    <d v="2013-11-09T01:18:59"/>
    <n v="168.9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d v="2016-11-03T18:00:08"/>
    <n v="162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d v="2013-01-11T20:00:24"/>
    <n v="56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d v="2015-12-30T16:50:10"/>
    <n v="709.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d v="2010-07-21T19:00:00"/>
    <n v="225"/>
  </r>
  <r>
    <n v="2144"/>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d v="2013-09-14T13:07:20"/>
    <n v="60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d v="2013-11-27T06:41:54"/>
    <n v="456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d v="2016-02-11T16:18:30"/>
    <n v="1"/>
  </r>
  <r>
    <n v="2147"/>
    <s v="Johnny Rocketfingers 3"/>
    <s v="A Point and Click Adventure on Steroids."/>
    <n v="390000"/>
    <n v="2716"/>
    <x v="2"/>
    <x v="0"/>
    <s v="USD"/>
    <n v="1416125148"/>
    <n v="1413356748"/>
    <b v="0"/>
    <n v="55"/>
    <b v="0"/>
    <s v="games/video games"/>
    <n v="6.9641025641025639E-3"/>
    <n v="49.381818181818183"/>
    <x v="6"/>
    <x v="17"/>
    <d v="2014-10-15T07:05:48"/>
    <d v="2014-11-16T08:05:48"/>
    <n v="2716"/>
  </r>
  <r>
    <n v="2148"/>
    <s v="ZomBlock's"/>
    <s v="zomblock's is a online zombie survival game where you can craft new weapons,find food and water to keep yourself alive."/>
    <n v="100"/>
    <n v="2"/>
    <x v="2"/>
    <x v="1"/>
    <s v="GBP"/>
    <n v="1427992582"/>
    <n v="1425404182"/>
    <b v="0"/>
    <n v="2"/>
    <b v="0"/>
    <s v="games/video games"/>
    <n v="0.02"/>
    <n v="1"/>
    <x v="6"/>
    <x v="17"/>
    <d v="2015-03-03T17:36:22"/>
    <d v="2015-04-02T16:36:22"/>
    <n v="2.64"/>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0"/>
  </r>
  <r>
    <n v="2150"/>
    <s v="The Unknown Door"/>
    <s v="A pixel styled open world detective game."/>
    <n v="50000"/>
    <n v="405"/>
    <x v="2"/>
    <x v="10"/>
    <s v="NOK"/>
    <n v="1468392599"/>
    <n v="1465800599"/>
    <b v="0"/>
    <n v="4"/>
    <b v="0"/>
    <s v="games/video games"/>
    <n v="8.0999999999999996E-3"/>
    <n v="101.25"/>
    <x v="6"/>
    <x v="17"/>
    <d v="2016-06-13T06:49:59"/>
    <d v="2016-07-13T06:49:59"/>
    <n v="44.5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d v="2016-06-29T20:20:14"/>
    <n v="1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d v="2014-03-15T18:58:29"/>
    <n v="50"/>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d v="2015-01-10T07:59:00"/>
    <n v="34"/>
  </r>
  <r>
    <n v="2154"/>
    <s v="Demigods - Rise of the Children - Part 1 (Design)"/>
    <s v="A Real Time Strategy game based on Greek mythology in a fictional world."/>
    <n v="250"/>
    <n v="2"/>
    <x v="2"/>
    <x v="0"/>
    <s v="USD"/>
    <n v="1390921827"/>
    <n v="1389193827"/>
    <b v="0"/>
    <n v="2"/>
    <b v="0"/>
    <s v="games/video games"/>
    <n v="8.0000000000000002E-3"/>
    <n v="1"/>
    <x v="6"/>
    <x v="17"/>
    <d v="2014-01-08T15:10:27"/>
    <d v="2014-01-28T15:10:27"/>
    <n v="2"/>
  </r>
  <r>
    <n v="2155"/>
    <s v="VoxelMaze"/>
    <s v="A Level Editor, Turned up to eleven. Infinite creativity in one package, solo or with up to 16 of your friends."/>
    <n v="5000"/>
    <n v="115"/>
    <x v="2"/>
    <x v="1"/>
    <s v="GBP"/>
    <n v="1459443385"/>
    <n v="1456854985"/>
    <b v="0"/>
    <n v="5"/>
    <b v="0"/>
    <s v="games/video games"/>
    <n v="2.3E-2"/>
    <n v="23"/>
    <x v="6"/>
    <x v="17"/>
    <d v="2016-03-01T17:56:25"/>
    <d v="2016-03-31T16:56:25"/>
    <n v="151.8000000000000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d v="2013-09-16T20:30:06"/>
    <n v="1493"/>
  </r>
  <r>
    <n v="2157"/>
    <s v="Nin"/>
    <s v="Gamers and 90's fans unite in this small tale of epic proportions!"/>
    <n v="75000"/>
    <n v="21144"/>
    <x v="2"/>
    <x v="0"/>
    <s v="USD"/>
    <n v="1482479940"/>
    <n v="1479684783"/>
    <b v="0"/>
    <n v="57"/>
    <b v="0"/>
    <s v="games/video games"/>
    <n v="0.28192"/>
    <n v="370.94736842105266"/>
    <x v="6"/>
    <x v="17"/>
    <d v="2016-11-20T23:33:03"/>
    <d v="2016-12-23T07:59:00"/>
    <n v="21144"/>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d v="2013-02-04T20:29:34"/>
    <n v="19770.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d v="2011-07-16T17:32:54"/>
    <n v="2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d v="2012-05-19T17:05:05"/>
    <n v="85"/>
  </r>
  <r>
    <n v="2161"/>
    <s v="CallMeGhost DEBUT ALBUM preorder!"/>
    <s v="We're trying to fund hard copies of our debut album!"/>
    <n v="400"/>
    <n v="463"/>
    <x v="0"/>
    <x v="0"/>
    <s v="USD"/>
    <n v="1443040059"/>
    <n v="1440448059"/>
    <b v="0"/>
    <n v="13"/>
    <b v="1"/>
    <s v="music/rock"/>
    <n v="1.1575"/>
    <n v="35.615384615384613"/>
    <x v="4"/>
    <x v="11"/>
    <d v="2015-08-24T20:27:39"/>
    <d v="2015-09-23T20:27:39"/>
    <n v="463"/>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505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d v="2015-06-08T03:50:00"/>
    <n v="3305"/>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5645"/>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4089.879999999999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2932"/>
  </r>
  <r>
    <n v="2167"/>
    <s v="Planes and Planets needs to get their EP finished!!"/>
    <s v="We need YOUR HELP to take one more step to this make release sound amazing!"/>
    <n v="150"/>
    <n v="180"/>
    <x v="0"/>
    <x v="0"/>
    <s v="USD"/>
    <n v="1347672937"/>
    <n v="1346463337"/>
    <b v="0"/>
    <n v="8"/>
    <b v="1"/>
    <s v="music/rock"/>
    <n v="1.2"/>
    <n v="22.5"/>
    <x v="4"/>
    <x v="11"/>
    <d v="2012-09-01T01:35:37"/>
    <d v="2012-09-15T01:35:37"/>
    <n v="18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21884.69"/>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d v="2017-03-02T16:49:11"/>
    <n v="153"/>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d v="2015-08-22T18:00:22"/>
    <n v="633"/>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d v="2015-06-22T05:00:00"/>
    <n v="4243"/>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d v="2015-04-18T13:55:20"/>
    <n v="100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d v="2013-09-10T03:59:00"/>
    <n v="533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5437.08"/>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d v="2016-07-21T00:13:06"/>
    <n v="175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630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d v="2016-06-06T06:01:07"/>
    <n v="2503"/>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4660"/>
  </r>
  <r>
    <n v="2179"/>
    <s v="Woodhouse EP"/>
    <s v="Woodhouse is making an EP!  If you are a fan of whiskey and loud guitars, contribute to the cause!"/>
    <n v="1000"/>
    <n v="1614"/>
    <x v="0"/>
    <x v="0"/>
    <s v="USD"/>
    <n v="1428725192"/>
    <n v="1426133192"/>
    <b v="0"/>
    <n v="21"/>
    <b v="1"/>
    <s v="music/rock"/>
    <n v="1.6140000000000001"/>
    <n v="76.857142857142861"/>
    <x v="4"/>
    <x v="11"/>
    <d v="2015-03-12T04:06:32"/>
    <d v="2015-04-11T04:06:32"/>
    <n v="1614"/>
  </r>
  <r>
    <n v="2180"/>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d v="2015-11-13T17:04:28"/>
    <n v="5359.2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d v="2017-02-21T00:07:33"/>
    <n v="306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1195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d v="2017-02-09T05:00:00"/>
    <n v="8807"/>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d v="2016-01-25T16:00:00"/>
    <n v="2847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d v="2013-03-26T08:23:59"/>
    <n v="122560.0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d v="2016-09-07T02:00:00"/>
    <n v="21935"/>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d v="2015-04-03T03:59:00"/>
    <n v="202928.5"/>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d v="2016-10-25T17:00:00"/>
    <n v="16530.849999999999"/>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d v="2016-04-21T22:00:00"/>
    <n v="7971.480000000000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d v="2016-03-23T06:59:00"/>
    <n v="3507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d v="2017-02-14T20:00:27"/>
    <n v="1185.360000000000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d v="2016-12-15T23:00:00"/>
    <n v="171268.4424000000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d v="2016-11-21T04:59:00"/>
    <n v="6785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d v="2016-03-26T17:11:30"/>
    <n v="53737"/>
  </r>
  <r>
    <n v="2195"/>
    <s v="Purgatoria: City of Angels"/>
    <s v="A gritty, noir tabletop RPG with a fast-paced combo-based battle system."/>
    <n v="4600"/>
    <n v="5535"/>
    <x v="0"/>
    <x v="0"/>
    <s v="USD"/>
    <n v="1439317900"/>
    <n v="1436725900"/>
    <b v="0"/>
    <n v="115"/>
    <b v="1"/>
    <s v="games/tabletop games"/>
    <n v="1.2032608695652174"/>
    <n v="48.130434782608695"/>
    <x v="6"/>
    <x v="32"/>
    <d v="2015-07-12T18:31:40"/>
    <d v="2015-08-11T18:31:40"/>
    <n v="5535"/>
  </r>
  <r>
    <n v="2196"/>
    <s v="LACORSA Grand Prix Game (relaunch)"/>
    <s v="Race your friends in style with this classic Grand Prix game."/>
    <n v="14000"/>
    <n v="15937"/>
    <x v="0"/>
    <x v="0"/>
    <s v="USD"/>
    <n v="1480662000"/>
    <n v="1478000502"/>
    <b v="0"/>
    <n v="234"/>
    <b v="1"/>
    <s v="games/tabletop games"/>
    <n v="1.1383571428571428"/>
    <n v="68.106837606837601"/>
    <x v="6"/>
    <x v="32"/>
    <d v="2016-11-01T11:41:42"/>
    <d v="2016-12-02T07:00:00"/>
    <n v="15937"/>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d v="2015-02-28T14:00:59"/>
    <n v="285309.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d v="2015-11-14T13:20:00"/>
    <n v="53157"/>
  </r>
  <r>
    <n v="2199"/>
    <s v="Decadolo. Flip it!"/>
    <s v="A new strategic board game designed to flip out your opponent."/>
    <n v="9000"/>
    <n v="13228"/>
    <x v="0"/>
    <x v="17"/>
    <s v="EUR"/>
    <n v="1444903198"/>
    <n v="1442311198"/>
    <b v="1"/>
    <n v="251"/>
    <b v="1"/>
    <s v="games/tabletop games"/>
    <n v="1.4697777777777778"/>
    <n v="52.701195219123505"/>
    <x v="6"/>
    <x v="32"/>
    <d v="2015-09-15T09:59:58"/>
    <d v="2015-10-15T09:59:58"/>
    <n v="15609.0399999999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14312.7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d v="2013-01-16T20:19:25"/>
    <n v="555.7068000000000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28167.2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d v="2015-09-24T20:38:02"/>
    <n v="1665.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199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114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130"/>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d v="2013-11-16T05:39:33"/>
    <n v="200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10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d v="2014-04-14T23:00:00"/>
    <n v="995.280000000000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4457"/>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489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686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d v="2015-05-15T19:49:39"/>
    <n v="1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d v="2014-02-06T19:00:48"/>
    <n v="1755.01"/>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86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317"/>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42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d v="2012-08-29T00:00:00"/>
    <n v="2456.6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10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d v="2013-07-27T01:27:16"/>
    <n v="354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810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d v="2012-01-28T18:54:07"/>
    <n v="81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15679.5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d v="2016-10-29T19:00:00"/>
    <n v="243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d v="2014-09-21T19:00:15"/>
    <n v="261907.8132000000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d v="2016-02-12T04:59:00"/>
    <n v="19523.31000000000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27005.88"/>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d v="2015-08-16T06:40:36"/>
    <n v="13858.98199999999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13704.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d v="2014-04-25T21:08:47"/>
    <n v="1070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d v="2013-06-25T05:00:00"/>
    <n v="30303.2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d v="2014-07-19T03:00:00"/>
    <n v="2479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d v="2015-12-14T00:00:00"/>
    <n v="10957.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1165"/>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d v="2015-03-28T23:31:51"/>
    <n v="15147.5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d v="2016-02-01T14:48:43"/>
    <n v="15039"/>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d v="2014-11-12T07:59:00"/>
    <n v="63527"/>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d v="2017-03-10T14:55:16"/>
    <n v="6485.28"/>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d v="2013-12-01T04:02:00"/>
    <n v="32006.6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d v="2016-04-22T19:49:04"/>
    <n v="1353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d v="2017-03-02T19:51:40"/>
    <n v="10644.48000000000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136009.7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d v="2017-03-13T03:00:00"/>
    <n v="9302.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885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d v="2014-02-21T18:00:00"/>
    <n v="10588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d v="2015-09-04T19:00:10"/>
    <n v="3303.96"/>
  </r>
  <r>
    <n v="2247"/>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d v="2015-07-29T15:59:25"/>
    <n v="1932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9906.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5907"/>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d v="2016-12-03T01:07:53"/>
    <n v="243778"/>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d v="2014-08-16T08:17:57"/>
    <n v="11428.1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d v="2016-08-06T07:52:18"/>
    <n v="28915.89999999999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d v="2015-11-18T16:09:07"/>
    <n v="9015"/>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d v="2017-01-24T15:32:48"/>
    <n v="2299"/>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d v="2016-05-07T22:50:51"/>
    <n v="1132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d v="2016-11-22T10:50:46"/>
    <n v="1411.080000000000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d v="2016-06-19T23:00:00"/>
    <n v="20992.620000000003"/>
  </r>
  <r>
    <n v="2258"/>
    <s v="A Sundered World"/>
    <s v="A Dungeon World campaign setting that takes place after the end of the worlds."/>
    <n v="2200"/>
    <n v="3223"/>
    <x v="0"/>
    <x v="0"/>
    <s v="USD"/>
    <n v="1434045687"/>
    <n v="1431453687"/>
    <b v="0"/>
    <n v="205"/>
    <b v="1"/>
    <s v="games/tabletop games"/>
    <n v="1.4650000000000001"/>
    <n v="15.721951219512196"/>
    <x v="6"/>
    <x v="32"/>
    <d v="2015-05-12T18:01:27"/>
    <d v="2015-06-11T18:01:27"/>
    <n v="322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d v="2016-12-08T19:18:56"/>
    <n v="24645.7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d v="2014-03-26T23:24:10"/>
    <n v="81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d v="2017-02-14T17:23:40"/>
    <n v="5690.3499999999995"/>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d v="2014-11-18T00:00:00"/>
    <n v="5087"/>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d v="2015-01-31T19:58:33"/>
    <n v="953.2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080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d v="2016-11-22T20:28:27"/>
    <n v="788.04000000000008"/>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d v="2016-04-27T02:00:00"/>
    <n v="480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d v="2014-12-21T01:00:00"/>
    <n v="76105"/>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d v="2017-03-12T01:58:35"/>
    <n v="2872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d v="2017-03-07T05:00:00"/>
    <n v="4504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d v="2017-01-10T21:59:00"/>
    <n v="18006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d v="2016-12-10T00:00:04"/>
    <n v="566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1356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d v="2017-03-12T12:10:42"/>
    <n v="4186.8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299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d v="2014-12-22T14:47:59"/>
    <n v="3498.660000000000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485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1199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d v="2016-01-03T22:59:00"/>
    <n v="6388.519999999999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d v="2015-02-04T04:00:00"/>
    <n v="1538"/>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9550.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555"/>
  </r>
  <r>
    <n v="2282"/>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d v="2016-01-14T04:11:26"/>
    <n v="139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3025.66"/>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6373.27"/>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64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150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d v="2014-06-23T16:01:00"/>
    <n v="5398.99"/>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d v="2012-06-26T18:00:00"/>
    <n v="100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d v="2013-12-06T23:22:00"/>
    <n v="16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156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432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2145.0100000000002"/>
  </r>
  <r>
    <n v="2293"/>
    <s v="&quot;Hurt N' Wrong&quot; New Album Fundraiser!"/>
    <s v="Donate here to be a part of the upcoming album. Every little bit helps!"/>
    <n v="850"/>
    <n v="920"/>
    <x v="0"/>
    <x v="0"/>
    <s v="USD"/>
    <n v="1348545540"/>
    <n v="1346345999"/>
    <b v="0"/>
    <n v="27"/>
    <b v="1"/>
    <s v="music/rock"/>
    <n v="1.0823529411764705"/>
    <n v="34.074074074074076"/>
    <x v="4"/>
    <x v="11"/>
    <d v="2012-08-30T16:59:59"/>
    <d v="2012-09-25T03:59:00"/>
    <n v="92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d v="2013-01-20T17:21:20"/>
    <n v="7304.0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d v="2013-01-26T22:54:16"/>
    <n v="1503"/>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d v="2012-02-23T17:33:46"/>
    <n v="10435"/>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100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d v="2014-03-26T19:10:33"/>
    <n v="3152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d v="2011-02-06T00:46:49"/>
    <n v="1050.5"/>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810"/>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6680.2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d v="2013-12-31T07:00:00"/>
    <n v="392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7053.6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6042.0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d v="2014-08-08T18:00:00"/>
    <n v="1822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d v="2012-03-10T04:02:09"/>
    <n v="3736.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2095.26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50653.1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6400.4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d v="2013-03-21T18:03:35"/>
    <n v="79335.36000000000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937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d v="2014-04-18T23:00:00"/>
    <n v="3236"/>
  </r>
  <r>
    <n v="2313"/>
    <s v="A SUNNY DAY IN GLASGOW"/>
    <s v="A Sunny Day in Glasgow are recording a new album and we need your help!"/>
    <n v="5000"/>
    <n v="8792.02"/>
    <x v="0"/>
    <x v="0"/>
    <s v="USD"/>
    <n v="1336086026"/>
    <n v="1333494026"/>
    <b v="1"/>
    <n v="157"/>
    <b v="1"/>
    <s v="music/indie rock"/>
    <n v="1.7584040000000001"/>
    <n v="56.000127388535034"/>
    <x v="4"/>
    <x v="14"/>
    <d v="2012-04-03T23:00:26"/>
    <d v="2012-05-03T23:00:26"/>
    <n v="8792.0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d v="2012-06-07T13:14:17"/>
    <n v="1883.6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d v="2012-05-05T17:25:43"/>
    <n v="256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15606.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41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605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d v="2013-12-15T01:58:05"/>
    <n v="323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543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d v="2017-04-04T05:15:01"/>
    <n v="4873.399999999999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d v="2017-04-09T20:29:29"/>
    <n v="85"/>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d v="2017-03-20T18:07:27"/>
    <n v="120"/>
  </r>
  <r>
    <n v="2324"/>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d v="2017-03-26T20:14:45"/>
    <n v="2052.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d v="2017-03-29T23:32:11"/>
    <n v="8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d v="2017-04-30T17:00:00"/>
    <n v="108"/>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d v="2014-08-26T22:00:40"/>
    <n v="184133.0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25445"/>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2648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5848"/>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11545.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d v="2015-02-06T15:04:31"/>
    <n v="2657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127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d v="2014-11-05T17:34:00"/>
    <n v="4078"/>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25568"/>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d v="2014-03-08T22:11:35"/>
    <n v="104146.5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13279"/>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d v="2014-06-29T21:31:24"/>
    <n v="1517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d v="2016-12-19T07:59:00"/>
    <n v="7355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42311"/>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d v="2016-01-08T19:47:00"/>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d v="2016-06-24T17:27:49"/>
    <n v="0.76"/>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d v="2016-10-17T19:10:31"/>
    <n v="39"/>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d v="2016-08-25T14:34:36"/>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d v="2016-02-20T22:22:18"/>
    <n v="27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0"/>
  </r>
  <r>
    <n v="2351"/>
    <s v="NZ Auction site.  No listing or success fees. Only $2 p/m"/>
    <s v="Donate $30 or more and receive a free selfie stick."/>
    <n v="18900"/>
    <n v="108"/>
    <x v="1"/>
    <x v="4"/>
    <s v="NZD"/>
    <n v="1430360739"/>
    <n v="1427768739"/>
    <b v="0"/>
    <n v="7"/>
    <b v="0"/>
    <s v="technology/web"/>
    <n v="5.7142857142857143E-3"/>
    <n v="15.428571428571429"/>
    <x v="2"/>
    <x v="7"/>
    <d v="2015-03-31T02:25:39"/>
    <d v="2015-04-30T02:25:39"/>
    <n v="72.3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0"/>
  </r>
  <r>
    <n v="2354"/>
    <s v="Dissertation (Canceled)"/>
    <s v="Almost done with doctorate degree but need funding of $35,000 to complete research of project."/>
    <n v="35000"/>
    <n v="25"/>
    <x v="1"/>
    <x v="0"/>
    <s v="USD"/>
    <n v="1420910460"/>
    <n v="1415726460"/>
    <b v="0"/>
    <n v="1"/>
    <b v="0"/>
    <s v="technology/web"/>
    <n v="7.1428571428571429E-4"/>
    <n v="25"/>
    <x v="2"/>
    <x v="7"/>
    <d v="2014-11-11T17:21:00"/>
    <d v="2015-01-10T17:21:00"/>
    <n v="25"/>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d v="2015-05-02T22:02:16"/>
    <n v="40.15"/>
  </r>
  <r>
    <n v="2356"/>
    <s v="HardstyleUnited.com (Canceled)"/>
    <s v="HardstyleUnited.com The Global Hardstyle community. Your Hardstyle community."/>
    <n v="10000"/>
    <n v="0"/>
    <x v="1"/>
    <x v="9"/>
    <s v="EUR"/>
    <n v="1433530104"/>
    <n v="1430938104"/>
    <b v="0"/>
    <n v="0"/>
    <b v="0"/>
    <s v="technology/web"/>
    <n v="0"/>
    <n v="0"/>
    <x v="2"/>
    <x v="7"/>
    <d v="2015-05-06T18:48:24"/>
    <d v="2015-06-05T18:48:24"/>
    <n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d v="2015-08-03T15:35:24"/>
    <n v="110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d v="2016-02-07T16:58:00"/>
    <n v="1.52"/>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d v="2014-12-11T16:31:10"/>
    <n v="12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d v="2015-10-21T12:45:33"/>
    <n v="3471.600000000000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d v="2016-04-25T22:16:56"/>
    <n v="67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d v="2015-04-14T16:19:25"/>
    <n v="10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d v="2014-12-18T04:32:21"/>
    <n v="82"/>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d v="2015-04-24T01:39:31"/>
    <n v="131.4"/>
  </r>
  <r>
    <n v="2373"/>
    <s v="Cykelauktion.com (Canceled)"/>
    <s v="We want to create a safe marketplace for buying and selling bicycles."/>
    <n v="850000"/>
    <n v="50"/>
    <x v="1"/>
    <x v="11"/>
    <s v="SEK"/>
    <n v="1440863624"/>
    <n v="1438271624"/>
    <b v="0"/>
    <n v="1"/>
    <b v="0"/>
    <s v="technology/web"/>
    <n v="5.8823529411764708E-5"/>
    <n v="50"/>
    <x v="2"/>
    <x v="7"/>
    <d v="2015-07-30T15:53:44"/>
    <d v="2015-08-29T15:53:44"/>
    <n v="5.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d v="2015-02-12T20:14:2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0"/>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d v="2015-12-10T22:12:46"/>
    <n v="326.33"/>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0"/>
  </r>
  <r>
    <n v="2379"/>
    <s v="SelectCooks.com (Canceled)"/>
    <s v="Selectcooks.com is a community marketplace for people to list, find and hire chefs."/>
    <n v="30000"/>
    <n v="0"/>
    <x v="1"/>
    <x v="0"/>
    <s v="USD"/>
    <n v="1444004616"/>
    <n v="1440116616"/>
    <b v="0"/>
    <n v="0"/>
    <b v="0"/>
    <s v="technology/web"/>
    <n v="0"/>
    <n v="0"/>
    <x v="2"/>
    <x v="7"/>
    <d v="2015-08-21T00:23:36"/>
    <d v="2015-10-05T00:23:36"/>
    <n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d v="2015-10-01T19:02:22"/>
    <n v="55"/>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d v="2015-04-10T22:27:28"/>
    <n v="157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d v="2015-08-04T04:30:03"/>
    <n v="75"/>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d v="2015-02-22T01:21:47"/>
    <n v="291.4500000000000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d v="2014-11-14T02:37:23"/>
    <n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d v="2015-08-05T16:50:32"/>
    <n v="788"/>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d v="2016-07-22T15:02:20"/>
    <n v="102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d v="2015-01-15T19:29:00"/>
    <n v="46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d v="2015-07-25T21:59:00"/>
    <n v="35.4"/>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0"/>
  </r>
  <r>
    <n v="2391"/>
    <s v="oToBOTS.com - Freedom from high cost auto repairs (Canceled)"/>
    <s v="Using the power of internet to help people save hundreds in car repair."/>
    <n v="20000"/>
    <n v="25"/>
    <x v="1"/>
    <x v="0"/>
    <s v="USD"/>
    <n v="1427825044"/>
    <n v="1425236644"/>
    <b v="0"/>
    <n v="1"/>
    <b v="0"/>
    <s v="technology/web"/>
    <n v="1.25E-3"/>
    <n v="25"/>
    <x v="2"/>
    <x v="7"/>
    <d v="2015-03-01T19:04:04"/>
    <d v="2015-03-31T18:04:04"/>
    <n v="2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d v="2015-08-08T15:33:3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d v="2015-02-26T08:41:33"/>
    <n v="3.54"/>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d v="2015-10-15T20:22:38"/>
    <n v="9.200000000000001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d v="2016-03-05T19:44:56"/>
    <n v="201"/>
  </r>
  <r>
    <n v="2402"/>
    <s v="Cupcake Truck Unite"/>
    <s v="Small town, delicious treats, and a mobile truck"/>
    <n v="12000"/>
    <n v="52"/>
    <x v="2"/>
    <x v="0"/>
    <s v="USD"/>
    <n v="1431533931"/>
    <n v="1428941931"/>
    <b v="0"/>
    <n v="1"/>
    <b v="0"/>
    <s v="food/food trucks"/>
    <n v="4.3333333333333331E-3"/>
    <n v="52"/>
    <x v="7"/>
    <x v="19"/>
    <d v="2015-04-13T16:18:51"/>
    <d v="2015-05-13T16:18:51"/>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d v="2016-03-30T20:10:58"/>
    <n v="266.64"/>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0"/>
  </r>
  <r>
    <n v="2405"/>
    <s v="JoyShtick Food Truck"/>
    <s v="We are the first gaming-themed food truck, bringing gourmet pub fare to the Jacksonville area."/>
    <n v="5000"/>
    <n v="1126"/>
    <x v="2"/>
    <x v="0"/>
    <s v="USD"/>
    <n v="1472911375"/>
    <n v="1471096975"/>
    <b v="0"/>
    <n v="20"/>
    <b v="0"/>
    <s v="food/food trucks"/>
    <n v="0.22520000000000001"/>
    <n v="56.3"/>
    <x v="7"/>
    <x v="19"/>
    <d v="2016-08-13T14:02:55"/>
    <d v="2016-09-03T14:02:55"/>
    <n v="112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d v="2015-01-19T02:39:50"/>
    <n v="134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d v="2015-04-11T06:00:00"/>
    <n v="5557"/>
  </r>
  <r>
    <n v="2408"/>
    <s v="Sabroso On Wheels"/>
    <s v="A US Army Vet trying to get a Peruvian food truck going! Really good Peruvian food now mobile!"/>
    <n v="15000"/>
    <n v="30"/>
    <x v="2"/>
    <x v="0"/>
    <s v="USD"/>
    <n v="1415247757"/>
    <n v="1412652157"/>
    <b v="0"/>
    <n v="2"/>
    <b v="0"/>
    <s v="food/food trucks"/>
    <n v="2E-3"/>
    <n v="15"/>
    <x v="7"/>
    <x v="19"/>
    <d v="2014-10-07T03:22:37"/>
    <d v="2014-11-06T04:22:37"/>
    <n v="3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d v="2015-08-18T21:01:15"/>
    <n v="46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d v="2015-08-25T17:34:42"/>
    <n v="15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d v="2014-05-31T23:30:00"/>
    <n v="2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d v="2015-08-22T03:59:00"/>
    <n v="46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d v="2016-07-15T20:42:26"/>
    <n v="3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d v="2015-03-14T15:00:00"/>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0"/>
  </r>
  <r>
    <n v="2418"/>
    <s v="Mexican food truck"/>
    <s v="I want to start my food truck business."/>
    <n v="25000"/>
    <n v="5"/>
    <x v="2"/>
    <x v="0"/>
    <s v="USD"/>
    <n v="1427225644"/>
    <n v="1422045244"/>
    <b v="0"/>
    <n v="5"/>
    <b v="0"/>
    <s v="food/food trucks"/>
    <n v="2.0000000000000001E-4"/>
    <n v="1"/>
    <x v="7"/>
    <x v="19"/>
    <d v="2015-01-23T20:34:04"/>
    <d v="2015-03-24T19:34:04"/>
    <n v="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d v="2014-11-10T01:41:35"/>
    <n v="2501"/>
  </r>
  <r>
    <n v="2421"/>
    <s v="hot dog cart"/>
    <s v="help me start Merrill's first hot dog cart in this empty lot"/>
    <n v="6000"/>
    <n v="1"/>
    <x v="2"/>
    <x v="0"/>
    <s v="USD"/>
    <n v="1424536196"/>
    <n v="1421944196"/>
    <b v="0"/>
    <n v="1"/>
    <b v="0"/>
    <s v="food/food trucks"/>
    <n v="1.6666666666666666E-4"/>
    <n v="1"/>
    <x v="7"/>
    <x v="19"/>
    <d v="2015-01-22T16:29:56"/>
    <d v="2015-02-21T16:29:56"/>
    <n v="1"/>
  </r>
  <r>
    <n v="2422"/>
    <s v="Help starting a family owned food truck"/>
    <s v="Family owned business serving BBQ and seafood to the public"/>
    <n v="500"/>
    <n v="1"/>
    <x v="2"/>
    <x v="0"/>
    <s v="USD"/>
    <n v="1426091036"/>
    <n v="1423502636"/>
    <b v="0"/>
    <n v="1"/>
    <b v="0"/>
    <s v="food/food trucks"/>
    <n v="2E-3"/>
    <n v="1"/>
    <x v="7"/>
    <x v="19"/>
    <d v="2015-02-09T17:23:56"/>
    <d v="2015-03-11T16:23:56"/>
    <n v="1"/>
  </r>
  <r>
    <n v="2423"/>
    <s v="FBTR BBQ"/>
    <s v="FBTR is a Texas-style, North Carolina based, homemade BBQ company looking to bring good meat to the masses."/>
    <n v="60000"/>
    <n v="8"/>
    <x v="2"/>
    <x v="0"/>
    <s v="USD"/>
    <n v="1420044890"/>
    <n v="1417452890"/>
    <b v="0"/>
    <n v="1"/>
    <b v="0"/>
    <s v="food/food trucks"/>
    <n v="1.3333333333333334E-4"/>
    <n v="8"/>
    <x v="7"/>
    <x v="19"/>
    <d v="2014-12-01T16:54:50"/>
    <d v="2014-12-31T16:54:50"/>
    <n v="8"/>
  </r>
  <r>
    <n v="2424"/>
    <s v="Lily and Memphs"/>
    <s v="Great and creative food from the heart in the form of a sweet food truck!"/>
    <n v="25000"/>
    <n v="310"/>
    <x v="2"/>
    <x v="0"/>
    <s v="USD"/>
    <n v="1414445108"/>
    <n v="1411853108"/>
    <b v="0"/>
    <n v="9"/>
    <b v="0"/>
    <s v="food/food trucks"/>
    <n v="1.24E-2"/>
    <n v="34.444444444444443"/>
    <x v="7"/>
    <x v="19"/>
    <d v="2014-09-27T21:25:08"/>
    <d v="2014-10-27T21:25:08"/>
    <n v="31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d v="2016-05-27T22:04:00"/>
    <n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0"/>
  </r>
  <r>
    <n v="2427"/>
    <s v="Wraps in a snap. Fast lunch with a gourmet punch!"/>
    <s v="Fast and simple lunches for those on the go.  All (lunch) deals $10 or less."/>
    <n v="50000"/>
    <n v="1"/>
    <x v="2"/>
    <x v="0"/>
    <s v="USD"/>
    <n v="1458715133"/>
    <n v="1455262733"/>
    <b v="0"/>
    <n v="1"/>
    <b v="0"/>
    <s v="food/food trucks"/>
    <n v="2.0000000000000002E-5"/>
    <n v="1"/>
    <x v="7"/>
    <x v="19"/>
    <d v="2016-02-12T07:38:53"/>
    <d v="2016-03-23T06:38:53"/>
    <n v="1"/>
  </r>
  <r>
    <n v="2428"/>
    <s v="Premium Burgers"/>
    <s v="From Moo 2 You! We want to offer premium burgers to a taco flooded environment."/>
    <n v="35000"/>
    <n v="1"/>
    <x v="2"/>
    <x v="0"/>
    <s v="USD"/>
    <n v="1426182551"/>
    <n v="1423594151"/>
    <b v="0"/>
    <n v="1"/>
    <b v="0"/>
    <s v="food/food trucks"/>
    <n v="2.8571428571428571E-5"/>
    <n v="1"/>
    <x v="7"/>
    <x v="19"/>
    <d v="2015-02-10T18:49:11"/>
    <d v="2015-03-12T17:49:11"/>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d v="2017-02-05T16:44:00"/>
    <n v="220.55"/>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d v="2016-02-12T03:08:24"/>
    <n v="21"/>
  </r>
  <r>
    <n v="2431"/>
    <s v="Murphy's good eatin'"/>
    <s v="Go to Colorado and run a food truck with homemade food of all kinds."/>
    <n v="100000"/>
    <n v="2"/>
    <x v="2"/>
    <x v="0"/>
    <s v="USD"/>
    <n v="1467080613"/>
    <n v="1461896613"/>
    <b v="0"/>
    <n v="2"/>
    <b v="0"/>
    <s v="food/food trucks"/>
    <n v="2.0000000000000002E-5"/>
    <n v="1"/>
    <x v="7"/>
    <x v="19"/>
    <d v="2016-04-29T02:23:33"/>
    <d v="2016-06-28T02:23:33"/>
    <n v="2"/>
  </r>
  <r>
    <n v="2432"/>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d v="2015-03-08T05:14:57"/>
    <n v="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d v="2015-08-04T04:27:54"/>
    <n v="2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d v="2015-10-05T06:39:46"/>
    <n v="134.6400000000000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d v="2016-01-29T14:46:10"/>
    <n v="34.200000000000003"/>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0"/>
  </r>
  <r>
    <n v="2438"/>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d v="2015-12-07T22:57:42"/>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0"/>
  </r>
  <r>
    <n v="2440"/>
    <s v="The first green Food Truck in Phnom Penh"/>
    <s v="Starting a entire clean energy food truck and set a new standard for Cambodia"/>
    <n v="5000"/>
    <n v="10"/>
    <x v="2"/>
    <x v="18"/>
    <s v="EUR"/>
    <n v="1455399313"/>
    <n v="1452807313"/>
    <b v="0"/>
    <n v="2"/>
    <b v="0"/>
    <s v="food/food trucks"/>
    <n v="2E-3"/>
    <n v="5"/>
    <x v="7"/>
    <x v="19"/>
    <d v="2016-01-14T21:35:13"/>
    <d v="2016-02-13T21:35:13"/>
    <n v="11.799999999999999"/>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809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22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d v="2014-08-15T15:00:22"/>
    <n v="40502.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2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864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839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d v="2016-11-12T04:00:00"/>
    <n v="1068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43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1080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15230.0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d v="2017-03-05T21:48:10"/>
    <n v="1154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80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464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296"/>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54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d v="2017-02-25T23:03:59"/>
    <n v="271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2353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5509"/>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3067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d v="2017-01-03T04:17:00"/>
    <n v="856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778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3321.25"/>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232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1688.7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126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d v="2013-05-09T02:27:33"/>
    <n v="250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d v="2012-05-10T17:00:00"/>
    <n v="118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2144.3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136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d v="2012-05-24T01:47:35"/>
    <n v="1031.640000000000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6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10182.0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d v="2012-11-10T18:57:49"/>
    <n v="200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d v="2010-10-11T00:16:16"/>
    <n v="5000.18"/>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d v="2010-07-10T22:00:00"/>
    <n v="2618"/>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d v="2014-11-03T08:52:50"/>
    <n v="3360.72"/>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128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10200"/>
  </r>
  <r>
    <n v="2479"/>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d v="2012-07-28T02:00:00"/>
    <n v="400.33"/>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d v="2015-10-10T22:28:04"/>
    <n v="200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d v="2012-04-30T15:30:08"/>
    <n v="4516.439999999999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d v="2011-08-01T18:46:23"/>
    <n v="100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125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4176.1099999999997"/>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20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d v="2012-04-22T16:59:36"/>
    <n v="797"/>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1500.7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20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d v="2013-05-09T16:33:59"/>
    <n v="4678.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d v="2012-06-23T05:27:56"/>
    <n v="607"/>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516"/>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75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2574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d v="2012-05-23T15:29:04"/>
    <n v="1515.08"/>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1913.05"/>
  </r>
  <r>
    <n v="2496"/>
    <s v="Lynn Haven - The First Album, &quot;Fair Weather Friends&quot;"/>
    <s v="Be a part of making the first Lynn Haven album, &quot;Fair Weather Friends.&quot;"/>
    <n v="6000"/>
    <n v="6000"/>
    <x v="0"/>
    <x v="0"/>
    <s v="USD"/>
    <n v="1364597692"/>
    <n v="1361577292"/>
    <b v="0"/>
    <n v="10"/>
    <b v="1"/>
    <s v="music/indie rock"/>
    <n v="1"/>
    <n v="600"/>
    <x v="4"/>
    <x v="14"/>
    <d v="2013-02-22T23:54:52"/>
    <d v="2013-03-29T22:54:52"/>
    <n v="60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4510.85999999999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d v="2015-01-27T23:13:07"/>
    <n v="105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d v="2012-12-31T18:00:00"/>
    <n v="810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68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d v="2015-09-27T18:38:24"/>
    <n v="213.5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d v="2014-09-21T19:48:38"/>
    <n v="86"/>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d v="2015-10-03T21:00:00"/>
    <n v="39.6"/>
  </r>
  <r>
    <n v="2507"/>
    <s v="Help Cafe Talavera get a New Kitchen!"/>
    <s v="Unique dishes for a unique city!."/>
    <n v="42850"/>
    <n v="0"/>
    <x v="2"/>
    <x v="0"/>
    <s v="USD"/>
    <n v="1431308704"/>
    <n v="1428716704"/>
    <b v="0"/>
    <n v="0"/>
    <b v="0"/>
    <s v="food/restaurants"/>
    <n v="0"/>
    <n v="0"/>
    <x v="7"/>
    <x v="34"/>
    <d v="2015-04-11T01:45:04"/>
    <d v="2015-05-11T01:45:0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d v="2015-04-20T18:25:49"/>
    <n v="132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d v="2015-05-14T23:56:12"/>
    <n v="75"/>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0"/>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0"/>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d v="2014-08-20T09:21:17"/>
    <n v="2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d v="2015-02-22T20:09:13"/>
    <n v="93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d v="2015-03-19T18:15:30"/>
    <n v="1342.92"/>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0"/>
  </r>
  <r>
    <n v="2519"/>
    <s v="Kelli's Kitchen"/>
    <s v="Better than your mom's, better than Cracker Barrel, only at Kelli's Kitchen (all from scratch)."/>
    <n v="150000"/>
    <n v="65"/>
    <x v="2"/>
    <x v="0"/>
    <s v="USD"/>
    <n v="1405741404"/>
    <n v="1403149404"/>
    <b v="0"/>
    <n v="4"/>
    <b v="0"/>
    <s v="food/restaurants"/>
    <n v="4.3333333333333331E-4"/>
    <n v="16.25"/>
    <x v="7"/>
    <x v="34"/>
    <d v="2014-06-19T03:43:24"/>
    <d v="2014-07-19T03:43:24"/>
    <n v="6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d v="2015-10-13T23:13:41"/>
    <n v="13685.99"/>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d v="2016-04-22T14:52:00"/>
    <n v="50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d v="2014-11-18T00:24:52"/>
    <n v="1408"/>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762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802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4518"/>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408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5662.7867999999999"/>
  </r>
  <r>
    <n v="2529"/>
    <s v="UrbanArias is DC's Contemporary Opera Company"/>
    <s v="Opera. Short. New."/>
    <n v="6000"/>
    <n v="6257"/>
    <x v="0"/>
    <x v="0"/>
    <s v="USD"/>
    <n v="1332636975"/>
    <n v="1328752575"/>
    <b v="0"/>
    <n v="76"/>
    <b v="1"/>
    <s v="music/classical music"/>
    <n v="1.0428333333333333"/>
    <n v="82.328947368421055"/>
    <x v="4"/>
    <x v="35"/>
    <d v="2012-02-09T01:56:15"/>
    <d v="2012-03-25T00:56:15"/>
    <n v="625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d v="2015-04-20T04:50:00"/>
    <n v="65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45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504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83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2100"/>
  </r>
  <r>
    <n v="2535"/>
    <s v="Mark Hayes Requiem Recording"/>
    <s v="Mark Hayes: Requiem Recording"/>
    <n v="20000"/>
    <n v="20755"/>
    <x v="0"/>
    <x v="0"/>
    <s v="USD"/>
    <n v="1417463945"/>
    <n v="1414781945"/>
    <b v="0"/>
    <n v="78"/>
    <b v="1"/>
    <s v="music/classical music"/>
    <n v="1.03775"/>
    <n v="266.08974358974359"/>
    <x v="4"/>
    <x v="35"/>
    <d v="2014-10-31T18:59:05"/>
    <d v="2014-12-01T19:59:05"/>
    <n v="2075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9"/>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1100"/>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d v="2013-02-24T04:59:00"/>
    <n v="20343.16999999999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d v="2015-02-02T21:39:12"/>
    <n v="1002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258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d v="2013-09-26T10:46:58"/>
    <n v="4944.7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72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d v="2011-01-02T03:00:00"/>
    <n v="39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504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d v="2015-02-27T00:30:00"/>
    <n v="39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391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6592"/>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7210.9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2130.4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655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d v="2012-03-21T20:48:00"/>
    <n v="3775.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d v="2017-03-05T19:26:21"/>
    <n v="319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d v="2012-09-21T04:46:47"/>
    <n v="2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68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d v="2012-05-28T15:43:13"/>
    <n v="214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786"/>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1407.120000000000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993.5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89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d v="2015-03-06T22:49:34"/>
    <n v="3963.96"/>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d v="2016-10-11T12:35:39"/>
    <n v="88.5"/>
  </r>
  <r>
    <n v="2563"/>
    <s v="Phoenix Pearl Boba Tea Truck (Canceled)"/>
    <s v="Michigan based bubble tea and specialty ice cream food truck"/>
    <n v="20000"/>
    <n v="0"/>
    <x v="1"/>
    <x v="0"/>
    <s v="USD"/>
    <n v="1438226451"/>
    <n v="1433042451"/>
    <b v="0"/>
    <n v="0"/>
    <b v="0"/>
    <s v="food/food trucks"/>
    <n v="0"/>
    <n v="0"/>
    <x v="7"/>
    <x v="19"/>
    <d v="2015-05-31T03:20:51"/>
    <d v="2015-07-30T03:20:51"/>
    <n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d v="2016-05-09T20:50:00"/>
    <n v="1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d v="2015-04-23T21:05:38"/>
    <n v="1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d v="2016-09-01T15:59:54"/>
    <n v="6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d v="2015-09-17T02:31:52"/>
    <n v="14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d v="2017-02-08T21:40:35"/>
    <n v="5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d v="2016-05-19T08:12:01"/>
    <n v="182.5"/>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0"/>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0"/>
  </r>
  <r>
    <n v="2576"/>
    <s v="2 Go Fast Food (Canceled)"/>
    <s v="A New Twist with an American and Philippine fast food Mobile Trailer."/>
    <n v="10000"/>
    <n v="0"/>
    <x v="1"/>
    <x v="0"/>
    <s v="USD"/>
    <n v="1428707647"/>
    <n v="1424823247"/>
    <b v="0"/>
    <n v="0"/>
    <b v="0"/>
    <s v="food/food trucks"/>
    <n v="0"/>
    <n v="0"/>
    <x v="7"/>
    <x v="19"/>
    <d v="2015-02-25T00:14:07"/>
    <d v="2015-04-10T23:14:07"/>
    <n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d v="2014-09-15T19:55:03"/>
    <n v="27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d v="2015-05-16T03:00:00"/>
    <n v="5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d v="2015-11-16T16:04:58"/>
    <n v="530"/>
  </r>
  <r>
    <n v="2582"/>
    <s v="Drunken Wings"/>
    <s v="The place where chicken meets liquor for the first time!"/>
    <n v="90000"/>
    <n v="1"/>
    <x v="2"/>
    <x v="0"/>
    <s v="USD"/>
    <n v="1477784634"/>
    <n v="1475192634"/>
    <b v="0"/>
    <n v="1"/>
    <b v="0"/>
    <s v="food/food trucks"/>
    <n v="1.1111111111111112E-5"/>
    <n v="1"/>
    <x v="7"/>
    <x v="19"/>
    <d v="2016-09-29T23:43:54"/>
    <d v="2016-10-29T23:43:54"/>
    <n v="1"/>
  </r>
  <r>
    <n v="2583"/>
    <s v="Crazy Daisy Food Truck"/>
    <s v="Crazy Daisy will become the newest member of the food truck distributors in Kansas City, Missouri."/>
    <n v="1000"/>
    <n v="5"/>
    <x v="2"/>
    <x v="0"/>
    <s v="USD"/>
    <n v="1426526880"/>
    <n v="1421346480"/>
    <b v="0"/>
    <n v="5"/>
    <b v="0"/>
    <s v="food/food trucks"/>
    <n v="5.0000000000000001E-3"/>
    <n v="1"/>
    <x v="7"/>
    <x v="19"/>
    <d v="2015-01-15T18:28:00"/>
    <d v="2015-03-16T17:28:00"/>
    <n v="5"/>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d v="2014-07-05T23:07:12"/>
    <n v="50"/>
  </r>
  <r>
    <n v="2586"/>
    <s v="Inspire Healthy Eating"/>
    <s v="I would like to bring fresh salad and food to the streets of London at a reasonable price."/>
    <n v="3000"/>
    <n v="5"/>
    <x v="2"/>
    <x v="1"/>
    <s v="GBP"/>
    <n v="1451030136"/>
    <n v="1448438136"/>
    <b v="0"/>
    <n v="1"/>
    <b v="0"/>
    <s v="food/food trucks"/>
    <n v="1.6666666666666668E-3"/>
    <n v="5"/>
    <x v="7"/>
    <x v="19"/>
    <d v="2015-11-25T07:55:36"/>
    <d v="2015-12-25T07:55:36"/>
    <n v="6.600000000000000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d v="2015-12-30T16:12:33"/>
    <n v="12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d v="2015-03-31T13:14:00"/>
    <n v="23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d v="2016-03-23T11:52:07"/>
    <n v="0.8"/>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d v="2016-03-13T20:45:24"/>
    <n v="2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d v="2014-10-05T19:13:41"/>
    <n v="5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d v="2014-08-07T23:13:48"/>
    <n v="1"/>
  </r>
  <r>
    <n v="2595"/>
    <s v="Food Truck for Little Fox Bakery"/>
    <s v="Looking to put the best baked goods in Bowling Green on wheels"/>
    <n v="15000"/>
    <n v="1825"/>
    <x v="2"/>
    <x v="0"/>
    <s v="USD"/>
    <n v="1487915500"/>
    <n v="1485323500"/>
    <b v="0"/>
    <n v="19"/>
    <b v="0"/>
    <s v="food/food trucks"/>
    <n v="0.12166666666666667"/>
    <n v="96.05263157894737"/>
    <x v="7"/>
    <x v="19"/>
    <d v="2017-01-25T05:51:40"/>
    <d v="2017-02-24T05:51:40"/>
    <n v="182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d v="2014-08-07T15:56:49"/>
    <n v="6274.5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d v="2016-06-19T08:11:57"/>
    <n v="112.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d v="2015-09-23T20:10:01"/>
    <n v="1170"/>
  </r>
  <r>
    <n v="2599"/>
    <s v="Empty Ramekins Catering Group"/>
    <s v="The Empty Ramekins Catering Group is looking for your help to start up in Miami Florida!!!!"/>
    <n v="9041"/>
    <n v="90"/>
    <x v="2"/>
    <x v="0"/>
    <s v="USD"/>
    <n v="1407089147"/>
    <n v="1403201147"/>
    <b v="0"/>
    <n v="5"/>
    <b v="0"/>
    <s v="food/food trucks"/>
    <n v="9.9546510341776348E-3"/>
    <n v="18"/>
    <x v="7"/>
    <x v="19"/>
    <d v="2014-06-19T18:05:47"/>
    <d v="2014-08-03T18:05:47"/>
    <n v="9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d v="2016-03-25T20:36:40"/>
    <n v="346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d v="2012-09-13T03:59:00"/>
    <n v="330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d v="2014-11-12T21:20:00"/>
    <n v="3913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77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20843.599999999999"/>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d v="2016-06-17T12:59:50"/>
    <n v="107421.5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121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326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d v="2017-03-15T00:00:00"/>
    <n v="1791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d v="2012-07-15T05:42:31"/>
    <n v="106330.3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d v="2016-08-22T06:59:00"/>
    <n v="32172.6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d v="2017-01-02T22:59:00"/>
    <n v="362224.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17176.1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d v="2012-09-21T19:38:14"/>
    <n v="757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1071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4484.0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d v="2015-08-25T23:52:09"/>
    <n v="28633.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d v="2014-10-20T20:59:11"/>
    <n v="4388"/>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1580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d v="2015-10-23T11:00:00"/>
    <n v="188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d v="2015-10-11T01:00:00"/>
    <n v="68163.0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d v="2015-05-21T17:56:28"/>
    <n v="2188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d v="2016-12-30T17:50:16"/>
    <n v="2321.956799999999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228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d v="2012-09-13T10:07:02"/>
    <n v="110353.6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1692.1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280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d v="2015-11-26T20:54:21"/>
    <n v="970"/>
  </r>
  <r>
    <n v="2628"/>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d v="2014-11-30T23:11:07"/>
    <n v="92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8430.8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305.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2933.05"/>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146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d v="2014-02-27T23:00:00"/>
    <n v="1773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98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d v="2015-03-09T21:49:21"/>
    <n v="874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187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d v="2016-10-12T13:11:15"/>
    <n v="83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5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649.4400000000000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317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d v="2014-09-15T20:09:00"/>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d v="2016-12-21T07:59:00"/>
    <n v="335597.3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d v="2017-03-10T19:00:35"/>
    <n v="2053"/>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d v="2014-11-08T21:13:23"/>
    <n v="153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d v="2015-09-09T07:31:09"/>
    <n v="4208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d v="2015-08-14T06:16:59"/>
    <n v="27.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d v="2016-03-09T17:09:20"/>
    <n v="106"/>
  </r>
  <r>
    <n v="2649"/>
    <s v="The Mission - Please Check Back Soon (Canceled)"/>
    <s v="They have launched a Kickstarter."/>
    <n v="125000"/>
    <n v="124"/>
    <x v="1"/>
    <x v="0"/>
    <s v="USD"/>
    <n v="1454370941"/>
    <n v="1449186941"/>
    <b v="0"/>
    <n v="3"/>
    <b v="0"/>
    <s v="technology/space exploration"/>
    <n v="9.9200000000000004E-4"/>
    <n v="41.333333333333336"/>
    <x v="2"/>
    <x v="36"/>
    <d v="2015-12-03T23:55:41"/>
    <d v="2016-02-01T23:55:41"/>
    <n v="12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d v="2016-12-21T14:59:03"/>
    <n v="35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d v="2015-12-17T19:20:09"/>
    <n v="523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d v="2014-12-10T03:48:45"/>
    <n v="646.0499999999999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d v="2014-06-13T04:00:00"/>
    <n v="587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d v="2015-04-21T13:25:26"/>
    <n v="51"/>
  </r>
  <r>
    <n v="2655"/>
    <s v="Balloons (Canceled)"/>
    <s v="Thank you for your support!"/>
    <n v="15000"/>
    <n v="3155"/>
    <x v="1"/>
    <x v="0"/>
    <s v="USD"/>
    <n v="1455048000"/>
    <n v="1452631647"/>
    <b v="0"/>
    <n v="43"/>
    <b v="0"/>
    <s v="technology/space exploration"/>
    <n v="0.21033333333333334"/>
    <n v="73.372093023255815"/>
    <x v="2"/>
    <x v="36"/>
    <d v="2016-01-12T20:47:27"/>
    <d v="2016-02-09T20:00:00"/>
    <n v="3155"/>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d v="2017-03-12T19:00:00"/>
    <n v="17155"/>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d v="2016-08-03T01:30:00"/>
    <n v="5621.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d v="2016-07-30T21:13:14"/>
    <n v="91"/>
  </r>
  <r>
    <n v="2659"/>
    <s v="test (Canceled)"/>
    <s v="test"/>
    <n v="49000"/>
    <n v="1333"/>
    <x v="1"/>
    <x v="0"/>
    <s v="USD"/>
    <n v="1429321210"/>
    <n v="1426729210"/>
    <b v="0"/>
    <n v="10"/>
    <b v="0"/>
    <s v="technology/space exploration"/>
    <n v="2.720408163265306E-2"/>
    <n v="133.30000000000001"/>
    <x v="2"/>
    <x v="36"/>
    <d v="2015-03-19T01:40:10"/>
    <d v="2015-04-18T01:40:10"/>
    <n v="1333"/>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d v="2015-11-24T18:06:58"/>
    <n v="1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514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2136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d v="2015-09-04T15:00:00"/>
    <n v="15898.63000000000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181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31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d v="2015-09-25T21:00:00"/>
    <n v="15929.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1660"/>
  </r>
  <r>
    <n v="2668"/>
    <s v="UOttawa Makermobile"/>
    <s v="Creativity on the go! |_x000a_CrÃ©ativitÃ© en mouvement !"/>
    <n v="1000"/>
    <n v="1707"/>
    <x v="0"/>
    <x v="5"/>
    <s v="CAD"/>
    <n v="1447079520"/>
    <n v="1443449265"/>
    <b v="0"/>
    <n v="28"/>
    <b v="1"/>
    <s v="technology/makerspaces"/>
    <n v="1.7070000000000001"/>
    <n v="60.964285714285715"/>
    <x v="2"/>
    <x v="37"/>
    <d v="2015-09-28T14:07:45"/>
    <d v="2015-11-09T14:32:00"/>
    <n v="1297.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100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d v="2014-07-29T00:29:40"/>
    <n v="1821.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d v="2014-12-19T19:38:00"/>
    <n v="283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d v="2015-12-28T06:00:00"/>
    <n v="33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d v="2014-10-29T22:45:00"/>
    <n v="1103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d v="2016-07-05T04:59:00"/>
    <n v="2199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d v="2014-11-10T21:34:49"/>
    <n v="189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d v="2016-05-22T14:59:34"/>
    <n v="804.0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d v="2014-07-03T00:42:23"/>
    <n v="341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d v="2015-09-24T19:09:25"/>
    <n v="129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d v="2015-02-28T00:01:34"/>
    <n v="132"/>
  </r>
  <r>
    <n v="2680"/>
    <s v="iHeart Pillow"/>
    <s v="iHeartPillow, Connecting loved ones"/>
    <n v="32000"/>
    <n v="276"/>
    <x v="2"/>
    <x v="3"/>
    <s v="EUR"/>
    <n v="1459915491"/>
    <n v="1457327091"/>
    <b v="0"/>
    <n v="4"/>
    <b v="0"/>
    <s v="technology/makerspaces"/>
    <n v="8.6250000000000007E-3"/>
    <n v="69"/>
    <x v="2"/>
    <x v="37"/>
    <d v="2016-03-07T05:04:51"/>
    <d v="2016-04-06T04:04:51"/>
    <n v="325.68"/>
  </r>
  <r>
    <n v="2681"/>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d v="2014-07-10T21:29:10"/>
    <n v="55"/>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d v="2014-11-22T05:59:00"/>
    <n v="1698"/>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d v="2015-03-01T18:07:20"/>
    <n v="3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d v="2014-08-09T21:57:05"/>
    <n v="80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d v="2015-04-27T15:42:1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0"/>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0"/>
  </r>
  <r>
    <n v="2688"/>
    <s v="Mac N Cheez Food Truck"/>
    <s v="The amazing gourmet Mac N Cheez Food Truck Campaigne!"/>
    <n v="50000"/>
    <n v="74"/>
    <x v="2"/>
    <x v="0"/>
    <s v="USD"/>
    <n v="1424746800"/>
    <n v="1422067870"/>
    <b v="0"/>
    <n v="14"/>
    <b v="0"/>
    <s v="food/food trucks"/>
    <n v="1.48E-3"/>
    <n v="5.2857142857142856"/>
    <x v="7"/>
    <x v="19"/>
    <d v="2015-01-24T02:51:10"/>
    <d v="2015-02-24T03:00:00"/>
    <n v="74"/>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d v="2016-07-30T23:04:50"/>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d v="2015-06-03T02:31:16"/>
    <n v="8586"/>
  </r>
  <r>
    <n v="2691"/>
    <s v="Cook"/>
    <s v="A Great New local Food Truck serving up ethnic fusion inspired eats in Ottawa."/>
    <n v="65000"/>
    <n v="35"/>
    <x v="2"/>
    <x v="5"/>
    <s v="CAD"/>
    <n v="1431278557"/>
    <n v="1427390557"/>
    <b v="0"/>
    <n v="2"/>
    <b v="0"/>
    <s v="food/food trucks"/>
    <n v="5.3846153846153844E-4"/>
    <n v="17.5"/>
    <x v="7"/>
    <x v="19"/>
    <d v="2015-03-26T17:22:37"/>
    <d v="2015-05-10T17:22:37"/>
    <n v="26.6"/>
  </r>
  <r>
    <n v="2692"/>
    <s v="&quot;Sami j's Food Truck&quot;"/>
    <s v="Our food truck will bring you -_x000a_                       Fast, Fresh, Food -_x000a_                            Throughout the Omaha area"/>
    <n v="3500"/>
    <n v="25"/>
    <x v="2"/>
    <x v="0"/>
    <s v="USD"/>
    <n v="1427266860"/>
    <n v="1424678460"/>
    <b v="0"/>
    <n v="1"/>
    <b v="0"/>
    <s v="food/food trucks"/>
    <n v="7.1428571428571426E-3"/>
    <n v="25"/>
    <x v="7"/>
    <x v="19"/>
    <d v="2015-02-23T08:01:00"/>
    <d v="2015-03-25T07:01:00"/>
    <n v="25"/>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d v="2014-08-13T03:19:26"/>
    <n v="4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d v="2014-09-26T03:22: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d v="2015-04-14T03:21:58"/>
    <n v="7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d v="2014-12-25T20:16:00"/>
    <n v="339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d v="2015-08-02T22:00:00"/>
    <n v="606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d v="2014-06-27T21:33:28"/>
    <n v="26.01"/>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d v="2014-09-18T20:59:32"/>
    <n v="7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d v="2017-04-07T17:35:34"/>
    <n v="1852.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d v="2017-04-05T18:14:37"/>
    <n v="344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190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d v="2017-04-05T19:41:54"/>
    <n v="1145"/>
  </r>
  <r>
    <n v="2705"/>
    <s v="Fischer Theatre Marquee"/>
    <s v="Help light the lights at the historic Fischer Theatre in Danville, IL."/>
    <n v="16500"/>
    <n v="1739"/>
    <x v="3"/>
    <x v="0"/>
    <s v="USD"/>
    <n v="1490389158"/>
    <n v="1486504758"/>
    <b v="0"/>
    <n v="8"/>
    <b v="0"/>
    <s v="theater/spaces"/>
    <n v="0.10539393939393939"/>
    <n v="217.375"/>
    <x v="1"/>
    <x v="38"/>
    <d v="2017-02-07T21:59:18"/>
    <d v="2017-03-24T20:59:18"/>
    <n v="17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d v="2014-10-16T06:59:00"/>
    <n v="39304"/>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d v="2013-05-27T06:59:00"/>
    <n v="28067.57"/>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1568.85240000000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d v="2016-10-04T03:59:00"/>
    <n v="50803"/>
  </r>
  <r>
    <n v="2710"/>
    <s v="House of Yes"/>
    <s v="Building Brooklyn's own creative venue for circus, theater and events of all types."/>
    <n v="60000"/>
    <n v="92340.21"/>
    <x v="0"/>
    <x v="0"/>
    <s v="USD"/>
    <n v="1407549600"/>
    <n v="1404797428"/>
    <b v="1"/>
    <n v="1088"/>
    <b v="1"/>
    <s v="theater/spaces"/>
    <n v="1.5390035000000002"/>
    <n v="84.871516544117654"/>
    <x v="1"/>
    <x v="38"/>
    <d v="2014-07-08T05:30:28"/>
    <d v="2014-08-09T02:00:00"/>
    <n v="92340.2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5198.1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722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153362"/>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908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d v="2016-02-21T09:33:48"/>
    <n v="31754.6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14157.651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3002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18645"/>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653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2953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14473.80000000000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d v="2017-01-29T20:34:13"/>
    <n v="1262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1680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d v="2015-08-15T07:50:59"/>
    <n v="9671.48160000000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d v="2017-03-01T17:52:15"/>
    <n v="43940.92"/>
  </r>
  <r>
    <n v="2726"/>
    <s v="Krimston TWO - Dual SIM case for iPhone"/>
    <s v="Krimston TWO: iPhone Dual SIM Case"/>
    <n v="100000"/>
    <n v="105745"/>
    <x v="0"/>
    <x v="0"/>
    <s v="USD"/>
    <n v="1461333311"/>
    <n v="1458741311"/>
    <b v="0"/>
    <n v="404"/>
    <b v="1"/>
    <s v="technology/hardware"/>
    <n v="1.05745"/>
    <n v="261.74504950495049"/>
    <x v="2"/>
    <x v="30"/>
    <d v="2016-03-23T13:55:11"/>
    <d v="2016-04-22T13:55:11"/>
    <n v="10574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d v="2015-08-07T16:14:23"/>
    <n v="4932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d v="2015-12-30T14:23:54"/>
    <n v="3027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783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45979.0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3129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1419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5376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d v="2016-10-13T21:59:00"/>
    <n v="2260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d v="2013-03-13T20:00:00"/>
    <n v="9683.5331999999999"/>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d v="2014-04-23T15:59:33"/>
    <n v="7472.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d v="2014-01-15T19:00:00"/>
    <n v="73818.24000000000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7397"/>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d v="2014-05-05T21:18:37"/>
    <n v="557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310"/>
  </r>
  <r>
    <n v="2741"/>
    <s v="Mrs. Brown and Her Lost Puppy."/>
    <s v="Help me publish my 1st children's book as an aspiring author!"/>
    <n v="8000"/>
    <n v="35"/>
    <x v="2"/>
    <x v="0"/>
    <s v="USD"/>
    <n v="1413770820"/>
    <n v="1412005602"/>
    <b v="0"/>
    <n v="4"/>
    <b v="0"/>
    <s v="publishing/children's books"/>
    <n v="4.3750000000000004E-3"/>
    <n v="8.75"/>
    <x v="3"/>
    <x v="39"/>
    <d v="2014-09-29T15:46:42"/>
    <d v="2014-10-20T02:07:00"/>
    <n v="35"/>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d v="2012-05-15T17:16:27"/>
    <n v="73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d v="2012-02-29T01:29:58"/>
    <n v="83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d v="2012-07-14T23:42:48"/>
    <n v="175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d v="2014-08-29T18:45:11"/>
    <n v="80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d v="2012-06-16T03:10:00"/>
    <n v="1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d v="2016-09-02T17:03:22"/>
    <n v="53"/>
  </r>
  <r>
    <n v="2749"/>
    <s v="A Tree is a Tree, no matter what you see.  CHILDREN'S BOOK"/>
    <s v="Self-publishing my children's book."/>
    <n v="10000"/>
    <n v="110"/>
    <x v="2"/>
    <x v="0"/>
    <s v="USD"/>
    <n v="1428171037"/>
    <n v="1425582637"/>
    <b v="0"/>
    <n v="2"/>
    <b v="0"/>
    <s v="publishing/children's books"/>
    <n v="1.0999999999999999E-2"/>
    <n v="55"/>
    <x v="3"/>
    <x v="39"/>
    <d v="2015-03-05T19:10:37"/>
    <d v="2015-04-04T18:10:37"/>
    <n v="11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d v="2011-12-18T18:21:44"/>
    <n v="55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d v="2012-08-26T21:37:03"/>
    <n v="38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d v="2015-04-08T18:58:47"/>
    <n v="306.8"/>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d v="2014-01-11T21:36:41"/>
    <n v="1048"/>
  </r>
  <r>
    <n v="2757"/>
    <s v="C is for Crooked"/>
    <s v="A children's letter book that Lampoons Hillary Clinton"/>
    <n v="1500"/>
    <n v="10"/>
    <x v="2"/>
    <x v="0"/>
    <s v="USD"/>
    <n v="1470498332"/>
    <n v="1469202332"/>
    <b v="0"/>
    <n v="2"/>
    <b v="0"/>
    <s v="publishing/children's books"/>
    <n v="6.6666666666666671E-3"/>
    <n v="5"/>
    <x v="3"/>
    <x v="39"/>
    <d v="2016-07-22T15:45:32"/>
    <d v="2016-08-06T15:45:32"/>
    <n v="1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d v="2016-10-10T10:36:23"/>
    <n v="170.8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d v="2016-07-16T08:47:46"/>
    <n v="76.64999999999999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d v="2013-01-03T01:31:33"/>
    <n v="3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d v="2012-03-18T23:53:15"/>
    <n v="25"/>
  </r>
  <r>
    <n v="2763"/>
    <s v="My Christmas Star"/>
    <s v="How Santa finds childrens homes without getting lost by following certain stars."/>
    <n v="39400"/>
    <n v="90"/>
    <x v="2"/>
    <x v="0"/>
    <s v="USD"/>
    <n v="1369403684"/>
    <n v="1365515684"/>
    <b v="0"/>
    <n v="3"/>
    <b v="0"/>
    <s v="publishing/children's books"/>
    <n v="2.2842639593908631E-3"/>
    <n v="30"/>
    <x v="3"/>
    <x v="39"/>
    <d v="2013-04-09T13:54:44"/>
    <d v="2013-05-24T13:54:44"/>
    <n v="9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d v="2012-05-30T19:00:00"/>
    <n v="4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d v="2011-08-11T16:01:58"/>
    <n v="10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d v="2015-08-16T23:00:50"/>
    <n v="25.84"/>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d v="2012-03-29T13:45:23"/>
    <n v="1002"/>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d v="2014-06-05T19:49:50"/>
    <n v="2.64"/>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d v="2014-03-18T15:55:30"/>
    <n v="2082.25"/>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d v="2016-04-24T20:45:21"/>
    <n v="0.7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d v="2013-03-08T03:02:08"/>
    <n v="57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d v="2011-12-16T00:19:14"/>
    <n v="15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d v="2015-06-12T07:07:56"/>
    <n v="165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d v="2015-07-17T16:03:24"/>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d v="2014-08-25T23:28:26"/>
    <n v="1405"/>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d v="2015-11-22T15:03:41"/>
    <n v="53"/>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131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d v="2015-02-17T04:59:00"/>
    <n v="12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51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7140"/>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d v="2016-08-05T21:00:00"/>
    <n v="5234"/>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3888.720000000000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d v="2014-07-18T04:45:52"/>
    <n v="1197"/>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205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3035"/>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d v="2015-02-11T22:31:43"/>
    <n v="316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205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215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8071.4274999999998"/>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d v="2016-03-03T19:00:00"/>
    <n v="99"/>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730"/>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1219.6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d v="2014-07-08T22:34:00"/>
    <n v="10839.32520000000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6692.4000000000005"/>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d v="2016-06-17T16:00:00"/>
    <n v="7697.896800000000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1755.6000000000001"/>
  </r>
  <r>
    <n v="2801"/>
    <s v="A Dream Play"/>
    <s v="Arise Theatre Company's production of August Strindberg's expressionist masterpiece 'A Dream Play'."/>
    <n v="500"/>
    <n v="666"/>
    <x v="0"/>
    <x v="2"/>
    <s v="AUD"/>
    <n v="1412938800"/>
    <n v="1411019409"/>
    <b v="0"/>
    <n v="13"/>
    <b v="1"/>
    <s v="theater/plays"/>
    <n v="1.3320000000000001"/>
    <n v="51.230769230769234"/>
    <x v="1"/>
    <x v="6"/>
    <d v="2014-09-18T05:50:09"/>
    <d v="2014-10-10T11:00:00"/>
    <n v="486.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4032.600000000000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d v="2015-07-16T00:00:00"/>
    <n v="1279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15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580.80000000000007"/>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4439.16"/>
  </r>
  <r>
    <n v="2807"/>
    <s v="The Commission Theatre Co."/>
    <s v="Bringing Shakespeare back to the Playwrights"/>
    <n v="5000"/>
    <n v="6300"/>
    <x v="0"/>
    <x v="0"/>
    <s v="USD"/>
    <n v="1435611438"/>
    <n v="1433019438"/>
    <b v="0"/>
    <n v="93"/>
    <b v="1"/>
    <s v="theater/plays"/>
    <n v="1.26"/>
    <n v="67.741935483870961"/>
    <x v="1"/>
    <x v="6"/>
    <d v="2015-05-30T20:57:18"/>
    <d v="2015-06-29T20:57:18"/>
    <n v="630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d v="2015-08-22T20:18:55"/>
    <n v="45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256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d v="2014-06-01T03:59:00"/>
    <n v="2705"/>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d v="2015-02-23T11:55:03"/>
    <n v="13235.64000000000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305.399999999999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3572.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d v="2015-05-09T09:35:15"/>
    <n v="2133.12"/>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459.8"/>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5606.04"/>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d v="2015-02-28T15:14:22"/>
    <n v="1029.600000000000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1060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d v="2015-06-14T12:36:49"/>
    <n v="6916.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359.04"/>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d v="2014-09-23T22:08:55"/>
    <n v="1320"/>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d v="2015-03-27T15:24:52"/>
    <n v="600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163.68"/>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76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4092"/>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15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240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d v="2015-10-02T23:00:00"/>
    <n v="12587.52"/>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d v="2016-06-02T10:25:18"/>
    <n v="3515.1600000000003"/>
  </r>
  <r>
    <n v="2830"/>
    <s v="Nakhtik and Avalon"/>
    <s v="Avalon is a new South African Township play and Nakhtik is a  danced political lecture."/>
    <n v="3000"/>
    <n v="3000"/>
    <x v="0"/>
    <x v="0"/>
    <s v="USD"/>
    <n v="1399867140"/>
    <n v="1398802148"/>
    <b v="0"/>
    <n v="11"/>
    <b v="1"/>
    <s v="theater/plays"/>
    <n v="1"/>
    <n v="272.72727272727275"/>
    <x v="1"/>
    <x v="6"/>
    <d v="2014-04-29T20:09:08"/>
    <d v="2014-05-12T03:59:00"/>
    <n v="30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32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3785.7467999999999"/>
  </r>
  <r>
    <n v="2833"/>
    <s v="Star Man Rocket Man"/>
    <s v="A new play about exploring outer space"/>
    <n v="2700"/>
    <n v="2923"/>
    <x v="0"/>
    <x v="0"/>
    <s v="USD"/>
    <n v="1444528800"/>
    <n v="1442804633"/>
    <b v="0"/>
    <n v="35"/>
    <b v="1"/>
    <s v="theater/plays"/>
    <n v="1.0825925925925926"/>
    <n v="83.51428571428572"/>
    <x v="1"/>
    <x v="6"/>
    <d v="2015-09-21T03:03:53"/>
    <d v="2015-10-11T02:00:00"/>
    <n v="2923"/>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d v="2015-01-30T23:02:10"/>
    <n v="1795.2"/>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2469.706799999999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485"/>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d v="2015-12-09T22:48:04"/>
    <n v="64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405"/>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3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3432"/>
  </r>
  <r>
    <n v="2841"/>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d v="2015-12-13T18:44:57"/>
    <n v="13.200000000000001"/>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d v="2017-01-04T13:06:20"/>
    <n v="35.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d v="2015-06-08T00:23:53"/>
    <n v="236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d v="2015-05-29T15:34:19"/>
    <n v="70"/>
  </r>
  <r>
    <n v="2849"/>
    <s v="100, Acre Wood"/>
    <s v="NonSens!cal tackles the struggles of four people with mental health issues/disorders inspired by A.A Milne's Winnie the Pooh"/>
    <n v="500"/>
    <n v="5"/>
    <x v="2"/>
    <x v="1"/>
    <s v="GBP"/>
    <n v="1461406600"/>
    <n v="1458814600"/>
    <b v="0"/>
    <n v="1"/>
    <b v="0"/>
    <s v="theater/plays"/>
    <n v="0.01"/>
    <n v="5"/>
    <x v="1"/>
    <x v="6"/>
    <d v="2016-03-24T10:16:40"/>
    <d v="2016-04-23T10:16:40"/>
    <n v="6.600000000000000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d v="2014-09-06T00:10:11"/>
    <n v="3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0"/>
  </r>
  <r>
    <n v="2852"/>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d v="2014-06-21T01:05:03"/>
    <n v="95"/>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0"/>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d v="2015-05-07T17:11:59"/>
    <n v="550.44000000000005"/>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d v="2016-01-29T23:34:00"/>
    <n v="3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d v="2015-08-08T21:34:00"/>
    <n v="14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d v="2017-02-20T18:00:00"/>
    <n v="345"/>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0"/>
  </r>
  <r>
    <n v="2859"/>
    <s v="Grover Theatre Company (GTC)"/>
    <s v="A theatre company that will create works to inspire young people and get everyone involved."/>
    <n v="2000"/>
    <n v="35"/>
    <x v="2"/>
    <x v="2"/>
    <s v="AUD"/>
    <n v="1444984904"/>
    <n v="1439800904"/>
    <b v="0"/>
    <n v="1"/>
    <b v="0"/>
    <s v="theater/plays"/>
    <n v="1.7500000000000002E-2"/>
    <n v="35"/>
    <x v="1"/>
    <x v="6"/>
    <d v="2015-08-17T08:41:44"/>
    <d v="2015-10-16T08:41:44"/>
    <n v="25.55"/>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d v="2016-06-19T19:12:56"/>
    <n v="26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d v="2015-09-24T14:10:48"/>
    <n v="58.4"/>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d v="2014-06-24T18:57:09"/>
    <n v="55"/>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d v="2014-09-09T16:12:03"/>
    <n v="20"/>
  </r>
  <r>
    <n v="2864"/>
    <s v="'Haunting Julia' by Alan Ayckbourn"/>
    <s v="Accessible, original theatre for all!"/>
    <n v="2500"/>
    <n v="40"/>
    <x v="2"/>
    <x v="1"/>
    <s v="GBP"/>
    <n v="1437139080"/>
    <n v="1434552207"/>
    <b v="0"/>
    <n v="3"/>
    <b v="0"/>
    <s v="theater/plays"/>
    <n v="1.6E-2"/>
    <n v="13.333333333333334"/>
    <x v="1"/>
    <x v="6"/>
    <d v="2015-06-17T14:43:27"/>
    <d v="2015-07-17T13:18:00"/>
    <n v="52.800000000000004"/>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0"/>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d v="2016-10-14T22:00:00"/>
    <n v="45"/>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d v="2016-07-04T04:00:00"/>
    <n v="504"/>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d v="2016-10-05T19:50:54"/>
    <n v="6301.7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d v="2016-07-19T14:14:41"/>
    <n v="17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d v="2014-05-17T04:32:45"/>
    <n v="75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d v="2014-12-21T17:43:33"/>
    <n v="467"/>
  </r>
  <r>
    <n v="2872"/>
    <s v="Loud Arts"/>
    <s v="Local Theatre group in Loudoun County, Virginia. Looking for funds to start producing shows!"/>
    <n v="3000"/>
    <n v="0"/>
    <x v="2"/>
    <x v="0"/>
    <s v="USD"/>
    <n v="1434768438"/>
    <n v="1429584438"/>
    <b v="0"/>
    <n v="0"/>
    <b v="0"/>
    <s v="theater/plays"/>
    <n v="0"/>
    <n v="0"/>
    <x v="1"/>
    <x v="6"/>
    <d v="2015-04-21T02:47:18"/>
    <d v="2015-06-20T02:47:18"/>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d v="2015-01-28T19:37:11"/>
    <n v="95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d v="2017-01-17T20:16:26"/>
    <n v="27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d v="2016-05-05T03:04:53"/>
    <n v="7"/>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d v="2016-11-30T17:00:00"/>
    <n v="65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d v="2015-07-03T14:46:35"/>
    <n v="83.16000000000001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d v="2016-01-20T17:24:21"/>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d v="2015-08-20T17:05:00"/>
    <n v="28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d v="2016-05-01T14:18:38"/>
    <n v="25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d v="2016-02-06T04:59:00"/>
    <n v="1908"/>
  </r>
  <r>
    <n v="2884"/>
    <s v="The Lizard King, a play by Jay Jeff Jones"/>
    <s v="Come explore the dream world of Jim Morrison, rock singer, mystic, poet, shaman."/>
    <n v="45000"/>
    <n v="185"/>
    <x v="2"/>
    <x v="0"/>
    <s v="USD"/>
    <n v="1417800435"/>
    <n v="1415208435"/>
    <b v="0"/>
    <n v="4"/>
    <b v="0"/>
    <s v="theater/plays"/>
    <n v="4.1111111111111114E-3"/>
    <n v="46.25"/>
    <x v="1"/>
    <x v="6"/>
    <d v="2014-11-05T17:27:15"/>
    <d v="2014-12-05T17:27:15"/>
    <n v="185"/>
  </r>
  <r>
    <n v="2885"/>
    <s v="The Wedding"/>
    <s v="An historic and proud work of Polish nationalistic literature performed on stage."/>
    <n v="400"/>
    <n v="130"/>
    <x v="2"/>
    <x v="0"/>
    <s v="USD"/>
    <n v="1426294201"/>
    <n v="1423705801"/>
    <b v="0"/>
    <n v="5"/>
    <b v="0"/>
    <s v="theater/plays"/>
    <n v="0.32500000000000001"/>
    <n v="26"/>
    <x v="1"/>
    <x v="6"/>
    <d v="2015-02-12T01:50:01"/>
    <d v="2015-03-14T00:50:01"/>
    <n v="13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d v="2015-09-19T03:59:00"/>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d v="2015-01-11T10:15:24"/>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d v="2014-08-29T20:43:05"/>
    <n v="1142"/>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d v="2014-08-09T03:00:00"/>
    <n v="2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d v="2016-04-15T20:12:08"/>
    <n v="273"/>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d v="2014-08-25T21:00:00"/>
    <n v="500"/>
  </r>
  <r>
    <n v="2893"/>
    <s v="REDISCOVERING KIA THE PLAY"/>
    <s v="Fundraising for REDISCOVERING KIA THE PLAY"/>
    <n v="5000"/>
    <n v="25"/>
    <x v="2"/>
    <x v="0"/>
    <s v="USD"/>
    <n v="1420768800"/>
    <n v="1415644395"/>
    <b v="0"/>
    <n v="2"/>
    <b v="0"/>
    <s v="theater/plays"/>
    <n v="5.0000000000000001E-3"/>
    <n v="12.5"/>
    <x v="1"/>
    <x v="6"/>
    <d v="2014-11-10T18:33:15"/>
    <d v="2015-01-09T02:00:00"/>
    <n v="25"/>
  </r>
  <r>
    <n v="2894"/>
    <s v="How Could You Do This To Me (The Stage Play)"/>
    <s v="This Is A Story About A Woman A Man And A Woman"/>
    <n v="50000"/>
    <n v="0"/>
    <x v="2"/>
    <x v="0"/>
    <s v="USD"/>
    <n v="1428100815"/>
    <n v="1422920415"/>
    <b v="0"/>
    <n v="0"/>
    <b v="0"/>
    <s v="theater/plays"/>
    <n v="0"/>
    <n v="0"/>
    <x v="1"/>
    <x v="6"/>
    <d v="2015-02-02T23:40:15"/>
    <d v="2015-04-03T22:40:15"/>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d v="2014-06-22T21:00:00"/>
    <n v="2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d v="2016-12-12T06:00:00"/>
    <n v="625"/>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d v="2015-10-11T15:29:05"/>
    <n v="55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d v="2015-10-31T15:57:33"/>
    <n v="31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d v="2014-08-09T05:37:12"/>
    <n v="3405"/>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d v="2015-02-07T21:42:19"/>
    <n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d v="2015-08-24T10:33:1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d v="2015-09-09T04:00:18"/>
    <n v="39"/>
  </r>
  <r>
    <n v="2904"/>
    <s v="The Love Shack"/>
    <s v="A Tequila slammer with a slice of Tarantino, a line of the London Fringe scene and a shot of â€œBreaking Badâ€. New Writing."/>
    <n v="1500"/>
    <n v="75"/>
    <x v="2"/>
    <x v="1"/>
    <s v="GBP"/>
    <n v="1415534400"/>
    <n v="1414538031"/>
    <b v="0"/>
    <n v="4"/>
    <b v="0"/>
    <s v="theater/plays"/>
    <n v="0.05"/>
    <n v="18.75"/>
    <x v="1"/>
    <x v="6"/>
    <d v="2014-10-28T23:13:51"/>
    <d v="2014-11-09T12:00:00"/>
    <n v="99"/>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d v="2016-09-07T01:21:53"/>
    <n v="62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d v="2015-08-01T01:00:00"/>
    <n v="565"/>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d v="2016-05-14T21:03:57"/>
    <n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d v="2016-06-08T17:33:39"/>
    <n v="264"/>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d v="2014-11-25T19:46:00"/>
    <n v="20"/>
  </r>
  <r>
    <n v="2910"/>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d v="2015-06-12T20:11:27"/>
    <n v="1.3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d v="2015-06-27T18:27:06"/>
    <n v="65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d v="2016-01-15T03:09:34"/>
    <n v="203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d v="2014-09-06T22:08:59"/>
    <n v="2"/>
  </r>
  <r>
    <n v="2914"/>
    <s v="Hercules the Panto"/>
    <s v="Hercules must complete four challenges in order to meet the father he never knew"/>
    <n v="25000"/>
    <n v="1"/>
    <x v="2"/>
    <x v="1"/>
    <s v="GBP"/>
    <n v="1426365994"/>
    <n v="1421185594"/>
    <b v="0"/>
    <n v="1"/>
    <b v="0"/>
    <s v="theater/plays"/>
    <n v="4.0000000000000003E-5"/>
    <n v="1"/>
    <x v="1"/>
    <x v="6"/>
    <d v="2015-01-13T21:46:34"/>
    <d v="2015-03-14T20:46:34"/>
    <n v="1.32"/>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d v="2016-03-16T08:33:10"/>
    <n v="806.5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d v="2014-05-19T11:26:29"/>
    <n v="191.4"/>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d v="2015-09-16T05:37:27"/>
    <n v="43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d v="2015-10-29T15:06:47"/>
    <n v="1362"/>
  </r>
  <r>
    <n v="2919"/>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d v="2014-08-05T14:52:09"/>
    <n v="5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d v="2015-03-25T18:01:10"/>
    <n v="509.9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129"/>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d v="2015-05-18T20:58:47"/>
    <n v="660"/>
  </r>
  <r>
    <n v="2923"/>
    <s v="Kaylee's Senior Project"/>
    <s v="Spreading the love of theatre, one step at a time. I would like to produce a reading of one of my favorite musicals"/>
    <n v="300"/>
    <n v="300"/>
    <x v="0"/>
    <x v="0"/>
    <s v="USD"/>
    <n v="1422068400"/>
    <n v="1420774779"/>
    <b v="0"/>
    <n v="10"/>
    <b v="1"/>
    <s v="theater/musical"/>
    <n v="1"/>
    <n v="30"/>
    <x v="1"/>
    <x v="40"/>
    <d v="2015-01-09T03:39:39"/>
    <d v="2015-01-24T03:00:00"/>
    <n v="3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258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46100.69"/>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375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d v="2014-07-15T05:00:00"/>
    <n v="2355"/>
  </r>
  <r>
    <n v="2928"/>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d v="2016-03-04T23:57:26"/>
    <n v="100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d v="2014-05-25T13:32:38"/>
    <n v="8165.55"/>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d v="2015-05-07T14:01:04"/>
    <n v="13321.4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604.2000000000000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d v="2015-02-21T11:00:00"/>
    <n v="2378.3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d v="2016-06-04T22:57:33"/>
    <n v="2569"/>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20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353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280"/>
  </r>
  <r>
    <n v="2937"/>
    <s v="UCAS"/>
    <s v="UCAS is a new British musical premiering at the Edinburgh Fringe Festival 2014."/>
    <n v="1500"/>
    <n v="2000"/>
    <x v="0"/>
    <x v="1"/>
    <s v="GBP"/>
    <n v="1405249113"/>
    <n v="1402657113"/>
    <b v="0"/>
    <n v="55"/>
    <b v="1"/>
    <s v="theater/musical"/>
    <n v="1.3333333333333333"/>
    <n v="36.363636363636367"/>
    <x v="1"/>
    <x v="40"/>
    <d v="2014-06-13T10:58:33"/>
    <d v="2014-07-13T10:58:33"/>
    <n v="26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d v="2015-01-30T16:53:34"/>
    <n v="405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d v="2014-08-28T01:00:00"/>
    <n v="823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d v="2015-01-18T18:33:38"/>
    <n v="268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d v="2015-03-01T23:02:35"/>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d v="2015-12-16T20:18:00"/>
    <n v="31046"/>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d v="2015-06-07T21:56:38"/>
    <n v="10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d v="2016-08-15T12:44:52"/>
    <n v="2.64"/>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d v="2016-11-24T17:11:00"/>
    <n v="107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d v="2015-06-02T15:34:53"/>
    <n v="24"/>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d v="2015-11-19T20:45:17"/>
    <n v="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d v="2014-10-05T19:16:13"/>
    <n v="109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d v="2016-10-17T04:00:00"/>
    <n v="1605"/>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d v="2015-10-08T19:00:21"/>
    <n v="605"/>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0"/>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d v="2015-06-16T17:47:29"/>
    <n v="71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d v="2016-05-04T23:00:50"/>
    <n v="13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d v="2015-03-27T23:16:12"/>
    <n v="28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d v="2015-03-26T04:00:00"/>
    <n v="548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1218"/>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1068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5035.689999999999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163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1136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5696"/>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37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123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636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205"/>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210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874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51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8010"/>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58.4"/>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340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d v="2014-10-20T05:59:00"/>
    <n v="97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507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3275"/>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d v="2015-09-23T13:25:56"/>
    <n v="6085.2599999999993"/>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6735.9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d v="2014-11-11T16:10:36"/>
    <n v="169985.9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2508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8150.55"/>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d v="2016-05-01T11:00:06"/>
    <n v="3342.240000000000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d v="2016-10-13T00:00:00"/>
    <n v="27600.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d v="2016-06-20T08:41:21"/>
    <n v="1320"/>
  </r>
  <r>
    <n v="2989"/>
    <s v="Let's Light Up The Gem!"/>
    <s v="Bring the movies back to Bethel, Maine."/>
    <n v="20000"/>
    <n v="35307"/>
    <x v="0"/>
    <x v="0"/>
    <s v="USD"/>
    <n v="1450673940"/>
    <n v="1448756962"/>
    <b v="0"/>
    <n v="364"/>
    <b v="1"/>
    <s v="theater/spaces"/>
    <n v="1.76535"/>
    <n v="96.997252747252745"/>
    <x v="1"/>
    <x v="38"/>
    <d v="2015-11-29T00:29:22"/>
    <d v="2015-12-21T04:59:00"/>
    <n v="35307"/>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d v="2016-01-07T13:47:00"/>
    <n v="100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878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d v="2016-10-09T18:25:10"/>
    <n v="3135"/>
  </r>
  <r>
    <n v="2993"/>
    <s v="TRUE WEST: Think, Dog! Productions"/>
    <s v="Help us build the Kitchen from Hell!"/>
    <n v="1000"/>
    <n v="1003"/>
    <x v="0"/>
    <x v="0"/>
    <s v="USD"/>
    <n v="1455998867"/>
    <n v="1453406867"/>
    <b v="0"/>
    <n v="22"/>
    <b v="1"/>
    <s v="theater/spaces"/>
    <n v="1.0029999999999999"/>
    <n v="45.590909090909093"/>
    <x v="1"/>
    <x v="38"/>
    <d v="2016-01-21T20:07:47"/>
    <d v="2016-02-20T20:07:47"/>
    <n v="100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d v="2014-10-03T11:29:32"/>
    <n v="1812.676800000000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15744"/>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18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d v="2017-02-27T04:59:00"/>
    <n v="1037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d v="2014-06-16T04:25:00"/>
    <n v="51514.5"/>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605"/>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d v="2017-01-31T18:00:00"/>
    <n v="5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d v="2016-07-13T21:29:42"/>
    <n v="22991.0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7595.43"/>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035"/>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4512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12772.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6551.2"/>
  </r>
  <r>
    <n v="3007"/>
    <s v="Bethlem"/>
    <s v="Consuite for 2015 CoreCon.  An adventure into insanity."/>
    <n v="600"/>
    <n v="1080"/>
    <x v="0"/>
    <x v="0"/>
    <s v="USD"/>
    <n v="1429938683"/>
    <n v="1428124283"/>
    <b v="0"/>
    <n v="20"/>
    <b v="1"/>
    <s v="theater/spaces"/>
    <n v="1.8"/>
    <n v="54"/>
    <x v="1"/>
    <x v="38"/>
    <d v="2015-04-04T05:11:23"/>
    <d v="2015-04-25T05:11:23"/>
    <n v="108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35"/>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299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237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437.7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4685"/>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d v="2015-06-21T20:04:09"/>
    <n v="1569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276"/>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35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872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d v="2014-08-20T20:24:03"/>
    <n v="23285"/>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991.399999999999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d v="2014-05-27T03:00:00"/>
    <n v="1818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70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52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d v="2016-08-27T22:53:29"/>
    <n v="1008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951.72"/>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d v="2012-10-06T23:51:15"/>
    <n v="1232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d v="2014-05-30T16:00:00"/>
    <n v="9972.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d v="2017-03-03T11:01:32"/>
    <n v="1702.800000000000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52576"/>
  </r>
  <r>
    <n v="3028"/>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d v="2016-08-15T06:20:25"/>
    <n v="840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d v="2014-11-18T04:35:00"/>
    <n v="3290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d v="2015-09-16T17:56:11"/>
    <n v="1867"/>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d v="2016-10-14T21:10:47"/>
    <n v="1500"/>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127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d v="2016-08-18T02:38:45"/>
    <n v="439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112536"/>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27196.7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168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d v="2010-10-02T04:59:00"/>
    <n v="106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1005"/>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d v="2013-12-29T07:59:00"/>
    <n v="21742.78"/>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3225"/>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917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2534.4"/>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12540.7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312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d v="2014-08-22T03:44:15"/>
    <n v="5308.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d v="2014-09-10T04:52:00"/>
    <n v="15077"/>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745"/>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d v="2014-12-31T21:22:00"/>
    <n v="832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400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6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d v="2017-02-08T09:59:05"/>
    <n v="1091.640000000000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d v="2015-05-28T15:59:00"/>
    <n v="75"/>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d v="2014-10-02T03:59:00"/>
    <n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d v="2015-01-09T22:59:50"/>
    <n v="1"/>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0"/>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d v="2016-05-20T08:59:00"/>
    <n v="3.54"/>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d v="2014-08-08T22:27:26"/>
    <n v="45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d v="2015-09-28T06:35:34"/>
    <n v="335"/>
  </r>
  <r>
    <n v="3061"/>
    <s v="Help Save Parkway Cinemas!"/>
    <s v="Save a historic Local theater."/>
    <n v="1000000"/>
    <n v="0"/>
    <x v="2"/>
    <x v="0"/>
    <s v="USD"/>
    <n v="1407955748"/>
    <n v="1405363748"/>
    <b v="0"/>
    <n v="0"/>
    <b v="0"/>
    <s v="theater/spaces"/>
    <n v="0"/>
    <n v="0"/>
    <x v="1"/>
    <x v="38"/>
    <d v="2014-07-14T18:49:08"/>
    <d v="2014-08-13T18:49:0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d v="2015-09-30T18:00:00"/>
    <n v="6684"/>
  </r>
  <r>
    <n v="3063"/>
    <s v="Spec Haus"/>
    <s v="Members of the local Miami music scene are putting together a venue/creative space in Kendall!"/>
    <n v="3000"/>
    <n v="587"/>
    <x v="2"/>
    <x v="0"/>
    <s v="USD"/>
    <n v="1477174138"/>
    <n v="1474150138"/>
    <b v="0"/>
    <n v="23"/>
    <b v="0"/>
    <s v="theater/spaces"/>
    <n v="0.19566666666666666"/>
    <n v="25.521739130434781"/>
    <x v="1"/>
    <x v="38"/>
    <d v="2016-09-17T22:08:58"/>
    <d v="2016-10-22T22:08:58"/>
    <n v="587"/>
  </r>
  <r>
    <n v="3064"/>
    <s v="Kickstart the Crossroads Community"/>
    <s v="An epicenter for connection, creation and expression of the community."/>
    <n v="75000"/>
    <n v="8471"/>
    <x v="2"/>
    <x v="0"/>
    <s v="USD"/>
    <n v="1448175540"/>
    <n v="1445483246"/>
    <b v="0"/>
    <n v="72"/>
    <b v="0"/>
    <s v="theater/spaces"/>
    <n v="0.11294666666666667"/>
    <n v="117.65277777777777"/>
    <x v="1"/>
    <x v="38"/>
    <d v="2015-10-22T03:07:26"/>
    <d v="2015-11-22T06:59:00"/>
    <n v="847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d v="2014-07-30T01:19:32"/>
    <n v="10"/>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d v="2016-07-10T05:28:57"/>
    <n v="30623.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d v="2015-09-09T22:31:19"/>
    <n v="134"/>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d v="2015-10-16T16:35:52"/>
    <n v="1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d v="2014-12-14T20:00:34"/>
    <n v="14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d v="2016-12-07T17:36:09"/>
    <n v="440.8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d v="2015-04-21T05:59:00"/>
    <n v="7173"/>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d v="2016-10-30T01:46:00"/>
    <n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d v="2015-06-14T19:19:00"/>
    <n v="645"/>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d v="2016-03-10T13:42:39"/>
    <n v="25.959999999999997"/>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d v="2016-08-19T02:27:20"/>
    <n v="1296"/>
  </r>
  <r>
    <n v="3076"/>
    <s v="10,000 Hours"/>
    <s v="Helping female comedians get in their 10,000 Hours of practice!"/>
    <n v="10000"/>
    <n v="1506"/>
    <x v="2"/>
    <x v="0"/>
    <s v="USD"/>
    <n v="1444405123"/>
    <n v="1439221123"/>
    <b v="0"/>
    <n v="50"/>
    <b v="0"/>
    <s v="theater/spaces"/>
    <n v="0.15060000000000001"/>
    <n v="30.12"/>
    <x v="1"/>
    <x v="38"/>
    <d v="2015-08-10T15:38:43"/>
    <d v="2015-10-09T15:38:43"/>
    <n v="150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d v="2017-03-02T22:57:58"/>
    <n v="79.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d v="2015-02-26T03:19:55"/>
    <n v="7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d v="2015-03-22T16:07:15"/>
    <n v="1122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d v="2014-12-27T01:40:44"/>
    <n v="37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d v="2015-09-20T04:21:31"/>
    <n v="2103"/>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d v="2014-09-01T05:00:00"/>
    <n v="5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d v="2015-05-05T18:48:00"/>
    <n v="47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d v="2015-09-29T21:12:39"/>
    <n v="6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d v="2015-08-17T16:05:59"/>
    <n v="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d v="2016-12-21T04:36:30"/>
    <n v="125"/>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d v="2015-01-08T13:41:00"/>
    <n v="12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d v="2016-07-09T01:59:00"/>
    <n v="5854"/>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d v="2015-05-01T18:39:05"/>
    <n v="11432"/>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d v="2016-08-14T22:45:43"/>
    <n v="79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d v="2015-10-15T22:00:00"/>
    <n v="1183.1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d v="2014-06-01T03:59:00"/>
    <n v="691.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d v="2015-09-20T19:05:56"/>
    <n v="25"/>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d v="2016-08-01T00:36:20"/>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d v="2015-05-20T19:48:46"/>
    <n v="79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d v="2016-10-07T14:00:00"/>
    <n v="2263.800000000000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d v="2016-02-08T00:17:00"/>
    <n v="175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d v="2016-02-12T04:33:11"/>
    <n v="27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d v="2014-10-20T14:56:15"/>
    <n v="1827"/>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d v="2015-07-16T07:56:00"/>
    <n v="354"/>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d v="2016-08-23T08:10:18"/>
    <n v="8260.56"/>
  </r>
  <r>
    <n v="3103"/>
    <s v="Professional Venue for local artists!!"/>
    <s v="Creating a place for local artists to perform, at substantially less cost for them"/>
    <n v="4100"/>
    <n v="11"/>
    <x v="2"/>
    <x v="0"/>
    <s v="USD"/>
    <n v="1434080706"/>
    <n v="1428896706"/>
    <b v="0"/>
    <n v="2"/>
    <b v="0"/>
    <s v="theater/spaces"/>
    <n v="2.6829268292682929E-3"/>
    <n v="5.5"/>
    <x v="1"/>
    <x v="38"/>
    <d v="2015-04-13T03:45:06"/>
    <d v="2015-06-12T03:45:06"/>
    <n v="1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d v="2015-02-03T02:00:00"/>
    <n v="865.05"/>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d v="2014-10-19T05:00:00"/>
    <n v="247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d v="2015-09-16T22:00:00"/>
    <n v="54.120000000000005"/>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d v="2015-05-11T19:32:31"/>
    <n v="7905"/>
  </r>
  <r>
    <n v="3108"/>
    <s v="Funding a home for our Children's Theater"/>
    <s v="We need a permanent home for the theater!"/>
    <n v="50000"/>
    <n v="26"/>
    <x v="2"/>
    <x v="0"/>
    <s v="USD"/>
    <n v="1430234394"/>
    <n v="1425053994"/>
    <b v="0"/>
    <n v="2"/>
    <b v="0"/>
    <s v="theater/spaces"/>
    <n v="5.1999999999999995E-4"/>
    <n v="13"/>
    <x v="1"/>
    <x v="38"/>
    <d v="2015-02-27T16:19:54"/>
    <d v="2015-04-28T15:19:54"/>
    <n v="2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d v="2014-08-28T03:00:10"/>
    <n v="6633"/>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d v="2017-02-19T00:45:19"/>
    <n v="10"/>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d v="2014-10-04T14:17:00"/>
    <n v="532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d v="2016-11-01T02:55:34"/>
    <n v="52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d v="2015-04-17T17:33:02"/>
    <n v="4635"/>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0"/>
  </r>
  <r>
    <n v="3115"/>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d v="2016-06-05T10:43:47"/>
    <n v="33"/>
  </r>
  <r>
    <n v="3116"/>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d v="2015-04-01T12:22:05"/>
    <n v="430"/>
  </r>
  <r>
    <n v="3117"/>
    <s v="Cowes and The Sea"/>
    <s v="Performing Arts workshops, for young people aged 5 -16, exploring how the sea has shaped Cowes as a settlement."/>
    <n v="1000"/>
    <n v="1"/>
    <x v="2"/>
    <x v="1"/>
    <s v="GBP"/>
    <n v="1464354720"/>
    <n v="1463648360"/>
    <b v="0"/>
    <n v="1"/>
    <b v="0"/>
    <s v="theater/spaces"/>
    <n v="1E-3"/>
    <n v="1"/>
    <x v="1"/>
    <x v="38"/>
    <d v="2016-05-19T08:59:20"/>
    <d v="2016-05-27T13:12:00"/>
    <n v="1.32"/>
  </r>
  <r>
    <n v="3118"/>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d v="2016-07-02T15:35:23"/>
    <n v="170.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d v="2015-03-27T00:05:32"/>
    <n v="5"/>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d v="2016-05-05T21:36:36"/>
    <n v="151.04"/>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d v="2014-09-26T16:18:55"/>
    <n v="7.6"/>
  </r>
  <r>
    <n v="3122"/>
    <s v="be back soon (Canceled)"/>
    <s v="cancelled until further notice"/>
    <n v="199"/>
    <n v="116"/>
    <x v="1"/>
    <x v="0"/>
    <s v="USD"/>
    <n v="1478733732"/>
    <n v="1478298132"/>
    <b v="0"/>
    <n v="2"/>
    <b v="0"/>
    <s v="theater/spaces"/>
    <n v="0.58291457286432158"/>
    <n v="58"/>
    <x v="1"/>
    <x v="38"/>
    <d v="2016-11-04T22:22:12"/>
    <d v="2016-11-09T23:22:12"/>
    <n v="11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d v="2016-07-09T23:49:58"/>
    <n v="85192"/>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d v="2015-02-02T18:43:21"/>
    <n v="26"/>
  </r>
  <r>
    <n v="3125"/>
    <s v="N/A (Canceled)"/>
    <s v="N/A"/>
    <n v="1500000"/>
    <n v="0"/>
    <x v="1"/>
    <x v="0"/>
    <s v="USD"/>
    <n v="1452142672"/>
    <n v="1449550672"/>
    <b v="0"/>
    <n v="0"/>
    <b v="0"/>
    <s v="theater/spaces"/>
    <n v="0"/>
    <n v="0"/>
    <x v="1"/>
    <x v="38"/>
    <d v="2015-12-08T04:57:52"/>
    <d v="2016-01-07T04:57:52"/>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d v="2016-03-27T23:26:02"/>
    <n v="10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1629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d v="2017-04-18T19:13:39"/>
    <n v="10"/>
  </r>
  <r>
    <n v="3130"/>
    <s v="MEDEA | A New Vision"/>
    <s v="A shockingly relevant modern take on a 2,000-year-old tragedy that confronts current gender politics."/>
    <n v="10000"/>
    <n v="375"/>
    <x v="3"/>
    <x v="0"/>
    <s v="USD"/>
    <n v="1492145940"/>
    <n v="1489504916"/>
    <b v="0"/>
    <n v="4"/>
    <b v="0"/>
    <s v="theater/plays"/>
    <n v="3.7499999999999999E-2"/>
    <n v="93.75"/>
    <x v="1"/>
    <x v="6"/>
    <d v="2017-03-14T15:21:56"/>
    <d v="2017-04-14T04:59:00"/>
    <n v="375"/>
  </r>
  <r>
    <n v="3131"/>
    <s v="SNAKE EYES"/>
    <s v="A Staged Reading of &quot;Snake Eyes,&quot; a new play by Alex Rafala"/>
    <n v="4100"/>
    <n v="645"/>
    <x v="3"/>
    <x v="0"/>
    <s v="USD"/>
    <n v="1491656045"/>
    <n v="1489067645"/>
    <b v="0"/>
    <n v="12"/>
    <b v="0"/>
    <s v="theater/plays"/>
    <n v="0.15731707317073171"/>
    <n v="53.75"/>
    <x v="1"/>
    <x v="6"/>
    <d v="2017-03-09T13:54:05"/>
    <d v="2017-04-08T12:54:05"/>
    <n v="645"/>
  </r>
  <r>
    <n v="3132"/>
    <s v="A Bite of a Snake Play"/>
    <s v="Smells Like Money, Drips Like Honey, Taste Like Mocha, Better Run AWAY"/>
    <n v="30000"/>
    <n v="10"/>
    <x v="3"/>
    <x v="0"/>
    <s v="USD"/>
    <n v="1492759460"/>
    <n v="1487579060"/>
    <b v="0"/>
    <n v="1"/>
    <b v="0"/>
    <s v="theater/plays"/>
    <n v="3.3333333333333332E-4"/>
    <n v="10"/>
    <x v="1"/>
    <x v="6"/>
    <d v="2017-02-20T08:24:20"/>
    <d v="2017-04-21T07:24:20"/>
    <n v="1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712.8000000000000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d v="2017-03-27T16:16:59"/>
    <n v="29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d v="2017-04-04T03:38:41"/>
    <n v="162"/>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843.48"/>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d v="2017-05-03T19:12:00"/>
    <n v="5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d v="2017-03-25T04:33:00"/>
    <n v="124.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d v="2017-04-07T16:15:03"/>
    <n v="113.28"/>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d v="2017-04-16T20:00:00"/>
    <n v="304.44"/>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d v="2017-03-19T11:18:59"/>
    <n v="59.40000000000000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0"/>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d v="2017-03-19T06:00:00"/>
    <n v="7540"/>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0"/>
  </r>
  <r>
    <n v="3146"/>
    <s v="SoÃ±Ã© una ciudad amurallada"/>
    <s v="Somos... Podemos... Amamos... Nuestra muralla, nuestra utopÃ­a. Que el amor sea el lÃ­mite"/>
    <n v="50000"/>
    <n v="5250"/>
    <x v="3"/>
    <x v="14"/>
    <s v="MXN"/>
    <n v="1492356166"/>
    <n v="1488471766"/>
    <b v="0"/>
    <n v="12"/>
    <b v="0"/>
    <s v="theater/plays"/>
    <n v="0.105"/>
    <n v="437.5"/>
    <x v="1"/>
    <x v="6"/>
    <d v="2017-03-02T16:22:46"/>
    <d v="2017-04-16T15:22:46"/>
    <n v="24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23505"/>
  </r>
  <r>
    <n v="3148"/>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d v="2014-10-01T04:00:00"/>
    <n v="236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13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3535"/>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5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d v="2013-11-02T20:49:27"/>
    <n v="3076.92"/>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d v="2011-05-01T04:59:00"/>
    <n v="10067.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790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d v="2012-12-20T11:58:45"/>
    <n v="12441.303599999999"/>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5600"/>
  </r>
  <r>
    <n v="3157"/>
    <s v="Summer FourPlay"/>
    <s v="Four Directors.  Four One Acts.  Four Genres.  For You."/>
    <n v="4000"/>
    <n v="4040"/>
    <x v="0"/>
    <x v="0"/>
    <s v="USD"/>
    <n v="1405746000"/>
    <n v="1404932105"/>
    <b v="1"/>
    <n v="41"/>
    <b v="1"/>
    <s v="theater/plays"/>
    <n v="1.01"/>
    <n v="98.536585365853654"/>
    <x v="1"/>
    <x v="6"/>
    <d v="2014-07-09T18:55:05"/>
    <d v="2014-07-19T05:00:00"/>
    <n v="4040"/>
  </r>
  <r>
    <n v="3158"/>
    <s v="Nursery Crimes"/>
    <s v="A 40s crime-noir play using nursery rhyme characters."/>
    <n v="5000"/>
    <n v="5700"/>
    <x v="0"/>
    <x v="0"/>
    <s v="USD"/>
    <n v="1374523752"/>
    <n v="1371931752"/>
    <b v="1"/>
    <n v="69"/>
    <b v="1"/>
    <s v="theater/plays"/>
    <n v="1.1399999999999999"/>
    <n v="82.608695652173907"/>
    <x v="1"/>
    <x v="6"/>
    <d v="2013-06-22T20:09:12"/>
    <d v="2013-07-22T20:09:12"/>
    <n v="570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2002.2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d v="2014-08-13T04:59:00"/>
    <n v="4569"/>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d v="2014-10-15T12:52:02"/>
    <n v="2774.640000000000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d v="2014-07-07T02:00:00"/>
    <n v="508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1445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d v="2014-06-09T19:20:15"/>
    <n v="2669"/>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d v="2011-05-03T03:59:00"/>
    <n v="122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56079.83"/>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3485"/>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05"/>
  </r>
  <r>
    <n v="3169"/>
    <s v="The Window"/>
    <s v="We're bringing The Window to the Cherry Lane Theater in January 2014."/>
    <n v="8000"/>
    <n v="8241"/>
    <x v="0"/>
    <x v="0"/>
    <s v="USD"/>
    <n v="1386910740"/>
    <n v="1384364561"/>
    <b v="1"/>
    <n v="82"/>
    <b v="1"/>
    <s v="theater/plays"/>
    <n v="1.030125"/>
    <n v="100.5"/>
    <x v="1"/>
    <x v="6"/>
    <d v="2013-11-13T17:42:41"/>
    <d v="2013-12-13T04:59:00"/>
    <n v="824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d v="2014-07-02T04:00:00"/>
    <n v="224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d v="2016-05-06T14:35:58"/>
    <n v="10054.4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230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1030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303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5478"/>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18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293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d v="2014-07-16T14:31:15"/>
    <n v="3400.32"/>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4794.8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1896.840000000000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719.4"/>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7062"/>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2725"/>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461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d v="2014-07-16T23:27:21"/>
    <n v="132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4316.400000000000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17444"/>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d v="2015-06-10T09:58:22"/>
    <n v="171.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d v="2015-05-24T08:18:52"/>
    <n v="745.8"/>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d v="2016-08-16T18:07:49"/>
    <n v="15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d v="2015-02-28T22:00:00"/>
    <n v="134.6400000000000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d v="2015-02-20T23:14:16"/>
    <n v="774.84"/>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d v="2015-02-12T14:15:42"/>
    <n v="207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d v="2015-08-01T14:00:00"/>
    <n v="1800"/>
  </r>
  <r>
    <n v="3197"/>
    <s v="Mirror, mirror on the wall"/>
    <s v="This years most important stage project for young artists in our region. www.ungespor.no"/>
    <n v="10000"/>
    <n v="1145"/>
    <x v="2"/>
    <x v="10"/>
    <s v="NOK"/>
    <n v="1423050618"/>
    <n v="1420458618"/>
    <b v="0"/>
    <n v="4"/>
    <b v="0"/>
    <s v="theater/musical"/>
    <n v="0.1145"/>
    <n v="286.25"/>
    <x v="1"/>
    <x v="40"/>
    <d v="2015-01-05T11:50:18"/>
    <d v="2015-02-04T11:50:18"/>
    <n v="125.95"/>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d v="2015-02-16T10:11:17"/>
    <n v="17.60000000000000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d v="2014-09-06T21:00:00"/>
    <n v="260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d v="2016-04-30T05:34:0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d v="2014-08-31T18:24:37"/>
    <n v="3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d v="2015-12-14T05:59:00"/>
    <n v="272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d v="2015-09-25T23:43:42"/>
    <n v="25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d v="2015-05-01T08:59:32"/>
    <n v="360.3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d v="2015-04-23T05:40:07"/>
    <n v="255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51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11335.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377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d v="2014-08-15T02:00:00"/>
    <n v="27541"/>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505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d v="2015-07-26T18:19:19"/>
    <n v="7929.240000000000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16177.9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512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d v="2015-07-11T14:30:00"/>
    <n v="2641.32"/>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522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d v="2014-12-31T00:00:00"/>
    <n v="16172.64000000000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20022"/>
  </r>
  <r>
    <n v="3220"/>
    <s v="Burners"/>
    <s v="A sci-fi thriller for the stage opening March 10 in Los Angeles."/>
    <n v="15000"/>
    <n v="15126"/>
    <x v="0"/>
    <x v="0"/>
    <s v="USD"/>
    <n v="1489352400"/>
    <n v="1486411204"/>
    <b v="1"/>
    <n v="59"/>
    <b v="1"/>
    <s v="theater/plays"/>
    <n v="1.0084"/>
    <n v="256.37288135593218"/>
    <x v="1"/>
    <x v="6"/>
    <d v="2017-02-06T20:00:04"/>
    <d v="2017-03-12T21:00:00"/>
    <n v="1512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d v="2015-07-05T16:43:23"/>
    <n v="5460.84"/>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2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d v="2015-08-20T20:02:56"/>
    <n v="3395"/>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3061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04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165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198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7164"/>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2157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d v="2014-10-01T03:59:00"/>
    <n v="285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161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d v="2016-05-04T03:59:00"/>
    <n v="13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d v="2017-03-02T19:19:15"/>
    <n v="594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5300.737200000000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d v="2016-07-01T08:20:51"/>
    <n v="1548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20120"/>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d v="2015-09-29T03:59:00"/>
    <n v="35275.64"/>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4151.4000000000005"/>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8195.853600000000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d v="2017-02-16T23:00:00"/>
    <n v="3982.4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9801"/>
  </r>
  <r>
    <n v="3242"/>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d v="2014-09-19T18:08:12"/>
    <n v="12730.4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d v="2015-10-09T00:00:00"/>
    <n v="822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d v="2016-12-01T17:39:42"/>
    <n v="2174.0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21904"/>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11122"/>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493.38"/>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12095"/>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577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d v="2014-11-05T18:48:44"/>
    <n v="25388"/>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1661"/>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796.32"/>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d v="2016-09-08T03:45:00"/>
    <n v="2036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d v="2015-03-26T01:03:29"/>
    <n v="17375.82"/>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69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1280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2806.3067999999998"/>
  </r>
  <r>
    <n v="3258"/>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d v="2015-01-08T21:17:41"/>
    <n v="7365"/>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24418.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d v="2015-11-30T17:08:38"/>
    <n v="5462"/>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d v="2015-07-16T17:24:36"/>
    <n v="3315"/>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1257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804.16"/>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257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5225.04"/>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787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d v="2015-07-17T18:11:00"/>
    <n v="15315"/>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256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10718.4"/>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2415.6"/>
  </r>
  <r>
    <n v="3271"/>
    <s v="Saxon Court at Southwark Playhouse"/>
    <s v="A razor sharp satire to darken your Christmas."/>
    <n v="1500"/>
    <n v="1950"/>
    <x v="0"/>
    <x v="1"/>
    <s v="GBP"/>
    <n v="1414927775"/>
    <n v="1412332175"/>
    <b v="1"/>
    <n v="51"/>
    <b v="1"/>
    <s v="theater/plays"/>
    <n v="1.3"/>
    <n v="38.235294117647058"/>
    <x v="1"/>
    <x v="6"/>
    <d v="2014-10-03T10:29:35"/>
    <d v="2014-11-02T11:29:35"/>
    <n v="2574"/>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15443"/>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d v="2016-09-14T19:00:00"/>
    <n v="429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d v="2016-03-15T21:00:00"/>
    <n v="15705"/>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d v="2015-02-09T04:30:00"/>
    <n v="180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d v="2016-04-01T03:59:00"/>
    <n v="3996.08"/>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7167.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412.20000000000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662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206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608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31820.5"/>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1106.1600000000001"/>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3048"/>
  </r>
  <r>
    <n v="3285"/>
    <s v="By Morning"/>
    <s v="A new play by Matthew Gasda"/>
    <n v="4999"/>
    <n v="5604"/>
    <x v="0"/>
    <x v="0"/>
    <s v="USD"/>
    <n v="1488258000"/>
    <n v="1485556626"/>
    <b v="0"/>
    <n v="81"/>
    <b v="1"/>
    <s v="theater/plays"/>
    <n v="1.1210242048409682"/>
    <n v="69.18518518518519"/>
    <x v="1"/>
    <x v="6"/>
    <d v="2017-01-27T22:37:06"/>
    <d v="2017-02-28T05:00:00"/>
    <n v="5604"/>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15265"/>
  </r>
  <r>
    <n v="3287"/>
    <s v="Three Things: Stories About Life"/>
    <s v="An inspirational one-man play about crisis, community, and the search for wholeness."/>
    <n v="2500"/>
    <n v="2500"/>
    <x v="0"/>
    <x v="5"/>
    <s v="CAD"/>
    <n v="1448733628"/>
    <n v="1446573628"/>
    <b v="0"/>
    <n v="34"/>
    <b v="1"/>
    <s v="theater/plays"/>
    <n v="1"/>
    <n v="73.529411764705884"/>
    <x v="1"/>
    <x v="6"/>
    <d v="2015-11-03T18:00:28"/>
    <d v="2015-11-28T18:00:28"/>
    <n v="190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d v="2016-06-20T23:00:00"/>
    <n v="13234.966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d v="2017-02-20T08:50:02"/>
    <n v="878.0772000000000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199.680000000000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57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d v="2015-12-04T19:29:08"/>
    <n v="381.4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d v="2017-03-04T10:12:32"/>
    <n v="5138.9000000000005"/>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937.2"/>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950.4132000000000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d v="2015-11-22T22:00:00"/>
    <n v="2852.52"/>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d v="2015-07-27T22:59:00"/>
    <n v="7265.280000000000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d v="2015-09-13T00:00:00"/>
    <n v="1017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48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4085"/>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004"/>
  </r>
  <r>
    <n v="3302"/>
    <s v="El muro de BorÃ­s KiÃ©n"/>
    <s v="FilosofÃ­a de los anÃ³nimos"/>
    <n v="8400"/>
    <n v="8685"/>
    <x v="0"/>
    <x v="3"/>
    <s v="EUR"/>
    <n v="1481099176"/>
    <n v="1478507176"/>
    <b v="0"/>
    <n v="50"/>
    <b v="1"/>
    <s v="theater/plays"/>
    <n v="1.0339285714285715"/>
    <n v="173.7"/>
    <x v="1"/>
    <x v="6"/>
    <d v="2016-11-07T08:26:16"/>
    <d v="2016-12-07T08:26:16"/>
    <n v="10248.299999999999"/>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208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d v="2016-12-22T14:59:12"/>
    <n v="15677.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408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263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d v="2016-05-15T01:22:19"/>
    <n v="1066.8"/>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4280"/>
  </r>
  <r>
    <n v="3309"/>
    <s v="Collision Course"/>
    <s v="Two unlikely friends, a garage, tinned beans &amp; the end of the world."/>
    <n v="350"/>
    <n v="558"/>
    <x v="0"/>
    <x v="1"/>
    <s v="GBP"/>
    <n v="1476632178"/>
    <n v="1473953778"/>
    <b v="0"/>
    <n v="31"/>
    <b v="1"/>
    <s v="theater/plays"/>
    <n v="1.5942857142857143"/>
    <n v="18"/>
    <x v="1"/>
    <x v="6"/>
    <d v="2016-09-15T15:36:18"/>
    <d v="2016-10-16T15:36:18"/>
    <n v="736.56000000000006"/>
  </r>
  <r>
    <n v="3310"/>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d v="2015-10-06T22:17:05"/>
    <n v="65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2746"/>
  </r>
  <r>
    <n v="3312"/>
    <s v="Richard III"/>
    <s v="Bare Theatre presents one of Shakespeare's most notorious characters in the final chapter of the War of the Roses saga."/>
    <n v="2500"/>
    <n v="2501"/>
    <x v="0"/>
    <x v="0"/>
    <s v="USD"/>
    <n v="1478901600"/>
    <n v="1477077946"/>
    <b v="0"/>
    <n v="41"/>
    <b v="1"/>
    <s v="theater/plays"/>
    <n v="1.0004"/>
    <n v="61"/>
    <x v="1"/>
    <x v="6"/>
    <d v="2016-10-21T19:25:46"/>
    <d v="2016-11-11T22:00:00"/>
    <n v="250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232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d v="2015-05-08T20:05:00"/>
    <n v="2225.5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5808"/>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d v="2014-08-08T13:54:00"/>
    <n v="11747.18"/>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1115"/>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1909.120000000000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712.8000000000000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252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d v="2014-10-16T03:59:00"/>
    <n v="53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d v="2016-06-22T03:55:00"/>
    <n v="335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1661.88"/>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799.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594"/>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d v="2015-03-08T16:08:25"/>
    <n v="811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1069.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d v="2014-07-05T01:00:00"/>
    <n v="2635"/>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d v="2014-07-27T23:00:00"/>
    <n v="1541.7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d v="2015-04-01T20:17:48"/>
    <n v="2104.0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d v="2015-10-06T16:44:46"/>
    <n v="5226"/>
  </r>
  <r>
    <n v="3332"/>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d v="2014-07-19T20:38:50"/>
    <n v="600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366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536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6621.12"/>
  </r>
  <r>
    <n v="3336"/>
    <s v="WILDE TALES"/>
    <s v="A theatrical adaptation of Oscar Wilde's short stories, presented by Suitcase Civilians at The Space, April 5-10 2016."/>
    <n v="250"/>
    <n v="250"/>
    <x v="0"/>
    <x v="1"/>
    <s v="GBP"/>
    <n v="1459845246"/>
    <n v="1457429646"/>
    <b v="0"/>
    <n v="9"/>
    <b v="1"/>
    <s v="theater/plays"/>
    <n v="1"/>
    <n v="27.777777777777779"/>
    <x v="1"/>
    <x v="6"/>
    <d v="2016-03-08T09:34:06"/>
    <d v="2016-04-05T08:34:06"/>
    <n v="33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d v="2014-10-10T21:00:00"/>
    <n v="3636.6000000000004"/>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1532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834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414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d v="2016-06-12T17:00:00"/>
    <n v="442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61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1584"/>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d v="2014-08-30T04:48:13"/>
    <n v="456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d v="2015-04-18T00:37:00"/>
    <n v="65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165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3153.48"/>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551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1534"/>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4312.899999999999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d v="2014-07-23T11:00:00"/>
    <n v="6672.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d v="2016-07-01T23:00:00"/>
    <n v="7096.320000000000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2079"/>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05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2917.20000000000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2007.7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2666.4"/>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d v="2014-11-19T08:27:59"/>
    <n v="10299"/>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25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6660.5199999999995"/>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567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d v="2015-03-07T04:55:00"/>
    <n v="109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d v="2014-08-19T16:00:00"/>
    <n v="786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4194.9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260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1105"/>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d v="2015-08-01T22:24:54"/>
    <n v="1174.8"/>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d v="2015-01-01T05:00:00"/>
    <n v="104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130.0999999999995"/>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1766"/>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7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1035"/>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d v="2015-07-18T16:00:00"/>
    <n v="2646.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2834.8"/>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d v="2014-05-18T14:39:33"/>
    <n v="396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800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10670.88000000000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781.44"/>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d v="2015-08-26T23:00:00"/>
    <n v="2736.3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d v="2014-11-29T23:52:58"/>
    <n v="313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409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4654.32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1955"/>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6000.6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d v="2014-12-10T20:49:12"/>
    <n v="200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210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3506"/>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2055.2400000000002"/>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1145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3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1115"/>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d v="2016-05-06T20:17:35"/>
    <n v="66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158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d v="2014-07-27T14:17:25"/>
    <n v="1033.56"/>
  </r>
  <r>
    <n v="3395"/>
    <s v="MIRAMAR"/>
    <s v="Miramar is a a darkly funny play exploring what it is we call â€˜homeâ€™."/>
    <n v="500"/>
    <n v="920"/>
    <x v="0"/>
    <x v="1"/>
    <s v="GBP"/>
    <n v="1433009400"/>
    <n v="1431795944"/>
    <b v="0"/>
    <n v="38"/>
    <b v="1"/>
    <s v="theater/plays"/>
    <n v="1.84"/>
    <n v="24.210526315789473"/>
    <x v="1"/>
    <x v="6"/>
    <d v="2015-05-16T17:05:44"/>
    <d v="2015-05-30T18:10:00"/>
    <n v="1214.400000000000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d v="2014-06-01T03:59:00"/>
    <n v="156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369.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444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1643.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1004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899.28"/>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d v="2015-11-12T02:31:00"/>
    <n v="1646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d v="2015-06-25T11:05:24"/>
    <n v="264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61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d v="2016-03-01T23:59:00"/>
    <n v="635.58000000000004"/>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d v="2014-07-16T11:49:36"/>
    <n v="1003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2827.44"/>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1055"/>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815.7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325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d v="2015-10-08T00:32:52"/>
    <n v="15535"/>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d v="2014-09-27T23:01:02"/>
    <n v="396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d v="2015-02-28T04:59:00"/>
    <n v="65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105"/>
  </r>
  <r>
    <n v="3415"/>
    <s v="Balm in Gilead at Columbia"/>
    <s v="We are raising funds to allow for enhanced scenic, costume, and lighting design. Every dollar helps!"/>
    <n v="200"/>
    <n v="200"/>
    <x v="0"/>
    <x v="0"/>
    <s v="USD"/>
    <n v="1460935800"/>
    <n v="1459999656"/>
    <b v="0"/>
    <n v="9"/>
    <b v="1"/>
    <s v="theater/plays"/>
    <n v="1"/>
    <n v="22.222222222222221"/>
    <x v="1"/>
    <x v="6"/>
    <d v="2016-04-07T03:27:36"/>
    <d v="2016-04-17T23:30:00"/>
    <n v="2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6314.88"/>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1700.0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403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d v="2016-04-06T21:30:00"/>
    <n v="3457.399999999999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1275.12000000000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d v="2015-03-04T18:59:23"/>
    <n v="101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4320.3600000000006"/>
  </r>
  <r>
    <n v="3423"/>
    <s v="And That's How The Story Goes"/>
    <s v="Forest Hills Eastern's Student Run Show 2015. Our goal is to present a professional quality show on a budget."/>
    <n v="250"/>
    <n v="350"/>
    <x v="0"/>
    <x v="0"/>
    <s v="USD"/>
    <n v="1429912341"/>
    <n v="1427320341"/>
    <b v="0"/>
    <n v="10"/>
    <b v="1"/>
    <s v="theater/plays"/>
    <n v="1.4"/>
    <n v="35"/>
    <x v="1"/>
    <x v="6"/>
    <d v="2015-03-25T21:52:21"/>
    <d v="2015-04-24T21:52:21"/>
    <n v="35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6215"/>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d v="2014-10-04T14:48:56"/>
    <n v="30891.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4055"/>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d v="2014-07-02T15:29:12"/>
    <n v="198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71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d v="2016-11-02T00:31:01"/>
    <n v="257.40000000000003"/>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2865.7067999999999"/>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d v="2014-08-18T17:32:33"/>
    <n v="200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193"/>
  </r>
  <r>
    <n v="3433"/>
    <s v="The Dybbuk"/>
    <s v="death&amp;pretzels presents their first Chicago based project:_x000a_The Dybbuk by S. Ansky"/>
    <n v="9500"/>
    <n v="9525"/>
    <x v="0"/>
    <x v="0"/>
    <s v="USD"/>
    <n v="1402974000"/>
    <n v="1400290255"/>
    <b v="0"/>
    <n v="71"/>
    <b v="1"/>
    <s v="theater/plays"/>
    <n v="1.0026315789473683"/>
    <n v="134.1549295774648"/>
    <x v="1"/>
    <x v="6"/>
    <d v="2014-05-17T01:30:55"/>
    <d v="2014-06-17T03:00:00"/>
    <n v="9525"/>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1055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12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5295"/>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3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3438.6000000000004"/>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616.1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5260.92"/>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d v="2015-11-13T20:17:00"/>
    <n v="2565"/>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d v="2015-05-30T20:11:12"/>
    <n v="25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1855"/>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632.9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d v="2015-10-23T12:43:56"/>
    <n v="264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d v="2015-02-05T12:20:00"/>
    <n v="1428.24"/>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1078"/>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2305"/>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1365"/>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1003.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658"/>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d v="2014-07-23T03:59:00"/>
    <n v="1532"/>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508.2000000000000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930.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d v="2016-10-13T18:00:27"/>
    <n v="10065"/>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5739"/>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280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121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832.92000000000007"/>
  </r>
  <r>
    <n v="3460"/>
    <s v="Pushers"/>
    <s v="'Pushers' is an exciting new play and the first project for brand new theatre company, Ain't Got No Home Productions."/>
    <n v="500"/>
    <n v="950"/>
    <x v="0"/>
    <x v="1"/>
    <s v="GBP"/>
    <n v="1408106352"/>
    <n v="1406896752"/>
    <b v="0"/>
    <n v="19"/>
    <b v="1"/>
    <s v="theater/plays"/>
    <n v="1.9"/>
    <n v="50"/>
    <x v="1"/>
    <x v="6"/>
    <d v="2014-08-01T12:39:12"/>
    <d v="2014-08-15T12:39:12"/>
    <n v="125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695"/>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505"/>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7856.88"/>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5116.1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719.2000000000003"/>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4450"/>
  </r>
  <r>
    <n v="3467"/>
    <s v="Venus in Fur, Los Angeles."/>
    <s v="Venus in Fur, By David Ives."/>
    <n v="3000"/>
    <n v="3030"/>
    <x v="0"/>
    <x v="0"/>
    <s v="USD"/>
    <n v="1426864032"/>
    <n v="1424275632"/>
    <b v="0"/>
    <n v="47"/>
    <b v="1"/>
    <s v="theater/plays"/>
    <n v="1.01"/>
    <n v="64.468085106382972"/>
    <x v="1"/>
    <x v="6"/>
    <d v="2015-02-18T16:07:12"/>
    <d v="2015-03-20T15:07:12"/>
    <n v="303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1217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175"/>
  </r>
  <r>
    <n v="3470"/>
    <s v="She Kills Monsters"/>
    <s v="The New Artist's Circle is a theatre company dedicated to bringing the arts to young people."/>
    <n v="250"/>
    <n v="375"/>
    <x v="0"/>
    <x v="0"/>
    <s v="USD"/>
    <n v="1468618680"/>
    <n v="1465345902"/>
    <b v="0"/>
    <n v="9"/>
    <b v="1"/>
    <s v="theater/plays"/>
    <n v="1.5"/>
    <n v="41.666666666666664"/>
    <x v="1"/>
    <x v="6"/>
    <d v="2016-06-08T00:31:42"/>
    <d v="2016-07-15T21:38:00"/>
    <n v="375"/>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d v="2014-08-31T20:00:00"/>
    <n v="1416.360000000000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04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d v="2015-03-20T20:27:00"/>
    <n v="49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2666.4"/>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448.8"/>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312"/>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207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257"/>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2531.760000000000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d v="2015-07-10T21:00:00"/>
    <n v="214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d v="2015-01-02T05:56:28"/>
    <n v="8672.4"/>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d v="2014-07-06T18:31:06"/>
    <n v="5478"/>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5358"/>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285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166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d v="2015-06-03T06:59:00"/>
    <n v="465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372.600000000000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363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7438.200000000000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127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d v="2015-05-18T05:59:44"/>
    <n v="7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4000.2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d v="2014-08-17T05:11:00"/>
    <n v="15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d v="2016-11-26T06:00:00"/>
    <n v="4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4060.6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373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68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1284.400000000000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d v="2015-07-01T06:59:00"/>
    <n v="211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d v="2016-03-07T04:59:00"/>
    <n v="106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1993.2"/>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421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549.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d v="2015-11-19T18:58:11"/>
    <n v="100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d v="2014-05-13T04:00:00"/>
    <n v="259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3045"/>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10440"/>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d v="2016-05-10T21:00:00"/>
    <n v="237.6000000000000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d v="2014-11-21T04:55:00"/>
    <n v="319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d v="2014-07-02T14:54:06"/>
    <n v="905"/>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003.7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d v="2015-04-23T11:53:12"/>
    <n v="132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331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55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8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d v="2014-09-08T03:00:00"/>
    <n v="25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d v="2014-07-04T11:00:00"/>
    <n v="528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d v="2014-10-02T14:21:00"/>
    <n v="1650.69"/>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2675.6400000000003"/>
  </r>
  <r>
    <n v="3520"/>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d v="2015-09-06T13:47:00"/>
    <n v="2659.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59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d v="2015-09-15T10:06:00"/>
    <n v="1841.4"/>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d v="2016-09-25T23:00:00"/>
    <n v="6000.7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d v="2014-09-13T04:00:00"/>
    <n v="1015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53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336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701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d v="2017-01-18T12:01:58"/>
    <n v="2203.0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66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d v="2016-04-10T20:00:00"/>
    <n v="3630"/>
  </r>
  <r>
    <n v="3531"/>
    <s v="The Reinvention of Lily Johnson"/>
    <s v="A political comedy for a crazy election year"/>
    <n v="1000"/>
    <n v="1280"/>
    <x v="0"/>
    <x v="0"/>
    <s v="USD"/>
    <n v="1467301334"/>
    <n v="1464709334"/>
    <b v="0"/>
    <n v="26"/>
    <b v="1"/>
    <s v="theater/plays"/>
    <n v="1.28"/>
    <n v="49.230769230769234"/>
    <x v="1"/>
    <x v="6"/>
    <d v="2016-05-31T15:42:14"/>
    <d v="2016-06-30T15:42:14"/>
    <n v="128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14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631"/>
  </r>
  <r>
    <n v="3534"/>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d v="2015-10-01T15:00:23"/>
    <n v="781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d v="2015-10-02T18:00:00"/>
    <n v="2723.160000000000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3.6000000000000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d v="2014-11-17T07:59:00"/>
    <n v="925.6800000000000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d v="2016-08-17T10:05:40"/>
    <n v="3391.080000000000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d v="2016-09-08T18:08:42"/>
    <n v="718"/>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487.0800000000000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1663.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d v="2014-09-07T14:23:42"/>
    <n v="562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1852.6"/>
  </r>
  <r>
    <n v="3544"/>
    <s v="Gruoch, or Lady Macbeth"/>
    <s v="Death &amp; Pretzels presents the world premiere of Paul Pasulka's Gruoch, or Lady Macbeth"/>
    <n v="2500"/>
    <n v="2500"/>
    <x v="0"/>
    <x v="0"/>
    <s v="USD"/>
    <n v="1425758257"/>
    <n v="1423166257"/>
    <b v="0"/>
    <n v="24"/>
    <b v="1"/>
    <s v="theater/plays"/>
    <n v="1"/>
    <n v="104.16666666666667"/>
    <x v="1"/>
    <x v="6"/>
    <d v="2015-02-05T19:57:37"/>
    <d v="2015-03-07T19:57:37"/>
    <n v="250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25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112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d v="2016-05-14T03:59:00"/>
    <n v="40043.2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14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1346.4"/>
  </r>
  <r>
    <n v="3550"/>
    <s v="MOONFACE"/>
    <s v="MOONFACE explores the formative f***k-ups of adolescence. Fresh, incisive new writing. Monologue, movement and striking naturalism."/>
    <n v="2500"/>
    <n v="2620"/>
    <x v="0"/>
    <x v="1"/>
    <s v="GBP"/>
    <n v="1462224398"/>
    <n v="1459632398"/>
    <b v="0"/>
    <n v="64"/>
    <b v="1"/>
    <s v="theater/plays"/>
    <n v="1.048"/>
    <n v="40.9375"/>
    <x v="1"/>
    <x v="6"/>
    <d v="2016-04-02T21:26:38"/>
    <d v="2016-05-02T21:26:38"/>
    <n v="3458.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1527.5"/>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d v="2014-06-28T14:05:24"/>
    <n v="1020.3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d v="2015-08-12T00:00:00"/>
    <n v="58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d v="2015-02-11T17:00:00"/>
    <n v="5671.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d v="2016-11-17T11:36:34"/>
    <n v="283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d v="2014-08-17T15:35:24"/>
    <n v="2917.200000000000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10003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665.28000000000009"/>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755.55"/>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2637.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256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619.0800000000000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696.23400000000004"/>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1326.600000000000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d v="2014-12-31T17:50:08"/>
    <n v="117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2765.4"/>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1436.1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11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5024"/>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28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2416.92"/>
  </r>
  <r>
    <n v="3572"/>
    <s v="Monster"/>
    <s v="A darkly comic one woman show by Abram Rooney as part of The Camden Fringe 2015."/>
    <n v="500"/>
    <n v="500"/>
    <x v="0"/>
    <x v="1"/>
    <s v="GBP"/>
    <n v="1434894082"/>
    <n v="1432302082"/>
    <b v="0"/>
    <n v="9"/>
    <b v="1"/>
    <s v="theater/plays"/>
    <n v="1"/>
    <n v="55.555555555555557"/>
    <x v="1"/>
    <x v="6"/>
    <d v="2015-05-22T13:41:22"/>
    <d v="2015-06-21T13:41:22"/>
    <n v="66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4070.88"/>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6155"/>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10133"/>
  </r>
  <r>
    <n v="3576"/>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d v="2016-12-05T14:10:54"/>
    <n v="100"/>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d v="2015-04-26T06:28:00"/>
    <n v="78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d v="2016-04-30T17:36:17"/>
    <n v="1980.264000000000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d v="2016-03-31T17:17:36"/>
    <n v="660"/>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d v="2015-03-01T04:59:00"/>
    <n v="1025"/>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d v="2014-07-30T11:18:30"/>
    <n v="1980"/>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287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325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4573.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d v="2014-12-21T17:11:30"/>
    <n v="4050"/>
  </r>
  <r>
    <n v="3586"/>
    <s v="Actors &amp; Musicians who are Blind or Autistic"/>
    <s v="See Theatre In A New Light"/>
    <n v="7500"/>
    <n v="8207"/>
    <x v="0"/>
    <x v="0"/>
    <s v="USD"/>
    <n v="1474649070"/>
    <n v="1469465070"/>
    <b v="0"/>
    <n v="54"/>
    <b v="1"/>
    <s v="theater/plays"/>
    <n v="1.0942666666666667"/>
    <n v="151.9814814814815"/>
    <x v="1"/>
    <x v="6"/>
    <d v="2016-07-25T16:44:30"/>
    <d v="2016-09-23T16:44:30"/>
    <n v="820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835.5600000000000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65.32"/>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510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6603.9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1225"/>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2545"/>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319"/>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015"/>
  </r>
  <r>
    <n v="3595"/>
    <s v="The Flu Season"/>
    <s v="A new theatre company staging Will Eno's The Flu Season in Seattle"/>
    <n v="2600"/>
    <n v="3081"/>
    <x v="0"/>
    <x v="0"/>
    <s v="USD"/>
    <n v="1426229940"/>
    <n v="1423959123"/>
    <b v="0"/>
    <n v="62"/>
    <b v="1"/>
    <s v="theater/plays"/>
    <n v="1.1850000000000001"/>
    <n v="49.693548387096776"/>
    <x v="1"/>
    <x v="6"/>
    <d v="2015-02-15T00:12:03"/>
    <d v="2015-03-13T06:59:00"/>
    <n v="308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d v="2014-08-26T17:09:42"/>
    <n v="900.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d v="2016-03-03T05:59:00"/>
    <n v="2565"/>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10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1010"/>
  </r>
  <r>
    <n v="3600"/>
    <s v="Pariah"/>
    <s v="The First Play From The Man Who Brought You The Black James Bond!"/>
    <n v="10"/>
    <n v="13"/>
    <x v="0"/>
    <x v="0"/>
    <s v="USD"/>
    <n v="1476390164"/>
    <n v="1473970964"/>
    <b v="0"/>
    <n v="4"/>
    <b v="1"/>
    <s v="theater/plays"/>
    <n v="1.3"/>
    <n v="3.25"/>
    <x v="1"/>
    <x v="6"/>
    <d v="2016-09-15T20:22:44"/>
    <d v="2016-10-13T20:22:44"/>
    <n v="13"/>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2754.8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d v="2016-05-17T21:27:59"/>
    <n v="40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d v="2015-11-05T21:44:40"/>
    <n v="256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338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607.200000000000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d v="2016-08-14T14:30:57"/>
    <n v="5158.5600000000004"/>
  </r>
  <r>
    <n v="3607"/>
    <s v="E15 at The Pleasance and CPT"/>
    <s v="'E15' is a verbatim project that looks at the story of the Focus E15 Campaign"/>
    <n v="550"/>
    <n v="580"/>
    <x v="0"/>
    <x v="1"/>
    <s v="GBP"/>
    <n v="1450137600"/>
    <n v="1448924882"/>
    <b v="0"/>
    <n v="20"/>
    <b v="1"/>
    <s v="theater/plays"/>
    <n v="1.0545454545454545"/>
    <n v="29"/>
    <x v="1"/>
    <x v="6"/>
    <d v="2015-11-30T23:08:02"/>
    <d v="2015-12-15T00:00:00"/>
    <n v="765.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d v="2016-06-17T14:00:00"/>
    <n v="105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d v="2016-03-30T22:48:05"/>
    <n v="3966.600000000000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d v="2015-08-17T10:22:16"/>
    <n v="2142.3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4488"/>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5487.2"/>
  </r>
  <r>
    <n v="3613"/>
    <s v="HIS NAME IS ARTHUR HOLMBERG"/>
    <s v="a woman walks into a bar except she looks like a man and no one's serving drinks. one night only"/>
    <n v="1250"/>
    <n v="1250"/>
    <x v="0"/>
    <x v="0"/>
    <s v="USD"/>
    <n v="1403964574"/>
    <n v="1401372574"/>
    <b v="0"/>
    <n v="20"/>
    <b v="1"/>
    <s v="theater/plays"/>
    <n v="1"/>
    <n v="62.5"/>
    <x v="1"/>
    <x v="6"/>
    <d v="2014-05-29T14:09:34"/>
    <d v="2014-06-28T14:09:34"/>
    <n v="125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252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524.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4118.4000000000005"/>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d v="2017-02-28T00:00:00"/>
    <n v="1161.600000000000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2666.4"/>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113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11045"/>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d v="2016-09-30T21:00:00"/>
    <n v="3292"/>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1000.99"/>
  </r>
  <r>
    <n v="3623"/>
    <s v="Since I've Been Here"/>
    <s v="An original play exploring the complications of romantic relationships in all forms."/>
    <n v="2500"/>
    <n v="3000"/>
    <x v="0"/>
    <x v="0"/>
    <s v="USD"/>
    <n v="1406358000"/>
    <n v="1404841270"/>
    <b v="0"/>
    <n v="34"/>
    <b v="1"/>
    <s v="theater/plays"/>
    <n v="1.2"/>
    <n v="88.235294117647058"/>
    <x v="1"/>
    <x v="6"/>
    <d v="2014-07-08T17:41:10"/>
    <d v="2014-07-26T07:00:00"/>
    <n v="3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3148"/>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4065.600000000000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d v="2014-08-16T16:00:57"/>
    <n v="5376.360000000000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d v="2016-05-21T03:59:00"/>
    <n v="20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d v="2015-10-14T19:59:56"/>
    <d v="2015-12-13T20:59:56"/>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d v="2016-05-05T17:00:00"/>
    <n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d v="2014-11-29T21:19:50"/>
    <n v="1.32"/>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d v="2014-09-23T03:59:00"/>
    <n v="8725"/>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d v="2014-11-23T22:29:09"/>
    <n v="132"/>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d v="2016-11-19T01:00:00"/>
    <n v="176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d v="2017-01-14T03:59:00"/>
    <n v="2420.6"/>
  </r>
  <r>
    <n v="3635"/>
    <s v="Mary's Son"/>
    <s v="Mary's Son is a pop opera about Jesus and the hope he brings to all people."/>
    <n v="3500"/>
    <n v="1276"/>
    <x v="2"/>
    <x v="0"/>
    <s v="USD"/>
    <n v="1461186676"/>
    <n v="1458594676"/>
    <b v="0"/>
    <n v="10"/>
    <b v="0"/>
    <s v="theater/musical"/>
    <n v="0.36457142857142855"/>
    <n v="127.6"/>
    <x v="1"/>
    <x v="40"/>
    <d v="2016-03-21T21:11:16"/>
    <d v="2016-04-20T21:11:16"/>
    <n v="1276"/>
  </r>
  <r>
    <n v="3636"/>
    <s v="The Brother's of B-Block"/>
    <s v="The Brotherâ€™s of B-block is a musical play. A new take on &quot;OZ&quot; _x000a_The Wizard of OZ meets HBO's OZ."/>
    <n v="150000"/>
    <n v="0"/>
    <x v="2"/>
    <x v="0"/>
    <s v="USD"/>
    <n v="1442248829"/>
    <n v="1439224829"/>
    <b v="0"/>
    <n v="0"/>
    <b v="0"/>
    <s v="theater/musical"/>
    <n v="0"/>
    <n v="0"/>
    <x v="1"/>
    <x v="40"/>
    <d v="2015-08-10T16:40:29"/>
    <d v="2015-09-14T16:40:29"/>
    <n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d v="2015-01-01T16:48:55"/>
    <n v="926"/>
  </r>
  <r>
    <n v="3638"/>
    <s v="Project Hedwig and the Angry Inch"/>
    <s v="A rock and roll journey that explores love, loss, redemption, duality and ascension."/>
    <n v="3300"/>
    <n v="216"/>
    <x v="2"/>
    <x v="5"/>
    <s v="CAD"/>
    <n v="1429456132"/>
    <n v="1424275732"/>
    <b v="0"/>
    <n v="2"/>
    <b v="0"/>
    <s v="theater/musical"/>
    <n v="6.545454545454546E-2"/>
    <n v="108"/>
    <x v="1"/>
    <x v="40"/>
    <d v="2015-02-18T16:08:52"/>
    <d v="2015-04-19T15:08:52"/>
    <n v="164.16"/>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d v="2016-10-07T15:11:0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d v="2015-05-10T18:45:30"/>
    <n v="55"/>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d v="2014-09-17T15:02:59"/>
    <d v="2014-10-05T05:00:00"/>
    <n v="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d v="2015-11-30T17:00:00"/>
    <n v="17.7"/>
  </r>
  <r>
    <n v="3643"/>
    <s v="Puberty: The Musical"/>
    <s v="It feels like the first time. Like the very first time everyone's coming-of-age comes to the stage. Think 'Wicked', with bad acne."/>
    <n v="25000"/>
    <n v="0"/>
    <x v="2"/>
    <x v="0"/>
    <s v="USD"/>
    <n v="1447734439"/>
    <n v="1444274839"/>
    <b v="0"/>
    <n v="0"/>
    <b v="0"/>
    <s v="theater/musical"/>
    <n v="0"/>
    <n v="0"/>
    <x v="1"/>
    <x v="40"/>
    <d v="2015-10-08T03:27:19"/>
    <d v="2015-11-17T04:27:19"/>
    <n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d v="2016-03-08T04:59:00"/>
    <n v="821"/>
  </r>
  <r>
    <n v="3645"/>
    <s v="If the Shoe Fits"/>
    <s v="This new musical comedy empowers women and girls of all ages to be themselves in their shoes, whatever shoes they choose."/>
    <n v="1000"/>
    <n v="1"/>
    <x v="2"/>
    <x v="5"/>
    <s v="CAD"/>
    <n v="1479773838"/>
    <n v="1477178238"/>
    <b v="0"/>
    <n v="1"/>
    <b v="0"/>
    <s v="theater/musical"/>
    <n v="1E-3"/>
    <n v="1"/>
    <x v="1"/>
    <x v="40"/>
    <d v="2016-10-22T23:17:18"/>
    <d v="2016-11-22T00:17:18"/>
    <n v="0.76"/>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d v="2015-06-16T23:30:00"/>
    <n v="48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d v="2016-09-30T17:58:47"/>
    <n v="39.6"/>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4015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592.7999999999999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66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52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571.5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2653.200000000000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3453.120000000000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5813"/>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4867.7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354.40000000000003"/>
  </r>
  <r>
    <n v="3658"/>
    <s v="Mr. Marmalade"/>
    <s v="Life is hard when your own imaginary friend can't make time for you."/>
    <n v="1500"/>
    <n v="1510"/>
    <x v="0"/>
    <x v="0"/>
    <s v="USD"/>
    <n v="1404273540"/>
    <n v="1400272580"/>
    <b v="0"/>
    <n v="20"/>
    <b v="1"/>
    <s v="theater/plays"/>
    <n v="1.0066666666666666"/>
    <n v="75.5"/>
    <x v="1"/>
    <x v="6"/>
    <d v="2014-05-16T20:36:20"/>
    <d v="2014-07-02T03:59:00"/>
    <n v="151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306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33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333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6166.6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308.88"/>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87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842.52"/>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12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4085.5452000000005"/>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1035"/>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1824.2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318.1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353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4020.7200000000003"/>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5999.4000000000005"/>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5310"/>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92.4"/>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030"/>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12348.5"/>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270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220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338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119"/>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417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88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1043"/>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5285"/>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355"/>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5012.2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432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355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180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51184"/>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26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567.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6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400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409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851.2000000000003"/>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552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252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60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1986.60000000000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432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129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539.8931999999999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92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82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186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210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1428.9"/>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1835"/>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57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1153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3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102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4738.8"/>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124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5319.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1580.04"/>
  </r>
  <r>
    <n v="3719"/>
    <s v="Corium"/>
    <s v="A new piece of physical theatre about love, regret and longing."/>
    <n v="200"/>
    <n v="420"/>
    <x v="0"/>
    <x v="1"/>
    <s v="GBP"/>
    <n v="1434994266"/>
    <n v="1432402266"/>
    <b v="0"/>
    <n v="4"/>
    <b v="1"/>
    <s v="theater/plays"/>
    <n v="2.1"/>
    <n v="105"/>
    <x v="1"/>
    <x v="6"/>
    <d v="2015-05-23T17:31:06"/>
    <d v="2015-06-22T17:31:06"/>
    <n v="554.4"/>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3449"/>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504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1267.68"/>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6061.4400000000005"/>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5820.606000000000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502.9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87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2015"/>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d v="2015-08-19T04:06:16"/>
    <n v="1862"/>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d v="2015-03-23T03:55:12"/>
    <n v="36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d v="2015-08-17T16:15:59"/>
    <n v="10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d v="2015-01-10T03:23:00"/>
    <n v="62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d v="2015-01-24T12:00:00"/>
    <n v="154.57999999999998"/>
  </r>
  <r>
    <n v="3733"/>
    <s v="laughter in the hood"/>
    <s v="want to donate tickets to residents who live in the community that cant afford the 35.00 price of ticket"/>
    <n v="1500"/>
    <n v="0"/>
    <x v="2"/>
    <x v="0"/>
    <s v="USD"/>
    <n v="1429396200"/>
    <n v="1428539708"/>
    <b v="0"/>
    <n v="0"/>
    <b v="0"/>
    <s v="theater/plays"/>
    <n v="0"/>
    <n v="0"/>
    <x v="1"/>
    <x v="6"/>
    <d v="2015-04-09T00:35:08"/>
    <d v="2015-04-18T22:30:00"/>
    <n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d v="2015-05-25T21:38:16"/>
    <n v="427"/>
  </r>
  <r>
    <n v="3735"/>
    <s v="Women Beware Women"/>
    <s v="Young Actor's taking on a Jacobean tragedy. Family, betrayal, love, lust, sex and death."/>
    <n v="150"/>
    <n v="20"/>
    <x v="2"/>
    <x v="1"/>
    <s v="GBP"/>
    <n v="1432831089"/>
    <n v="1430239089"/>
    <b v="0"/>
    <n v="2"/>
    <b v="0"/>
    <s v="theater/plays"/>
    <n v="0.13333333333333333"/>
    <n v="10"/>
    <x v="1"/>
    <x v="6"/>
    <d v="2015-04-28T16:38:09"/>
    <d v="2015-05-28T16:38:09"/>
    <n v="26.400000000000002"/>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d v="2015-03-23T18:00:00"/>
    <n v="13.200000000000001"/>
  </r>
  <r>
    <n v="3737"/>
    <s v="Measure For Measure"/>
    <s v="The ASU Theatre and Shakespeare Club presents Measure For Measure directed by Jordyn Ochser."/>
    <n v="700"/>
    <n v="150"/>
    <x v="2"/>
    <x v="0"/>
    <s v="USD"/>
    <n v="1447311540"/>
    <n v="1445358903"/>
    <b v="0"/>
    <n v="4"/>
    <b v="0"/>
    <s v="theater/plays"/>
    <n v="0.21428571428571427"/>
    <n v="37.5"/>
    <x v="1"/>
    <x v="6"/>
    <d v="2015-10-20T16:35:03"/>
    <d v="2015-11-12T06:59:00"/>
    <n v="150"/>
  </r>
  <r>
    <n v="3738"/>
    <s v="'GULF' - a new play by PIVOT THEATRE"/>
    <s v="A filmic, fast-paced exploration of trust, making its debut at Camden People's Theatre this July."/>
    <n v="1500"/>
    <n v="270"/>
    <x v="2"/>
    <x v="1"/>
    <s v="GBP"/>
    <n v="1405461600"/>
    <n v="1403562705"/>
    <b v="0"/>
    <n v="6"/>
    <b v="0"/>
    <s v="theater/plays"/>
    <n v="0.18"/>
    <n v="45"/>
    <x v="1"/>
    <x v="6"/>
    <d v="2014-06-23T22:31:45"/>
    <d v="2014-07-15T22:00:00"/>
    <n v="356.4000000000000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d v="2016-07-17T10:47:48"/>
    <n v="1062.600000000000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d v="2014-08-12T01:53:58"/>
    <n v="358"/>
  </r>
  <r>
    <n v="3741"/>
    <s v="Open House Theater"/>
    <s v="A small community with a love for theater would like to continue. Help the children of this community continue."/>
    <n v="20000"/>
    <n v="0"/>
    <x v="2"/>
    <x v="0"/>
    <s v="USD"/>
    <n v="1450389950"/>
    <n v="1447797950"/>
    <b v="0"/>
    <n v="0"/>
    <b v="0"/>
    <s v="theater/plays"/>
    <n v="0"/>
    <n v="0"/>
    <x v="1"/>
    <x v="6"/>
    <d v="2015-11-17T22:05:50"/>
    <d v="2015-12-17T22:05:50"/>
    <n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d v="2014-09-06T05:09:04"/>
    <n v="100"/>
  </r>
  <r>
    <n v="3743"/>
    <s v="Down the Mississippi"/>
    <s v="I'm taking the Adventures of Huckleberry Finn puppet show down the Mississippi River!"/>
    <n v="2200"/>
    <n v="0"/>
    <x v="2"/>
    <x v="0"/>
    <s v="USD"/>
    <n v="1404406964"/>
    <n v="1401814964"/>
    <b v="0"/>
    <n v="0"/>
    <b v="0"/>
    <s v="theater/plays"/>
    <n v="0"/>
    <n v="0"/>
    <x v="1"/>
    <x v="6"/>
    <d v="2014-06-03T17:02:44"/>
    <d v="2014-07-03T17:02:44"/>
    <n v="0"/>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d v="2014-06-03T19:32:32"/>
    <d v="2014-07-05T03:59:00"/>
    <n v="0"/>
  </r>
  <r>
    <n v="3745"/>
    <s v="Tyke Theatre Web Show"/>
    <s v="Tyke wants to expand her puppet theater show to weekly online web shows and is looking for backers."/>
    <n v="100"/>
    <n v="10"/>
    <x v="2"/>
    <x v="0"/>
    <s v="USD"/>
    <n v="1407689102"/>
    <n v="1405097102"/>
    <b v="0"/>
    <n v="1"/>
    <b v="0"/>
    <s v="theater/plays"/>
    <n v="0.1"/>
    <n v="10"/>
    <x v="1"/>
    <x v="6"/>
    <d v="2014-07-11T16:45:02"/>
    <d v="2014-08-10T16:45:02"/>
    <n v="10"/>
  </r>
  <r>
    <n v="3746"/>
    <s v="Stage Play Production - &quot;I Love You to Death&quot;"/>
    <s v="Generational curses CAN be broken...right?"/>
    <n v="8500"/>
    <n v="202"/>
    <x v="2"/>
    <x v="0"/>
    <s v="USD"/>
    <n v="1475918439"/>
    <n v="1473326439"/>
    <b v="0"/>
    <n v="1"/>
    <b v="0"/>
    <s v="theater/plays"/>
    <n v="2.3764705882352941E-2"/>
    <n v="202"/>
    <x v="1"/>
    <x v="6"/>
    <d v="2016-09-08T09:20:39"/>
    <d v="2016-10-08T09:20:39"/>
    <n v="202"/>
  </r>
  <r>
    <n v="3747"/>
    <s v="Counting Stars"/>
    <s v="The world premiere of an astonishing new play by acclaimed writer Atiha Sen Gupta."/>
    <n v="2500"/>
    <n v="25"/>
    <x v="2"/>
    <x v="1"/>
    <s v="GBP"/>
    <n v="1436137140"/>
    <n v="1433833896"/>
    <b v="0"/>
    <n v="1"/>
    <b v="0"/>
    <s v="theater/plays"/>
    <n v="0.01"/>
    <n v="25"/>
    <x v="1"/>
    <x v="6"/>
    <d v="2015-06-09T07:11:36"/>
    <d v="2015-07-05T22:59:00"/>
    <n v="3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5176"/>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52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6027"/>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13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745.80000000000007"/>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5167"/>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0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941.160000000000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455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3798"/>
  </r>
  <r>
    <n v="3758"/>
    <s v="Luigi's Ladies"/>
    <s v="LUIGI'S LADIES: an original one-woman musical comedy"/>
    <n v="1500"/>
    <n v="1535"/>
    <x v="0"/>
    <x v="0"/>
    <s v="USD"/>
    <n v="1400475600"/>
    <n v="1397819938"/>
    <b v="0"/>
    <n v="26"/>
    <b v="1"/>
    <s v="theater/musical"/>
    <n v="1.0233333333333334"/>
    <n v="59.03846153846154"/>
    <x v="1"/>
    <x v="40"/>
    <d v="2014-04-18T11:18:58"/>
    <d v="2014-05-19T05:00:00"/>
    <n v="1535"/>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4409.7700000000004"/>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5050.770000000000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66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1752.96"/>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500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15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794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10265.0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2335"/>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4306.1099999999997"/>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110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264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46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5510"/>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541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9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00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85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864"/>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2521"/>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1559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0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493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686.2000000000003"/>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1547"/>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87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979.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665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d v="2015-12-23T16:18:00"/>
    <n v="5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d v="2015-06-15T19:10:18"/>
    <n v="153.1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d v="2016-10-23T16:00:23"/>
    <d v="2016-11-22T17:00:23"/>
    <n v="0"/>
  </r>
  <r>
    <n v="3791"/>
    <s v="Spin! at The Cumming Playhouse"/>
    <s v="Spin! is an original musical comedy-drama presented by Blue Palm Productions."/>
    <n v="1500"/>
    <n v="0"/>
    <x v="2"/>
    <x v="0"/>
    <s v="USD"/>
    <n v="1404664592"/>
    <n v="1399480592"/>
    <b v="0"/>
    <n v="0"/>
    <b v="0"/>
    <s v="theater/musical"/>
    <n v="0"/>
    <n v="0"/>
    <x v="1"/>
    <x v="40"/>
    <d v="2014-05-07T16:36:32"/>
    <d v="2014-07-06T16:36:32"/>
    <n v="0"/>
  </r>
  <r>
    <n v="3792"/>
    <s v="BorikÃ©n: The Show"/>
    <s v="A cultural and historic journey through Puerto Rico's music and dance!"/>
    <n v="12500"/>
    <n v="35"/>
    <x v="2"/>
    <x v="0"/>
    <s v="USD"/>
    <n v="1436957022"/>
    <n v="1434365022"/>
    <b v="0"/>
    <n v="2"/>
    <b v="0"/>
    <s v="theater/musical"/>
    <n v="2.8E-3"/>
    <n v="17.5"/>
    <x v="1"/>
    <x v="40"/>
    <d v="2015-06-15T10:43:42"/>
    <d v="2015-07-15T10:43:42"/>
    <n v="3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d v="2014-12-16T22:32:09"/>
    <n v="41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d v="2015-06-07T13:55:54"/>
    <n v="66"/>
  </r>
  <r>
    <n v="3795"/>
    <s v="Duodeca"/>
    <s v="Poppin Productions are currently entering the development stage of their very first production -  &quot;Duodeca&quot;."/>
    <n v="600"/>
    <n v="10"/>
    <x v="2"/>
    <x v="1"/>
    <s v="GBP"/>
    <n v="1440801000"/>
    <n v="1437042490"/>
    <b v="0"/>
    <n v="2"/>
    <b v="0"/>
    <s v="theater/musical"/>
    <n v="1.6666666666666666E-2"/>
    <n v="5"/>
    <x v="1"/>
    <x v="40"/>
    <d v="2015-07-16T10:28:10"/>
    <d v="2015-08-28T22:30:00"/>
    <n v="13.20000000000000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d v="2017-01-14T00:42:36"/>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d v="2015-04-20T21:09:25"/>
    <n v="53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d v="2014-08-10T17:20:48"/>
    <n v="1025"/>
  </r>
  <r>
    <n v="3799"/>
    <s v="A Story Once Told"/>
    <s v="An original musical on it's way to the stage in Minneapolis, MN. Feel free to ask any questions."/>
    <n v="10000"/>
    <n v="402"/>
    <x v="2"/>
    <x v="0"/>
    <s v="USD"/>
    <n v="1457734843"/>
    <n v="1455142843"/>
    <b v="0"/>
    <n v="4"/>
    <b v="0"/>
    <s v="theater/musical"/>
    <n v="4.02E-2"/>
    <n v="100.5"/>
    <x v="1"/>
    <x v="40"/>
    <d v="2016-02-10T22:20:43"/>
    <d v="2016-03-11T22:20:43"/>
    <n v="40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d v="2015-01-11T04:59:00"/>
    <n v="88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d v="2015-01-02T16:13:36"/>
    <n v="42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d v="2015-09-22T03:01:46"/>
    <d v="2015-10-22T03:01:46"/>
    <n v="0"/>
  </r>
  <r>
    <n v="3803"/>
    <s v="Benjamin Button the Musical Concept Album"/>
    <s v="A fully orchestrated concept album of Benjamin Button the Musical!"/>
    <n v="12000"/>
    <n v="2358"/>
    <x v="2"/>
    <x v="0"/>
    <s v="USD"/>
    <n v="1457133568"/>
    <n v="1454541568"/>
    <b v="0"/>
    <n v="40"/>
    <b v="0"/>
    <s v="theater/musical"/>
    <n v="0.19650000000000001"/>
    <n v="58.95"/>
    <x v="1"/>
    <x v="40"/>
    <d v="2016-02-03T23:19:28"/>
    <d v="2016-03-04T23:19:28"/>
    <n v="235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d v="2016-06-06T00:13:44"/>
    <d v="2016-07-31T07:00:00"/>
    <n v="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d v="2014-09-27T21:17:20"/>
    <n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d v="2014-06-29T06:13:01"/>
    <n v="3.6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d v="2015-04-03T21:48:59"/>
    <n v="4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132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267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182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1089"/>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1665.1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2119.9899999999998"/>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2102"/>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1320.013200000000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1788.5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2145"/>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57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064"/>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567.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659"/>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6491.1799999999994"/>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265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356.4000000000000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527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943.8000000000000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6045.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500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50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22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530.1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12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064"/>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4317.72"/>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422.40000000000003"/>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90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2695.4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11090.6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2025"/>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85.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87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1448.04"/>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106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406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842"/>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189"/>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169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21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2493.3399999999997"/>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8"/>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1124.640000000000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0"/>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26"/>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178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6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3.20000000000000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1060"/>
  </r>
  <r>
    <n v="3861"/>
    <s v="READY OR NOT HERE I COME"/>
    <s v="THE COMING OF THE LORD!"/>
    <n v="2000"/>
    <n v="100"/>
    <x v="2"/>
    <x v="0"/>
    <s v="USD"/>
    <n v="1415828820"/>
    <n v="1412258977"/>
    <b v="0"/>
    <n v="1"/>
    <b v="0"/>
    <s v="theater/plays"/>
    <n v="0.05"/>
    <n v="100"/>
    <x v="1"/>
    <x v="6"/>
    <d v="2014-10-02T14:09:37"/>
    <d v="2014-11-12T21:47:00"/>
    <n v="10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6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94"/>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1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251"/>
  </r>
  <r>
    <n v="3868"/>
    <s v="1000 words (Canceled)"/>
    <s v="New collection of music by Scott Evan Davis!"/>
    <n v="5000"/>
    <n v="10"/>
    <x v="1"/>
    <x v="1"/>
    <s v="GBP"/>
    <n v="1410191405"/>
    <n v="1408031405"/>
    <b v="0"/>
    <n v="1"/>
    <b v="0"/>
    <s v="theater/musical"/>
    <n v="2E-3"/>
    <n v="10"/>
    <x v="1"/>
    <x v="40"/>
    <d v="2014-08-14T15:50:05"/>
    <d v="2014-09-08T15:50:05"/>
    <n v="13.20000000000000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45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150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2717.8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12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1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1293.6000000000001"/>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0"/>
  </r>
  <r>
    <n v="3886"/>
    <s v="a (Canceled)"/>
    <n v="1"/>
    <n v="10000"/>
    <n v="0"/>
    <x v="1"/>
    <x v="2"/>
    <s v="AUD"/>
    <n v="1418275702"/>
    <n v="1415683702"/>
    <b v="0"/>
    <n v="0"/>
    <b v="0"/>
    <s v="theater/musical"/>
    <n v="0"/>
    <n v="0"/>
    <x v="1"/>
    <x v="40"/>
    <d v="2014-11-11T05:28:22"/>
    <d v="2014-12-11T05:28:22"/>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35"/>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715.44"/>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118"/>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2524"/>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26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10775"/>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52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5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7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294.8"/>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1074.4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125"/>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13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1933.80000000000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3"/>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228.3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1333.2"/>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15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65"/>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135"/>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185"/>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2993"/>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100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1199.880000000000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6.6000000000000005"/>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13.20000000000000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58.4"/>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118.8000000000000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178.2000000000000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6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1826.8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229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15"/>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10.9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65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453"/>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0"/>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110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55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1735.800000000000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485"/>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97"/>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3.65"/>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50"/>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1782"/>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5"/>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195"/>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101"/>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1151.2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1.18"/>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25"/>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425"/>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64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292"/>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45"/>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7.72000000000000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59.40000000000000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12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28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41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52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21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1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136"/>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2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905"/>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422.40000000000003"/>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62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1305"/>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214"/>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145.2000000000000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45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122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224.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87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125.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64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644.16000000000008"/>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99.32000000000002"/>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32"/>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91.08"/>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10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54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92.4"/>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497"/>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715"/>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1156"/>
  </r>
  <r>
    <n v="4000"/>
    <s v="The Escorts"/>
    <s v="An Enticing Trip into the World of Assisted Dying"/>
    <n v="8000"/>
    <n v="10"/>
    <x v="2"/>
    <x v="0"/>
    <s v="USD"/>
    <n v="1462631358"/>
    <n v="1457450958"/>
    <b v="0"/>
    <n v="1"/>
    <b v="0"/>
    <s v="theater/plays"/>
    <n v="1.25E-3"/>
    <n v="10"/>
    <x v="1"/>
    <x v="6"/>
    <d v="2016-03-08T15:29:18"/>
    <d v="2016-05-07T14:29:18"/>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597.9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2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201"/>
  </r>
  <r>
    <n v="4004"/>
    <s v="South Florida Tours"/>
    <s v="Help Launch The Queen Into South Florida!"/>
    <n v="500"/>
    <n v="1"/>
    <x v="2"/>
    <x v="0"/>
    <s v="USD"/>
    <n v="1412740457"/>
    <n v="1410148457"/>
    <b v="0"/>
    <n v="1"/>
    <b v="0"/>
    <s v="theater/plays"/>
    <n v="2E-3"/>
    <n v="1"/>
    <x v="1"/>
    <x v="6"/>
    <d v="2014-09-08T03:54:17"/>
    <d v="2014-10-08T03:54:17"/>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4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79.2"/>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99"/>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42"/>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25.080000000000002"/>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26"/>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92.4"/>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105"/>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171.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2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10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125"/>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12521"/>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295"/>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5"/>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561"/>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4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413"/>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8107.426800000000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20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68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282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8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301"/>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250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27.72000000000000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0"/>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225"/>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0.7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46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11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961.3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1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1"/>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112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145.20000000000002"/>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1162.92"/>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795"/>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1023"/>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95"/>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19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216.6"/>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49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178.20000000000002"/>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281.05"/>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2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3045"/>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4.950000000000003"/>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567.6"/>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165"/>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5.28"/>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3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970.2"/>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760.32"/>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1335"/>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5"/>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5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759"/>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11.799999999999999"/>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1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47"/>
  </r>
  <r>
    <n v="4087"/>
    <s v="Stage Production &quot;The Nail Shop&quot;"/>
    <s v="Comedy Stage Play"/>
    <n v="9600"/>
    <n v="0"/>
    <x v="2"/>
    <x v="0"/>
    <s v="USD"/>
    <n v="1468777786"/>
    <n v="1466185786"/>
    <b v="0"/>
    <n v="0"/>
    <b v="0"/>
    <s v="theater/plays"/>
    <n v="0"/>
    <n v="0"/>
    <x v="1"/>
    <x v="6"/>
    <d v="2016-06-17T17:49:46"/>
    <d v="2016-07-17T17:49:46"/>
    <n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285.1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24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32"/>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204"/>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79.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73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6.79999999999999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528"/>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5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137"/>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1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467.93"/>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105.8"/>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353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4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59"/>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113.5200000000000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94"/>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1.18"/>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3"/>
  </r>
  <r>
    <m/>
    <m/>
    <m/>
    <m/>
    <m/>
    <x v="4"/>
    <x v="21"/>
    <m/>
    <m/>
    <m/>
    <m/>
    <m/>
    <m/>
    <m/>
    <m/>
    <m/>
    <x v="9"/>
    <x v="4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BDA5B-2B16-4F37-B00C-EEBF0BF8991F}"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dataField="1" compact="0" numFmtId="44" outline="0" showAll="0"/>
  </pivotFields>
  <rowFields count="1">
    <field x="6"/>
  </rowFields>
  <rowItems count="22">
    <i>
      <x v="20"/>
    </i>
    <i>
      <x v="9"/>
    </i>
    <i>
      <x v="5"/>
    </i>
    <i>
      <x v="7"/>
    </i>
    <i>
      <x v="3"/>
    </i>
    <i>
      <x v="1"/>
    </i>
    <i>
      <x/>
    </i>
    <i>
      <x v="12"/>
    </i>
    <i>
      <x v="15"/>
    </i>
    <i>
      <x v="11"/>
    </i>
    <i>
      <x v="8"/>
    </i>
    <i>
      <x v="16"/>
    </i>
    <i>
      <x v="18"/>
    </i>
    <i>
      <x v="6"/>
    </i>
    <i>
      <x v="17"/>
    </i>
    <i>
      <x v="10"/>
    </i>
    <i>
      <x v="13"/>
    </i>
    <i>
      <x v="19"/>
    </i>
    <i>
      <x v="4"/>
    </i>
    <i>
      <x v="2"/>
    </i>
    <i>
      <x v="14"/>
    </i>
    <i t="grand">
      <x/>
    </i>
  </rowItems>
  <colFields count="1">
    <field x="5"/>
  </colFields>
  <colItems count="4">
    <i>
      <x/>
    </i>
    <i>
      <x v="1"/>
    </i>
    <i>
      <x v="2"/>
    </i>
    <i t="grand">
      <x/>
    </i>
  </colItems>
  <pageFields count="2">
    <pageField fld="16" hier="-1"/>
    <pageField fld="17" hier="-1"/>
  </pageFields>
  <dataFields count="1">
    <dataField name="Sum of USD" fld="20" baseField="6" baseItem="0" numFmtId="42"/>
  </dataFields>
  <formats count="2">
    <format dxfId="46">
      <pivotArea outline="0" collapsedLevelsAreSubtotals="1" fieldPosition="0"/>
    </format>
    <format dxfId="45">
      <pivotArea outline="0" fieldPosition="0">
        <references count="1">
          <reference field="4294967294" count="1">
            <x v="0"/>
          </reference>
        </references>
      </pivotArea>
    </format>
  </formats>
  <chartFormats count="12">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8FDC2-E258-49EE-A971-DC400680A754}"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fieldListSortAscending="1">
  <location ref="A4:E27" firstHeaderRow="1" firstDataRow="2" firstDataCol="1" rowPageCount="2" colPageCount="1"/>
  <pivotFields count="21">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h="1" x="3"/>
        <item t="default"/>
      </items>
    </pivotField>
    <pivotField axis="axisRow" compact="0" outline="0"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2">
            <reference field="4294967294" count="1" selected="0">
              <x v="0"/>
            </reference>
            <reference field="5"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64" outline="0" showAll="0"/>
    <pivotField compact="0" numFmtId="2" outline="0" showAll="0"/>
    <pivotField axis="axisPage" compact="0" outline="0" showAll="0">
      <items count="10">
        <item x="0"/>
        <item x="7"/>
        <item x="6"/>
        <item x="5"/>
        <item x="4"/>
        <item x="8"/>
        <item x="3"/>
        <item x="2"/>
        <item x="1"/>
        <item t="default"/>
      </items>
    </pivotField>
    <pivotField axis="axisPage"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numFmtId="14" outline="0" showAll="0"/>
    <pivotField compact="0" numFmtId="14" outline="0" showAll="0"/>
    <pivotField compact="0" numFmtId="44" outline="0" showAll="0"/>
  </pivotFields>
  <rowFields count="1">
    <field x="6"/>
  </rowFields>
  <rowItems count="22">
    <i>
      <x v="5"/>
    </i>
    <i>
      <x/>
    </i>
    <i>
      <x v="16"/>
    </i>
    <i>
      <x v="15"/>
    </i>
    <i>
      <x v="1"/>
    </i>
    <i>
      <x v="12"/>
    </i>
    <i>
      <x v="11"/>
    </i>
    <i>
      <x v="20"/>
    </i>
    <i>
      <x v="7"/>
    </i>
    <i>
      <x v="9"/>
    </i>
    <i>
      <x v="17"/>
    </i>
    <i>
      <x v="6"/>
    </i>
    <i>
      <x v="13"/>
    </i>
    <i>
      <x v="3"/>
    </i>
    <i>
      <x v="18"/>
    </i>
    <i>
      <x v="19"/>
    </i>
    <i>
      <x v="2"/>
    </i>
    <i>
      <x v="8"/>
    </i>
    <i>
      <x v="4"/>
    </i>
    <i>
      <x v="14"/>
    </i>
    <i>
      <x v="10"/>
    </i>
    <i t="grand">
      <x/>
    </i>
  </rowItems>
  <colFields count="1">
    <field x="5"/>
  </colFields>
  <colItems count="4">
    <i>
      <x/>
    </i>
    <i>
      <x v="1"/>
    </i>
    <i>
      <x v="2"/>
    </i>
    <i t="grand">
      <x/>
    </i>
  </colItems>
  <pageFields count="2">
    <pageField fld="16" hier="-1"/>
    <pageField fld="17" hier="-1"/>
  </pageFields>
  <dataFields count="1">
    <dataField name="Average of backers_count" fld="11" subtotal="average" baseField="6" baseItem="0" numFmtId="165"/>
  </dataFields>
  <formats count="11">
    <format dxfId="44">
      <pivotArea type="all" dataOnly="0" outline="0" fieldPosition="0"/>
    </format>
    <format dxfId="43">
      <pivotArea type="origin" dataOnly="0" labelOnly="1" outline="0" fieldPosition="0"/>
    </format>
    <format dxfId="42">
      <pivotArea field="5" type="button" dataOnly="0" labelOnly="1" outline="0" axis="axisCol" fieldPosition="0"/>
    </format>
    <format dxfId="41">
      <pivotArea type="topRight" dataOnly="0" labelOnly="1" outline="0" fieldPosition="0"/>
    </format>
    <format dxfId="40">
      <pivotArea field="6" type="button" dataOnly="0" labelOnly="1" outline="0" axis="axisRow" fieldPosition="0"/>
    </format>
    <format dxfId="39">
      <pivotArea dataOnly="0" labelOnly="1" outline="0" fieldPosition="0">
        <references count="1">
          <reference field="6" count="0"/>
        </references>
      </pivotArea>
    </format>
    <format dxfId="38">
      <pivotArea dataOnly="0" labelOnly="1" grandRow="1" outline="0" fieldPosition="0"/>
    </format>
    <format dxfId="37">
      <pivotArea dataOnly="0" labelOnly="1" outline="0" fieldPosition="0">
        <references count="1">
          <reference field="5" count="0"/>
        </references>
      </pivotArea>
    </format>
    <format dxfId="36">
      <pivotArea dataOnly="0" labelOnly="1" grandCol="1" outline="0" fieldPosition="0"/>
    </format>
    <format dxfId="35">
      <pivotArea outline="0" fieldPosition="0">
        <references count="1">
          <reference field="4294967294" count="1">
            <x v="0"/>
          </reference>
        </references>
      </pivotArea>
    </format>
    <format dxfId="34">
      <pivotArea outline="0" collapsedLevelsAreSubtotals="1" fieldPosition="0"/>
    </format>
  </formats>
  <chartFormats count="18">
    <chartFormat chart="4" format="16" series="1">
      <pivotArea type="data" outline="0" fieldPosition="0">
        <references count="1">
          <reference field="5" count="1" selected="0">
            <x v="0"/>
          </reference>
        </references>
      </pivotArea>
    </chartFormat>
    <chartFormat chart="4" format="17" series="1">
      <pivotArea type="data" outline="0" fieldPosition="0">
        <references count="1">
          <reference field="5" count="1" selected="0">
            <x v="1"/>
          </reference>
        </references>
      </pivotArea>
    </chartFormat>
    <chartFormat chart="4" format="18" series="1">
      <pivotArea type="data" outline="0" fieldPosition="0">
        <references count="1">
          <reference field="5" count="1" selected="0">
            <x v="2"/>
          </reference>
        </references>
      </pivotArea>
    </chartFormat>
    <chartFormat chart="4" format="19" series="1">
      <pivotArea type="data" outline="0" fieldPosition="0">
        <references count="1">
          <reference field="5" count="1" selected="0">
            <x v="3"/>
          </reference>
        </references>
      </pivotArea>
    </chartFormat>
    <chartFormat chart="3" format="8" series="1">
      <pivotArea type="data" outline="0" fieldPosition="0">
        <references count="1">
          <reference field="5" count="1" selected="0">
            <x v="0"/>
          </reference>
        </references>
      </pivotArea>
    </chartFormat>
    <chartFormat chart="3" format="9" series="1">
      <pivotArea type="data" outline="0" fieldPosition="0">
        <references count="1">
          <reference field="5" count="1" selected="0">
            <x v="1"/>
          </reference>
        </references>
      </pivotArea>
    </chartFormat>
    <chartFormat chart="3" format="10" series="1">
      <pivotArea type="data" outline="0" fieldPosition="0">
        <references count="1">
          <reference field="5" count="1" selected="0">
            <x v="2"/>
          </reference>
        </references>
      </pivotArea>
    </chartFormat>
    <chartFormat chart="3" format="11" series="1">
      <pivotArea type="data" outline="0" fieldPosition="0">
        <references count="1">
          <reference field="5" count="1" selected="0">
            <x v="3"/>
          </reference>
        </references>
      </pivotArea>
    </chartFormat>
    <chartFormat chart="3" format="12">
      <pivotArea type="data" outline="0" fieldPosition="0">
        <references count="3">
          <reference field="4294967294" count="1" selected="0">
            <x v="0"/>
          </reference>
          <reference field="5" count="1" selected="0">
            <x v="0"/>
          </reference>
          <reference field="6" count="1" selected="0">
            <x v="17"/>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pivotArea type="data" outline="0" fieldPosition="0">
        <references count="3">
          <reference field="4294967294" count="1" selected="0">
            <x v="0"/>
          </reference>
          <reference field="5" count="1" selected="0">
            <x v="1"/>
          </reference>
          <reference field="6" count="1" selected="0">
            <x v="3"/>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1"/>
          </reference>
        </references>
      </pivotArea>
    </chartFormat>
    <chartFormat chart="3" format="17" series="1">
      <pivotArea type="data" outline="0" fieldPosition="0">
        <references count="2">
          <reference field="4294967294" count="1" selected="0">
            <x v="0"/>
          </reference>
          <reference field="5" count="1" selected="0">
            <x v="2"/>
          </reference>
        </references>
      </pivotArea>
    </chartFormat>
    <chartFormat chart="4" format="20" series="1">
      <pivotArea type="data" outline="0" fieldPosition="0">
        <references count="2">
          <reference field="4294967294" count="1" selected="0">
            <x v="0"/>
          </reference>
          <reference field="5" count="1" selected="0">
            <x v="0"/>
          </reference>
        </references>
      </pivotArea>
    </chartFormat>
    <chartFormat chart="4" format="21" series="1">
      <pivotArea type="data" outline="0" fieldPosition="0">
        <references count="2">
          <reference field="4294967294" count="1" selected="0">
            <x v="0"/>
          </reference>
          <reference field="5" count="1" selected="0">
            <x v="1"/>
          </reference>
        </references>
      </pivotArea>
    </chartFormat>
    <chartFormat chart="4" format="22"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52C92F-1E19-4A21-923D-44991DC82E6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 rowHeaderCaption="Launch" colHeaderCaption="state">
  <location ref="A5:G48" firstHeaderRow="1" firstDataRow="2" firstDataCol="2"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44" outline="0" showAll="0"/>
    <pivotField axis="axisPage" compact="0" outline="0" showAll="0">
      <items count="10">
        <item x="0"/>
        <item x="7"/>
        <item x="6"/>
        <item x="5"/>
        <item x="4"/>
        <item x="8"/>
        <item x="3"/>
        <item x="2"/>
        <item x="1"/>
        <item t="default"/>
      </items>
    </pivotField>
    <pivotField compact="0" outline="0" showAll="0"/>
    <pivotField compact="0" numFmtId="14" outline="0" showAll="0">
      <items count="15">
        <item sd="0" x="0"/>
        <item sd="0" x="1"/>
        <item sd="0" x="2"/>
        <item x="3"/>
        <item sd="0" x="4"/>
        <item sd="0" x="5"/>
        <item sd="0" x="6"/>
        <item sd="0" x="7"/>
        <item sd="0" x="8"/>
        <item sd="0" x="9"/>
        <item sd="0" x="10"/>
        <item sd="0" x="11"/>
        <item sd="0" x="12"/>
        <item sd="0" x="13"/>
        <item t="default" sd="0"/>
      </items>
    </pivotField>
    <pivotField compact="0" numFmtId="14" outline="0"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compact="0" outline="0" showAll="0">
      <items count="7">
        <item sd="0" x="0"/>
        <item sd="0" x="1"/>
        <item sd="0" x="2"/>
        <item sd="0" x="3"/>
        <item sd="0" x="4"/>
        <item sd="0" x="5"/>
        <item t="default"/>
      </items>
    </pivotField>
    <pivotField axis="axisRow" compact="0" outline="0" multipleItemSelectionAllowed="1" showAll="0">
      <items count="12">
        <item h="1" sd="0" x="0"/>
        <item x="1"/>
        <item x="2"/>
        <item x="3"/>
        <item x="4"/>
        <item x="5"/>
        <item x="6"/>
        <item x="7"/>
        <item x="8"/>
        <item x="9"/>
        <item h="1" sd="0" x="10"/>
        <item t="default"/>
      </items>
    </pivotField>
  </pivotFields>
  <rowFields count="2">
    <field x="21"/>
    <field x="20"/>
  </rowFields>
  <rowItems count="42">
    <i>
      <x v="1"/>
      <x v="2"/>
    </i>
    <i r="1">
      <x v="3"/>
    </i>
    <i r="1">
      <x v="4"/>
    </i>
    <i t="default">
      <x v="1"/>
    </i>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x v="7"/>
      <x v="1"/>
    </i>
    <i r="1">
      <x v="2"/>
    </i>
    <i r="1">
      <x v="3"/>
    </i>
    <i r="1">
      <x v="4"/>
    </i>
    <i t="default">
      <x v="7"/>
    </i>
    <i>
      <x v="8"/>
      <x v="1"/>
    </i>
    <i r="1">
      <x v="2"/>
    </i>
    <i r="1">
      <x v="3"/>
    </i>
    <i r="1">
      <x v="4"/>
    </i>
    <i t="default">
      <x v="8"/>
    </i>
    <i>
      <x v="9"/>
      <x v="1"/>
    </i>
    <i t="default">
      <x v="9"/>
    </i>
    <i t="grand">
      <x/>
    </i>
  </rowItems>
  <colFields count="1">
    <field x="5"/>
  </colFields>
  <colItems count="5">
    <i>
      <x/>
    </i>
    <i>
      <x v="1"/>
    </i>
    <i>
      <x v="2"/>
    </i>
    <i>
      <x v="3"/>
    </i>
    <i t="grand">
      <x/>
    </i>
  </colItems>
  <pageFields count="1">
    <pageField fld="16" hier="-1"/>
  </pageFields>
  <dataFields count="1">
    <dataField name="Quantity"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937EEE-9E9F-40A9-A501-C3A34549427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Launch Month" colHeaderCaption="state">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Quantity"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FEEC93-4DC0-430D-A224-E680892C59FC}" name="PivotTable1"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rowHeaderCaption="Sub_Category" colHeaderCaption="Col">
  <location ref="A4:F47" firstHeaderRow="1" firstDataRow="2" firstDataCol="1" rowPageCount="2" colPageCount="1"/>
  <pivotFields count="5">
    <pivotField axis="axisRow" allDrilled="1" subtotalTop="0" showAll="0" sortType="de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 axis="axisCol" allDrilled="1" subtotalTop="0" showAll="0" defaultSubtotal="0" defaultAttributeDrillState="1">
      <items count="4">
        <item x="3"/>
        <item x="1"/>
        <item x="0"/>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1"/>
  </colFields>
  <colItems count="5">
    <i>
      <x/>
    </i>
    <i>
      <x v="1"/>
    </i>
    <i>
      <x v="2"/>
    </i>
    <i>
      <x v="3"/>
    </i>
    <i t="grand">
      <x/>
    </i>
  </colItems>
  <pageFields count="2">
    <pageField fld="3" hier="6" name="[Range].[country].[All]" cap="All"/>
    <pageField fld="4" hier="16" name="[Range].[Category].[All]" cap="All"/>
  </pageFields>
  <dataFields count="1">
    <dataField name="Number" fld="2" subtotal="count" baseField="0" baseItem="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3">
          <reference field="4294967294" count="1" selected="0">
            <x v="0"/>
          </reference>
          <reference field="0" count="1" selected="0">
            <x v="24"/>
          </reference>
          <reference field="1" count="1" selected="0">
            <x v="0"/>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_Data!$A$1:$R$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310EAE-90A5-4596-9920-4E76350F8BDF}"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47" firstHeaderRow="1" firstDataRow="2" firstDataCol="1" rowPageCount="2" colPageCount="1"/>
  <pivotFields count="21">
    <pivotField showAll="0"/>
    <pivotField showAll="0"/>
    <pivotField showAll="0"/>
    <pivotField showAll="0"/>
    <pivotField showAll="0"/>
    <pivotField axis="axisCol" dataField="1"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sortType="de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Nbr Of Campaign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FFB690-B9CD-40FD-85A8-366D5671534C}"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
  <location ref="A4:F15" firstHeaderRow="1" firstDataRow="2" firstDataCol="1" rowPageCount="1" colPageCount="1"/>
  <pivotFields count="21">
    <pivotField showAll="0"/>
    <pivotField showAll="0"/>
    <pivotField showAll="0"/>
    <pivotField showAll="0"/>
    <pivotField showAll="0"/>
    <pivotField axis="axisCol" dataField="1" showAll="0">
      <items count="6">
        <item h="1" x="4"/>
        <item x="0"/>
        <item x="2"/>
        <item x="1"/>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descending">
      <items count="11">
        <item x="0"/>
        <item x="7"/>
        <item x="6"/>
        <item x="5"/>
        <item x="4"/>
        <item x="8"/>
        <item x="3"/>
        <item x="2"/>
        <item x="1"/>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10">
    <i>
      <x v="8"/>
    </i>
    <i>
      <x v="4"/>
    </i>
    <i>
      <x v="7"/>
    </i>
    <i>
      <x/>
    </i>
    <i>
      <x v="6"/>
    </i>
    <i>
      <x v="2"/>
    </i>
    <i>
      <x v="5"/>
    </i>
    <i>
      <x v="1"/>
    </i>
    <i>
      <x v="3"/>
    </i>
    <i t="grand">
      <x/>
    </i>
  </rowItems>
  <colFields count="1">
    <field x="5"/>
  </colFields>
  <colItems count="5">
    <i>
      <x v="1"/>
    </i>
    <i>
      <x v="2"/>
    </i>
    <i>
      <x v="3"/>
    </i>
    <i>
      <x v="4"/>
    </i>
    <i t="grand">
      <x/>
    </i>
  </colItems>
  <pageFields count="1">
    <pageField fld="6" hier="-1"/>
  </pageFields>
  <dataFields count="1">
    <dataField name="Nbr of campaigns" fld="5" subtotal="count" baseField="16"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F10CD5F-1B0D-4269-9CA3-5F11EE232937}" name="Table4" displayName="Table4" ref="A30:D51" totalsRowShown="0" headerRowDxfId="33">
  <autoFilter ref="A30:D51" xr:uid="{B3BF5A8B-178E-4E0E-A66C-0F6AC97B563E}"/>
  <sortState xmlns:xlrd2="http://schemas.microsoft.com/office/spreadsheetml/2017/richdata2" ref="A31:D51">
    <sortCondition descending="1" ref="D31"/>
  </sortState>
  <tableColumns count="4">
    <tableColumn id="1" xr3:uid="{FC90C671-4C39-4E53-B2D3-861CDB92D015}" name="Country"/>
    <tableColumn id="2" xr3:uid="{DACDEC53-4A9A-47BE-BE88-1EDA10C8A3C0}" name="By Avg backers" dataDxfId="32"/>
    <tableColumn id="3" xr3:uid="{36CE1FF2-F5E0-448A-8B7E-BD36EB069712}" name="Pledged Amt" dataDxfId="31"/>
    <tableColumn id="4" xr3:uid="{7D01649F-42A8-45B4-87E4-C0CF65507DEF}" name="Wealth" dataDxfId="30" dataCellStyle="Currency">
      <calculatedColumnFormula>VLOOKUP(A31,'2015PerCapitaGDP_PPP'!C:E,3,FALSE)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2692CDD-15FE-4588-A64B-723EBC9DF0B5}" name="Table5" displayName="Table5" ref="A18:D30" totalsRowShown="0" dataDxfId="29" dataCellStyle="Percent">
  <autoFilter ref="A18:D30" xr:uid="{3878E846-B3ED-42A7-8E10-7B345A7E12CE}"/>
  <tableColumns count="4">
    <tableColumn id="1" xr3:uid="{1140FA50-8791-408A-8BA0-A3C9D449EE95}" name="Goal Limit (USD)"/>
    <tableColumn id="2" xr3:uid="{514323AF-D694-4E39-A4DD-CE3147D4429E}" name="Successful" dataDxfId="28" dataCellStyle="Percent">
      <calculatedColumnFormula>B2/$F2</calculatedColumnFormula>
    </tableColumn>
    <tableColumn id="3" xr3:uid="{ADF1B3E2-251A-40B2-9BE6-35317951A77E}" name="Failed" dataDxfId="27" dataCellStyle="Percent">
      <calculatedColumnFormula>C2/$F2</calculatedColumnFormula>
    </tableColumn>
    <tableColumn id="4" xr3:uid="{B9964357-3313-4F6E-97EE-1CA505F3EE38}" name="Canceled" dataDxfId="26" dataCellStyle="Percent">
      <calculatedColumnFormula>D2/$F2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FC1A4A-B883-42B1-B99F-9D71A3B89C2B}" name="Table3" displayName="Table3" ref="A1:U4115" totalsRowShown="0" headerRowDxfId="12">
  <autoFilter ref="A1:U4115" xr:uid="{B32936A5-279B-428E-8DBB-52AC5C083186}"/>
  <tableColumns count="21">
    <tableColumn id="1" xr3:uid="{63C1234A-8B80-4B1A-8067-6939D44B0FCA}" name="id"/>
    <tableColumn id="2" xr3:uid="{C0BEB019-D7EE-4933-879A-7B228DC60A89}" name="name" dataDxfId="11"/>
    <tableColumn id="3" xr3:uid="{0F5FA7A3-1DC1-47A9-911A-60F691E60786}" name="blurb" dataDxfId="10"/>
    <tableColumn id="4" xr3:uid="{34B4A8F9-6CBB-445F-89E1-6FD705ED267D}" name="goal"/>
    <tableColumn id="5" xr3:uid="{FD336BF4-1041-48E8-A2BB-8CE22B910294}" name="pledged"/>
    <tableColumn id="6" xr3:uid="{E1C16121-E67B-4BE1-820D-40ABEA1BBFDA}" name="state"/>
    <tableColumn id="7" xr3:uid="{85AC7EB6-F16F-41EF-830B-EAD03E177C28}" name="Country"/>
    <tableColumn id="8" xr3:uid="{9365EF2C-B60A-48FB-8681-AC931CA621B1}" name="currency"/>
    <tableColumn id="9" xr3:uid="{ADAAE7D6-595D-4714-8C58-6E05020C0C68}" name="deadline"/>
    <tableColumn id="10" xr3:uid="{9685AD1A-1657-4A48-8A8C-103852A40D5E}" name="launched_at"/>
    <tableColumn id="11" xr3:uid="{52E4ACED-9B9D-4A6A-969F-D856E18895ED}" name="staff_pick"/>
    <tableColumn id="12" xr3:uid="{94EDCB3E-7844-4ECD-9DF5-6FEC0E661A35}" name="backers_count"/>
    <tableColumn id="13" xr3:uid="{34EC0842-09A9-493D-A8E3-282A768F57EC}" name="spotlight"/>
    <tableColumn id="14" xr3:uid="{480C7D05-40B6-4752-B77C-6BBB70F9DF34}" name="Category and Sub-Category"/>
    <tableColumn id="15" xr3:uid="{72E972C9-B043-425B-994C-8D557468CD0A}" name="Percent Funded" dataDxfId="9" dataCellStyle="Percent">
      <calculatedColumnFormula>pledged/goal</calculatedColumnFormula>
    </tableColumn>
    <tableColumn id="16" xr3:uid="{595F000D-7E05-4845-A1A7-11A6A0074F42}" name="Average Donation" dataDxfId="8" dataCellStyle="Currency">
      <calculatedColumnFormula>IF(pledged=0,0,pledged/backers_count)</calculatedColumnFormula>
    </tableColumn>
    <tableColumn id="17" xr3:uid="{FB3DF362-0EEC-4EBC-9C86-CFA78D78A357}" name="Category">
      <calculatedColumnFormula>LEFT(N2,FIND("/",N2,1)-1)</calculatedColumnFormula>
    </tableColumn>
    <tableColumn id="18" xr3:uid="{4085A6C1-5014-4937-9111-66C3E7D7B7E4}" name="Sub-Category">
      <calculatedColumnFormula>RIGHT(N2,(LEN(N2)-FIND("/",N2,1)))</calculatedColumnFormula>
    </tableColumn>
    <tableColumn id="19" xr3:uid="{21FAC881-B093-472D-9A31-18E61B8F6BC8}" name="Date Created Conversion" dataDxfId="7">
      <calculatedColumnFormula>(((Unix_launched_date/60)/60)/24)+DATE(1970,1,1)</calculatedColumnFormula>
    </tableColumn>
    <tableColumn id="20" xr3:uid="{7AD473BE-E4EA-469F-AF28-8C8218392742}" name="Date Ended Conversion" dataDxfId="6">
      <calculatedColumnFormula>(((Unix_deadline/60)/60)/24)+DATE(1970,1,1)</calculatedColumnFormula>
    </tableColumn>
    <tableColumn id="21" xr3:uid="{FCC933CE-0821-4343-B86B-200B7D5384BC}" name="USD" dataDxfId="5" dataCellStyle="Currency">
      <calculatedColumnFormula>VLOOKUP(currency,Tables!$A$1:$C$14,3,FALSE)*pledged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705AB6-7FF8-41ED-A6FA-A6E61BDBE35B}" name="Table2" displayName="Table2" ref="A1:E15">
  <autoFilter ref="A1:E15" xr:uid="{3F8F5628-5A23-4DE3-BF0E-D2A118015BF0}">
    <filterColumn colId="0" hiddenButton="1"/>
    <filterColumn colId="1" hiddenButton="1"/>
    <filterColumn colId="2" hiddenButton="1"/>
    <filterColumn colId="3" hiddenButton="1"/>
    <filterColumn colId="4" hiddenButton="1"/>
  </autoFilter>
  <tableColumns count="5">
    <tableColumn id="1" xr3:uid="{B4E9D024-4CCC-448D-864D-D5C1B872FEB1}" name="Currency" totalsRowLabel="Total"/>
    <tableColumn id="2" xr3:uid="{A484A259-2537-4076-B043-F1D677DFE4FD}" name="AmtPledged"/>
    <tableColumn id="3" xr3:uid="{A825F2A5-A8FA-4235-A8D8-29C0FE60F4E4}" name="Mult"/>
    <tableColumn id="4" xr3:uid="{00CC0D9F-A0B1-4E2E-8D9A-B7D0CD8EDF11}" name="USD" dataDxfId="4" totalsRowDxfId="3" dataCellStyle="Currency"/>
    <tableColumn id="5" xr3:uid="{77C47BAE-C2DA-4F54-A937-70AAE2158DAB}" name="Currency_Name" totalsRowFunction="count"/>
  </tableColumns>
  <tableStyleInfo name="TableStyleLight14"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1D9CE-34BF-4809-B50B-C9935FC0CD84}" name="_2_3Code" displayName="_2_3Code" ref="A1:F250" totalsRowShown="0">
  <autoFilter ref="A1:F250" xr:uid="{82F6F52E-C2C7-451A-B620-96CF884F06D2}"/>
  <tableColumns count="6">
    <tableColumn id="1" xr3:uid="{4E01B08C-DA70-46B7-9F3C-39E39FF46FE6}" name="Country" dataDxfId="2"/>
    <tableColumn id="2" xr3:uid="{1EF537B3-DE4E-4873-90A7-6BEBA98C1A5B}" name="Alpha-3" dataDxfId="1"/>
    <tableColumn id="3" xr3:uid="{6323C598-EA63-4A5D-8E2A-1370164504EF}" name="Alpha-2" dataDxfId="0"/>
    <tableColumn id="4" xr3:uid="{27FF0C5E-7E96-472A-8700-5F905C171CF1}" name="Numeric"/>
    <tableColumn id="5" xr3:uid="{68371E16-FF5F-4CB5-8C87-E7740A19B7C1}" name="2015 PC GDP PPP"/>
    <tableColumn id="6" xr3:uid="{5E5766CD-EF55-4508-808B-C762671937FF}" name="Source: https://www.iban.com/country-codes"/>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3DBD3-0AF4-41AD-84DD-75E131717AAF}">
  <sheetPr codeName="Sheet2"/>
  <dimension ref="A1:C37"/>
  <sheetViews>
    <sheetView topLeftCell="B29" workbookViewId="0">
      <selection activeCell="C37" sqref="C37"/>
    </sheetView>
  </sheetViews>
  <sheetFormatPr defaultRowHeight="14.4" x14ac:dyDescent="0.55000000000000004"/>
  <cols>
    <col min="1" max="1" width="59.83984375" style="1" customWidth="1"/>
    <col min="2" max="2" width="7" customWidth="1"/>
    <col min="3" max="3" width="64.68359375" style="1" customWidth="1"/>
  </cols>
  <sheetData>
    <row r="1" spans="1:3" s="21" customFormat="1" ht="15.6" x14ac:dyDescent="0.6">
      <c r="A1" s="20" t="s">
        <v>8409</v>
      </c>
      <c r="B1" s="21" t="s">
        <v>8410</v>
      </c>
      <c r="C1" s="20" t="s">
        <v>8411</v>
      </c>
    </row>
    <row r="2" spans="1:3" ht="43.2" x14ac:dyDescent="0.55000000000000004">
      <c r="A2" s="13" t="s">
        <v>8412</v>
      </c>
      <c r="B2" s="60" t="s">
        <v>8413</v>
      </c>
      <c r="C2" s="1" t="s">
        <v>8414</v>
      </c>
    </row>
    <row r="3" spans="1:3" x14ac:dyDescent="0.55000000000000004">
      <c r="A3" s="1" t="s">
        <v>8432</v>
      </c>
      <c r="B3" s="60"/>
    </row>
    <row r="4" spans="1:3" ht="28.8" x14ac:dyDescent="0.55000000000000004">
      <c r="A4" s="14" t="s">
        <v>8306</v>
      </c>
      <c r="B4" s="60"/>
      <c r="C4" s="1" t="s">
        <v>8415</v>
      </c>
    </row>
    <row r="5" spans="1:3" x14ac:dyDescent="0.55000000000000004">
      <c r="A5" s="14" t="s">
        <v>8433</v>
      </c>
      <c r="B5" s="60"/>
      <c r="C5" s="1" t="s">
        <v>8436</v>
      </c>
    </row>
    <row r="6" spans="1:3" x14ac:dyDescent="0.55000000000000004">
      <c r="A6" s="14" t="s">
        <v>8310</v>
      </c>
      <c r="B6" s="60"/>
      <c r="C6" s="1" t="s">
        <v>8438</v>
      </c>
    </row>
    <row r="7" spans="1:3" x14ac:dyDescent="0.55000000000000004">
      <c r="A7" s="14" t="s">
        <v>8311</v>
      </c>
      <c r="B7" s="60"/>
      <c r="C7" s="1" t="s">
        <v>8438</v>
      </c>
    </row>
    <row r="8" spans="1:3" x14ac:dyDescent="0.55000000000000004">
      <c r="A8" s="14" t="s">
        <v>8367</v>
      </c>
      <c r="B8" s="60"/>
      <c r="C8" s="1" t="s">
        <v>8437</v>
      </c>
    </row>
    <row r="9" spans="1:3" x14ac:dyDescent="0.55000000000000004">
      <c r="A9" s="14" t="s">
        <v>8369</v>
      </c>
      <c r="B9" s="60"/>
      <c r="C9" s="1" t="s">
        <v>8437</v>
      </c>
    </row>
    <row r="10" spans="1:3" ht="43.2" x14ac:dyDescent="0.55000000000000004">
      <c r="A10" s="14" t="s">
        <v>8434</v>
      </c>
      <c r="B10" s="60"/>
      <c r="C10" s="1" t="s">
        <v>8435</v>
      </c>
    </row>
    <row r="11" spans="1:3" x14ac:dyDescent="0.55000000000000004">
      <c r="A11" s="14"/>
    </row>
    <row r="12" spans="1:3" ht="44.1" customHeight="1" x14ac:dyDescent="0.55000000000000004">
      <c r="A12" s="1" t="s">
        <v>8439</v>
      </c>
      <c r="B12" s="61" t="s">
        <v>8310</v>
      </c>
      <c r="C12" s="1" t="s">
        <v>8441</v>
      </c>
    </row>
    <row r="13" spans="1:3" ht="28.8" x14ac:dyDescent="0.55000000000000004">
      <c r="A13" s="1" t="s">
        <v>8440</v>
      </c>
      <c r="B13" s="62"/>
      <c r="C13" s="1" t="s">
        <v>8444</v>
      </c>
    </row>
    <row r="15" spans="1:3" ht="43.2" x14ac:dyDescent="0.55000000000000004">
      <c r="A15" s="1" t="s">
        <v>8442</v>
      </c>
      <c r="B15" s="63" t="s">
        <v>8311</v>
      </c>
      <c r="C15" s="1" t="s">
        <v>8441</v>
      </c>
    </row>
    <row r="16" spans="1:3" ht="28.8" x14ac:dyDescent="0.55000000000000004">
      <c r="A16" s="1" t="s">
        <v>8443</v>
      </c>
      <c r="B16" s="63"/>
      <c r="C16" s="1" t="s">
        <v>8445</v>
      </c>
    </row>
    <row r="18" spans="1:3" ht="48" customHeight="1" x14ac:dyDescent="0.55000000000000004">
      <c r="A18" s="1" t="s">
        <v>8446</v>
      </c>
      <c r="B18" s="64" t="s">
        <v>8448</v>
      </c>
      <c r="C18" s="1" t="s">
        <v>8451</v>
      </c>
    </row>
    <row r="19" spans="1:3" x14ac:dyDescent="0.55000000000000004">
      <c r="A19" s="1" t="s">
        <v>8447</v>
      </c>
      <c r="B19" s="64"/>
    </row>
    <row r="21" spans="1:3" ht="50.4" customHeight="1" x14ac:dyDescent="0.55000000000000004">
      <c r="A21" s="41" t="s">
        <v>8450</v>
      </c>
      <c r="B21" s="65" t="s">
        <v>8449</v>
      </c>
    </row>
    <row r="22" spans="1:3" x14ac:dyDescent="0.55000000000000004">
      <c r="B22" s="65"/>
    </row>
    <row r="24" spans="1:3" ht="57.6" x14ac:dyDescent="0.55000000000000004">
      <c r="A24" s="1" t="s">
        <v>8475</v>
      </c>
      <c r="B24" s="59" t="s">
        <v>8478</v>
      </c>
    </row>
    <row r="25" spans="1:3" ht="63.6" customHeight="1" x14ac:dyDescent="0.55000000000000004">
      <c r="A25" s="1" t="s">
        <v>8476</v>
      </c>
      <c r="B25" s="59"/>
    </row>
    <row r="26" spans="1:3" ht="28.8" x14ac:dyDescent="0.55000000000000004">
      <c r="A26" s="1" t="s">
        <v>8477</v>
      </c>
      <c r="B26" s="59"/>
    </row>
    <row r="28" spans="1:3" ht="43.2" x14ac:dyDescent="0.55000000000000004">
      <c r="A28" s="1" t="s">
        <v>8491</v>
      </c>
      <c r="B28" s="58" t="s">
        <v>8493</v>
      </c>
    </row>
    <row r="29" spans="1:3" ht="115.2" x14ac:dyDescent="0.55000000000000004">
      <c r="A29" s="1" t="s">
        <v>8492</v>
      </c>
      <c r="B29" s="58"/>
    </row>
    <row r="31" spans="1:3" ht="86.4" customHeight="1" x14ac:dyDescent="0.55000000000000004">
      <c r="A31" s="1" t="s">
        <v>8495</v>
      </c>
      <c r="B31" s="43" t="s">
        <v>8494</v>
      </c>
    </row>
    <row r="33" spans="1:3" ht="46.5" x14ac:dyDescent="0.55000000000000004">
      <c r="A33" s="1" t="s">
        <v>8496</v>
      </c>
      <c r="B33" s="43" t="s">
        <v>9240</v>
      </c>
      <c r="C33" s="1" t="s">
        <v>9230</v>
      </c>
    </row>
    <row r="35" spans="1:3" ht="69.900000000000006" x14ac:dyDescent="0.55000000000000004">
      <c r="A35" s="1" t="s">
        <v>9243</v>
      </c>
      <c r="B35" s="43" t="s">
        <v>9241</v>
      </c>
      <c r="C35" s="1" t="s">
        <v>9246</v>
      </c>
    </row>
    <row r="37" spans="1:3" ht="75.900000000000006" x14ac:dyDescent="0.55000000000000004">
      <c r="A37" s="1" t="s">
        <v>9244</v>
      </c>
      <c r="B37" s="43" t="s">
        <v>9242</v>
      </c>
      <c r="C37" s="1" t="s">
        <v>9245</v>
      </c>
    </row>
  </sheetData>
  <mergeCells count="7">
    <mergeCell ref="B28:B29"/>
    <mergeCell ref="B24:B26"/>
    <mergeCell ref="B2:B10"/>
    <mergeCell ref="B12:B13"/>
    <mergeCell ref="B15:B16"/>
    <mergeCell ref="B18:B19"/>
    <mergeCell ref="B21: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6AAB-E70A-44BC-8EB9-40C447CC2353}">
  <sheetPr codeName="Sheet3"/>
  <dimension ref="A1:E52"/>
  <sheetViews>
    <sheetView topLeftCell="A25" workbookViewId="0">
      <selection activeCell="C30" sqref="C30"/>
    </sheetView>
  </sheetViews>
  <sheetFormatPr defaultRowHeight="14.4" x14ac:dyDescent="0.55000000000000004"/>
  <cols>
    <col min="1" max="1" width="11.7890625" bestFit="1" customWidth="1"/>
    <col min="2" max="6" width="12" bestFit="1" customWidth="1"/>
    <col min="7" max="7" width="9.68359375" bestFit="1" customWidth="1"/>
    <col min="8" max="9" width="11.68359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7" t="s">
        <v>8310</v>
      </c>
      <c r="B1" t="s">
        <v>8395</v>
      </c>
    </row>
    <row r="2" spans="1:5" x14ac:dyDescent="0.55000000000000004">
      <c r="A2" s="7" t="s">
        <v>8311</v>
      </c>
      <c r="B2" t="s">
        <v>8395</v>
      </c>
    </row>
    <row r="4" spans="1:5" x14ac:dyDescent="0.55000000000000004">
      <c r="A4" s="7" t="s">
        <v>8480</v>
      </c>
      <c r="B4" s="7" t="s">
        <v>8218</v>
      </c>
    </row>
    <row r="5" spans="1:5" x14ac:dyDescent="0.55000000000000004">
      <c r="A5" s="7" t="s">
        <v>8308</v>
      </c>
      <c r="B5" t="s">
        <v>8219</v>
      </c>
      <c r="C5" t="s">
        <v>8221</v>
      </c>
      <c r="D5" t="s">
        <v>8220</v>
      </c>
      <c r="E5" t="s">
        <v>8321</v>
      </c>
    </row>
    <row r="6" spans="1:5" x14ac:dyDescent="0.55000000000000004">
      <c r="A6" t="s">
        <v>8224</v>
      </c>
      <c r="B6" s="42">
        <v>31910402.96000002</v>
      </c>
      <c r="C6" s="42">
        <v>1670461.72</v>
      </c>
      <c r="D6" s="42">
        <v>2465244.5099999998</v>
      </c>
      <c r="E6" s="42">
        <v>36046109.19000002</v>
      </c>
    </row>
    <row r="7" spans="1:5" x14ac:dyDescent="0.55000000000000004">
      <c r="A7" t="s">
        <v>8225</v>
      </c>
      <c r="B7" s="42">
        <v>4287770.1372000007</v>
      </c>
      <c r="C7" s="42">
        <v>264990.56760000013</v>
      </c>
      <c r="D7" s="42">
        <v>60338.51999999999</v>
      </c>
      <c r="E7" s="42">
        <v>4613099.2248</v>
      </c>
    </row>
    <row r="8" spans="1:5" x14ac:dyDescent="0.55000000000000004">
      <c r="A8" t="s">
        <v>8236</v>
      </c>
      <c r="B8" s="42">
        <v>2216935.1834000009</v>
      </c>
      <c r="C8" s="42">
        <v>36591.799999999988</v>
      </c>
      <c r="D8" s="42">
        <v>109.74</v>
      </c>
      <c r="E8" s="42">
        <v>2253636.7234000009</v>
      </c>
    </row>
    <row r="9" spans="1:5" x14ac:dyDescent="0.55000000000000004">
      <c r="A9" t="s">
        <v>8227</v>
      </c>
      <c r="B9" s="42">
        <v>554295.56000000006</v>
      </c>
      <c r="C9" s="42">
        <v>38452.660000000003</v>
      </c>
      <c r="D9" s="42">
        <v>17.7</v>
      </c>
      <c r="E9" s="42">
        <v>592765.92000000004</v>
      </c>
    </row>
    <row r="10" spans="1:5" x14ac:dyDescent="0.55000000000000004">
      <c r="A10" t="s">
        <v>8229</v>
      </c>
      <c r="B10" s="42">
        <v>472216.72800000006</v>
      </c>
      <c r="C10" s="42">
        <v>108608.75000000001</v>
      </c>
      <c r="D10" s="42">
        <v>4048.5200000000004</v>
      </c>
      <c r="E10" s="42">
        <v>584873.99800000014</v>
      </c>
    </row>
    <row r="11" spans="1:5" x14ac:dyDescent="0.55000000000000004">
      <c r="A11" t="s">
        <v>8226</v>
      </c>
      <c r="B11" s="42">
        <v>368709.50960000005</v>
      </c>
      <c r="C11" s="42">
        <v>149767.52999999997</v>
      </c>
      <c r="D11" s="42">
        <v>2890.8</v>
      </c>
      <c r="E11" s="42">
        <v>521367.83960000001</v>
      </c>
    </row>
    <row r="12" spans="1:5" x14ac:dyDescent="0.55000000000000004">
      <c r="A12" t="s">
        <v>8239</v>
      </c>
      <c r="B12" s="42">
        <v>494319.69999999995</v>
      </c>
      <c r="C12" s="42">
        <v>1108.02</v>
      </c>
      <c r="D12" s="42"/>
      <c r="E12" s="42">
        <v>495427.72</v>
      </c>
    </row>
    <row r="13" spans="1:5" x14ac:dyDescent="0.55000000000000004">
      <c r="A13" t="s">
        <v>8237</v>
      </c>
      <c r="B13" s="42">
        <v>322404.17839999998</v>
      </c>
      <c r="C13" s="42">
        <v>55071.78</v>
      </c>
      <c r="D13" s="42">
        <v>171.1</v>
      </c>
      <c r="E13" s="42">
        <v>377647.05839999998</v>
      </c>
    </row>
    <row r="14" spans="1:5" x14ac:dyDescent="0.55000000000000004">
      <c r="A14" t="s">
        <v>8233</v>
      </c>
      <c r="B14" s="42">
        <v>79270.039999999994</v>
      </c>
      <c r="C14" s="42">
        <v>91062.959999999992</v>
      </c>
      <c r="D14" s="42">
        <v>605.33999999999992</v>
      </c>
      <c r="E14" s="42">
        <v>170938.34</v>
      </c>
    </row>
    <row r="15" spans="1:5" x14ac:dyDescent="0.55000000000000004">
      <c r="A15" t="s">
        <v>8241</v>
      </c>
      <c r="B15" s="42">
        <v>164257.45139999999</v>
      </c>
      <c r="C15" s="42">
        <v>309.16000000000003</v>
      </c>
      <c r="D15" s="42">
        <v>3.54</v>
      </c>
      <c r="E15" s="42">
        <v>164570.1514</v>
      </c>
    </row>
    <row r="16" spans="1:5" x14ac:dyDescent="0.55000000000000004">
      <c r="A16" t="s">
        <v>8230</v>
      </c>
      <c r="B16" s="42">
        <v>38217.438799999996</v>
      </c>
      <c r="C16" s="42">
        <v>21467.739999999998</v>
      </c>
      <c r="D16" s="42">
        <v>3824.38</v>
      </c>
      <c r="E16" s="42">
        <v>63509.558799999992</v>
      </c>
    </row>
    <row r="17" spans="1:5" x14ac:dyDescent="0.55000000000000004">
      <c r="A17" t="s">
        <v>8234</v>
      </c>
      <c r="B17" s="42">
        <v>53599.37</v>
      </c>
      <c r="C17" s="42">
        <v>633.05000000000007</v>
      </c>
      <c r="D17" s="42"/>
      <c r="E17" s="42">
        <v>54232.420000000006</v>
      </c>
    </row>
    <row r="18" spans="1:5" x14ac:dyDescent="0.55000000000000004">
      <c r="A18" t="s">
        <v>8235</v>
      </c>
      <c r="B18" s="42">
        <v>31239.840499999998</v>
      </c>
      <c r="C18" s="42">
        <v>17851.349999999999</v>
      </c>
      <c r="D18" s="42">
        <v>677.49</v>
      </c>
      <c r="E18" s="42">
        <v>49768.680499999995</v>
      </c>
    </row>
    <row r="19" spans="1:5" x14ac:dyDescent="0.55000000000000004">
      <c r="A19" t="s">
        <v>8232</v>
      </c>
      <c r="B19" s="42">
        <v>29315.52</v>
      </c>
      <c r="C19" s="42">
        <v>1536.8</v>
      </c>
      <c r="D19" s="42">
        <v>1834.72</v>
      </c>
      <c r="E19" s="42">
        <v>32687.040000000001</v>
      </c>
    </row>
    <row r="20" spans="1:5" x14ac:dyDescent="0.55000000000000004">
      <c r="A20" t="s">
        <v>8228</v>
      </c>
      <c r="B20" s="42">
        <v>28260.600000000002</v>
      </c>
      <c r="C20" s="42">
        <v>617.06999999999994</v>
      </c>
      <c r="D20" s="42">
        <v>363.81000000000006</v>
      </c>
      <c r="E20" s="42">
        <v>29241.480000000003</v>
      </c>
    </row>
    <row r="21" spans="1:5" x14ac:dyDescent="0.55000000000000004">
      <c r="A21" t="s">
        <v>8231</v>
      </c>
      <c r="B21" s="42"/>
      <c r="C21" s="42">
        <v>26653.25</v>
      </c>
      <c r="D21" s="42">
        <v>1.3</v>
      </c>
      <c r="E21" s="42">
        <v>26654.55</v>
      </c>
    </row>
    <row r="22" spans="1:5" x14ac:dyDescent="0.55000000000000004">
      <c r="A22" t="s">
        <v>8243</v>
      </c>
      <c r="B22" s="42">
        <v>18957.29</v>
      </c>
      <c r="C22" s="42"/>
      <c r="D22" s="42"/>
      <c r="E22" s="42">
        <v>18957.29</v>
      </c>
    </row>
    <row r="23" spans="1:5" x14ac:dyDescent="0.55000000000000004">
      <c r="A23" t="s">
        <v>8244</v>
      </c>
      <c r="B23" s="42">
        <v>6660.5199999999995</v>
      </c>
      <c r="C23" s="42"/>
      <c r="D23" s="42"/>
      <c r="E23" s="42">
        <v>6660.5199999999995</v>
      </c>
    </row>
    <row r="24" spans="1:5" x14ac:dyDescent="0.55000000000000004">
      <c r="A24" t="s">
        <v>8240</v>
      </c>
      <c r="B24" s="42">
        <v>4867.72</v>
      </c>
      <c r="C24" s="42">
        <v>729.56000000000006</v>
      </c>
      <c r="D24" s="42">
        <v>230</v>
      </c>
      <c r="E24" s="42">
        <v>5827.2800000000007</v>
      </c>
    </row>
    <row r="25" spans="1:5" x14ac:dyDescent="0.55000000000000004">
      <c r="A25" t="s">
        <v>8242</v>
      </c>
      <c r="B25" s="42">
        <v>4774.1973999999991</v>
      </c>
      <c r="C25" s="42">
        <v>11.799999999999999</v>
      </c>
      <c r="D25" s="42"/>
      <c r="E25" s="42">
        <v>4785.9973999999993</v>
      </c>
    </row>
    <row r="26" spans="1:5" x14ac:dyDescent="0.55000000000000004">
      <c r="A26" t="s">
        <v>8238</v>
      </c>
      <c r="B26" s="42"/>
      <c r="C26" s="42">
        <v>1309.1599999999999</v>
      </c>
      <c r="D26" s="42">
        <v>11.5</v>
      </c>
      <c r="E26" s="42">
        <v>1320.6599999999999</v>
      </c>
    </row>
    <row r="27" spans="1:5" x14ac:dyDescent="0.55000000000000004">
      <c r="A27" t="s">
        <v>8321</v>
      </c>
      <c r="B27" s="42">
        <v>41086473.944700018</v>
      </c>
      <c r="C27" s="42">
        <v>2487234.7275999999</v>
      </c>
      <c r="D27" s="42">
        <v>2540372.9699999997</v>
      </c>
      <c r="E27" s="42">
        <v>46114081.642300025</v>
      </c>
    </row>
    <row r="30" spans="1:5" ht="28.8" x14ac:dyDescent="0.55000000000000004">
      <c r="A30" s="45" t="s">
        <v>8308</v>
      </c>
      <c r="B30" s="54" t="s">
        <v>9247</v>
      </c>
      <c r="C30" s="55" t="s">
        <v>9229</v>
      </c>
    </row>
    <row r="31" spans="1:5" x14ac:dyDescent="0.55000000000000004">
      <c r="A31" t="s">
        <v>8243</v>
      </c>
      <c r="B31" s="44">
        <v>1</v>
      </c>
      <c r="C31" s="53">
        <f>VLOOKUP(A31,'2015PerCapitaGDP_PPP'!C:E,3,FALSE)</f>
        <v>103750.7751040537</v>
      </c>
    </row>
    <row r="32" spans="1:5" x14ac:dyDescent="0.55000000000000004">
      <c r="A32" t="s">
        <v>8244</v>
      </c>
      <c r="B32" s="44">
        <v>1</v>
      </c>
      <c r="C32" s="53">
        <f>VLOOKUP(A32,'2015PerCapitaGDP_PPP'!C:E,3,FALSE)</f>
        <v>86974.747623062649</v>
      </c>
    </row>
    <row r="33" spans="1:3" x14ac:dyDescent="0.55000000000000004">
      <c r="A33" t="s">
        <v>8241</v>
      </c>
      <c r="B33" s="44">
        <v>0.99809989844853475</v>
      </c>
      <c r="C33" s="53">
        <f>VLOOKUP(A33,'2015PerCapitaGDP_PPP'!C:E,3,FALSE)</f>
        <v>69056.046036869491</v>
      </c>
    </row>
    <row r="34" spans="1:3" x14ac:dyDescent="0.55000000000000004">
      <c r="A34" t="s">
        <v>8240</v>
      </c>
      <c r="B34" s="44">
        <v>0.83533312282917582</v>
      </c>
      <c r="C34" s="53">
        <f>VLOOKUP(A34,'2015PerCapitaGDP_PPP'!C:E,3,FALSE)</f>
        <v>63938.979975728376</v>
      </c>
    </row>
    <row r="35" spans="1:3" x14ac:dyDescent="0.55000000000000004">
      <c r="A35" t="s">
        <v>8234</v>
      </c>
      <c r="B35" s="44">
        <v>0.98832709290863285</v>
      </c>
      <c r="C35" s="53">
        <f>VLOOKUP(A35,'2015PerCapitaGDP_PPP'!C:E,3,FALSE)</f>
        <v>60385.116763208098</v>
      </c>
    </row>
    <row r="36" spans="1:3" x14ac:dyDescent="0.55000000000000004">
      <c r="A36" t="s">
        <v>8224</v>
      </c>
      <c r="B36" s="44">
        <v>0.88526622365258401</v>
      </c>
      <c r="C36" s="53">
        <f>VLOOKUP(A36,'2015PerCapitaGDP_PPP'!C:E,3,FALSE)</f>
        <v>56822.518820245554</v>
      </c>
    </row>
    <row r="37" spans="1:3" x14ac:dyDescent="0.55000000000000004">
      <c r="A37" t="s">
        <v>8231</v>
      </c>
      <c r="B37" s="44">
        <v>0</v>
      </c>
      <c r="C37" s="53">
        <f>VLOOKUP(A37,'2015PerCapitaGDP_PPP'!C:E,3,FALSE)</f>
        <v>56408.936273747997</v>
      </c>
    </row>
    <row r="38" spans="1:3" x14ac:dyDescent="0.55000000000000004">
      <c r="A38" t="s">
        <v>8233</v>
      </c>
      <c r="B38" s="44">
        <v>0.46373470106238307</v>
      </c>
      <c r="C38" s="53">
        <f>VLOOKUP(A38,'2015PerCapitaGDP_PPP'!C:E,3,FALSE)</f>
        <v>50302.067747012778</v>
      </c>
    </row>
    <row r="39" spans="1:3" x14ac:dyDescent="0.55000000000000004">
      <c r="A39" t="s">
        <v>8239</v>
      </c>
      <c r="B39" s="44">
        <v>0.99776350826715954</v>
      </c>
      <c r="C39" s="53">
        <f>VLOOKUP(A39,'2015PerCapitaGDP_PPP'!C:E,3,FALSE)</f>
        <v>49879.266472854491</v>
      </c>
    </row>
    <row r="40" spans="1:3" x14ac:dyDescent="0.55000000000000004">
      <c r="A40" t="s">
        <v>8235</v>
      </c>
      <c r="B40" s="44">
        <v>0.62770079869808892</v>
      </c>
      <c r="C40" s="53">
        <f>VLOOKUP(A40,'2015PerCapitaGDP_PPP'!C:E,3,FALSE)</f>
        <v>49116.307839260393</v>
      </c>
    </row>
    <row r="41" spans="1:3" x14ac:dyDescent="0.55000000000000004">
      <c r="A41" t="s">
        <v>8232</v>
      </c>
      <c r="B41" s="44">
        <v>0.89685453317278041</v>
      </c>
      <c r="C41" s="53">
        <f>VLOOKUP(A41,'2015PerCapitaGDP_PPP'!C:E,3,FALSE)</f>
        <v>49058.501065841578</v>
      </c>
    </row>
    <row r="42" spans="1:3" x14ac:dyDescent="0.55000000000000004">
      <c r="A42" t="s">
        <v>8236</v>
      </c>
      <c r="B42" s="44">
        <v>0.98371452700476525</v>
      </c>
      <c r="C42" s="53">
        <f>VLOOKUP(A42,'2015PerCapitaGDP_PPP'!C:E,3,FALSE)</f>
        <v>47683.788595995793</v>
      </c>
    </row>
    <row r="43" spans="1:3" x14ac:dyDescent="0.55000000000000004">
      <c r="A43" t="s">
        <v>8226</v>
      </c>
      <c r="B43" s="44">
        <v>0.707196496590351</v>
      </c>
      <c r="C43" s="53">
        <f>VLOOKUP(A43,'2015PerCapitaGDP_PPP'!C:E,3,FALSE)</f>
        <v>46276.150685386259</v>
      </c>
    </row>
    <row r="44" spans="1:3" x14ac:dyDescent="0.55000000000000004">
      <c r="A44" t="s">
        <v>8242</v>
      </c>
      <c r="B44" s="44">
        <v>0.99753447421429853</v>
      </c>
      <c r="C44" s="53">
        <f>VLOOKUP(A44,'2015PerCapitaGDP_PPP'!C:E,3,FALSE)</f>
        <v>46213.266534010072</v>
      </c>
    </row>
    <row r="45" spans="1:3" x14ac:dyDescent="0.55000000000000004">
      <c r="A45" t="s">
        <v>8229</v>
      </c>
      <c r="B45" s="44">
        <v>0.80738198246932491</v>
      </c>
      <c r="C45" s="53">
        <f>VLOOKUP(A45,'2015PerCapitaGDP_PPP'!C:E,3,FALSE)</f>
        <v>44671.440680907413</v>
      </c>
    </row>
    <row r="46" spans="1:3" x14ac:dyDescent="0.55000000000000004">
      <c r="A46" t="s">
        <v>8225</v>
      </c>
      <c r="B46" s="44">
        <v>0.92947711034459624</v>
      </c>
      <c r="C46" s="53">
        <f>VLOOKUP(A46,'2015PerCapitaGDP_PPP'!C:E,3,FALSE)</f>
        <v>42518.141256285249</v>
      </c>
    </row>
    <row r="47" spans="1:3" x14ac:dyDescent="0.55000000000000004">
      <c r="A47" t="s">
        <v>8230</v>
      </c>
      <c r="B47" s="44">
        <v>0.60175884578810834</v>
      </c>
      <c r="C47" s="53">
        <f>VLOOKUP(A47,'2015PerCapitaGDP_PPP'!C:E,3,FALSE)</f>
        <v>40860.911217924076</v>
      </c>
    </row>
    <row r="48" spans="1:3" x14ac:dyDescent="0.55000000000000004">
      <c r="A48" t="s">
        <v>8228</v>
      </c>
      <c r="B48" s="44">
        <v>0.96645587022271096</v>
      </c>
      <c r="C48" s="53">
        <f>VLOOKUP(A48,'2015PerCapitaGDP_PPP'!C:E,3,FALSE)</f>
        <v>37530.03907592735</v>
      </c>
    </row>
    <row r="49" spans="1:3" x14ac:dyDescent="0.55000000000000004">
      <c r="A49" t="s">
        <v>8237</v>
      </c>
      <c r="B49" s="44">
        <v>0.85371823036554062</v>
      </c>
      <c r="C49" s="53">
        <f>VLOOKUP(A49,'2015PerCapitaGDP_PPP'!C:E,3,FALSE)</f>
        <v>36909.328374273391</v>
      </c>
    </row>
    <row r="50" spans="1:3" x14ac:dyDescent="0.55000000000000004">
      <c r="A50" t="s">
        <v>8227</v>
      </c>
      <c r="B50" s="44">
        <v>0.93510025002786934</v>
      </c>
      <c r="C50" s="53">
        <f>VLOOKUP(A50,'2015PerCapitaGDP_PPP'!C:E,3,FALSE)</f>
        <v>34912.476126667898</v>
      </c>
    </row>
    <row r="51" spans="1:3" x14ac:dyDescent="0.55000000000000004">
      <c r="A51" t="s">
        <v>8238</v>
      </c>
      <c r="B51" s="44">
        <v>0</v>
      </c>
      <c r="C51" s="53">
        <f>VLOOKUP(A51,'2015PerCapitaGDP_PPP'!C:E,3,FALSE)</f>
        <v>18284.882843808475</v>
      </c>
    </row>
    <row r="52" spans="1:3" x14ac:dyDescent="0.55000000000000004">
      <c r="A52" s="46"/>
      <c r="B52" s="47"/>
      <c r="C52" s="53"/>
    </row>
  </sheetData>
  <sortState xmlns:xlrd2="http://schemas.microsoft.com/office/spreadsheetml/2017/richdata2" ref="A31:C51">
    <sortCondition descending="1" ref="C3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1E27-F4E1-4C65-A94D-5DBD347BD59F}">
  <dimension ref="A1:K101"/>
  <sheetViews>
    <sheetView topLeftCell="A31" workbookViewId="0">
      <selection activeCell="C64" sqref="C64"/>
    </sheetView>
  </sheetViews>
  <sheetFormatPr defaultRowHeight="14.4" x14ac:dyDescent="0.55000000000000004"/>
  <cols>
    <col min="1" max="1" width="14.1015625" customWidth="1"/>
    <col min="2" max="3" width="9.15625" bestFit="1" customWidth="1"/>
    <col min="4" max="4" width="11.7890625" bestFit="1" customWidth="1"/>
    <col min="5" max="5" width="10.3125" bestFit="1" customWidth="1"/>
    <col min="6" max="6" width="7.15625" bestFit="1" customWidth="1"/>
    <col min="7" max="7" width="10.3671875" bestFit="1" customWidth="1"/>
    <col min="8" max="9" width="11.734375" bestFit="1" customWidth="1"/>
    <col min="10" max="10" width="5.26171875" bestFit="1" customWidth="1"/>
    <col min="11" max="12" width="9.68359375" bestFit="1" customWidth="1"/>
    <col min="13" max="13" width="7.7890625" bestFit="1" customWidth="1"/>
    <col min="14" max="14" width="9.68359375" bestFit="1" customWidth="1"/>
    <col min="15" max="15" width="5.68359375" bestFit="1" customWidth="1"/>
    <col min="16" max="17" width="10.68359375" bestFit="1" customWidth="1"/>
    <col min="18" max="18" width="7.7890625" bestFit="1" customWidth="1"/>
    <col min="19" max="19" width="6.68359375" bestFit="1" customWidth="1"/>
    <col min="20" max="20" width="8.83984375" bestFit="1" customWidth="1"/>
    <col min="21" max="21" width="7.68359375" bestFit="1" customWidth="1"/>
    <col min="22" max="22" width="7.7890625" bestFit="1" customWidth="1"/>
    <col min="23" max="23" width="7.68359375" bestFit="1" customWidth="1"/>
    <col min="24" max="25" width="11.68359375" bestFit="1" customWidth="1"/>
    <col min="26" max="26" width="7.7890625" bestFit="1" customWidth="1"/>
    <col min="27" max="27" width="6.68359375" bestFit="1" customWidth="1"/>
    <col min="29" max="29" width="8.68359375" bestFit="1" customWidth="1"/>
    <col min="30" max="30" width="7.7890625" bestFit="1" customWidth="1"/>
    <col min="31" max="31" width="8.68359375" bestFit="1" customWidth="1"/>
    <col min="32" max="33" width="9.68359375" bestFit="1" customWidth="1"/>
    <col min="34" max="34" width="7.7890625" bestFit="1" customWidth="1"/>
    <col min="35" max="35" width="8.68359375" bestFit="1" customWidth="1"/>
    <col min="36" max="36" width="7.68359375" bestFit="1" customWidth="1"/>
    <col min="37" max="38" width="10.68359375" bestFit="1" customWidth="1"/>
    <col min="39" max="39" width="8.68359375" bestFit="1" customWidth="1"/>
    <col min="40" max="40" width="11.68359375" bestFit="1" customWidth="1"/>
    <col min="41" max="41" width="7.68359375" bestFit="1" customWidth="1"/>
    <col min="42" max="43" width="11.68359375" bestFit="1" customWidth="1"/>
    <col min="44" max="44" width="7.7890625" bestFit="1" customWidth="1"/>
    <col min="45" max="46" width="8.68359375" bestFit="1" customWidth="1"/>
    <col min="47" max="47" width="7.7890625" bestFit="1" customWidth="1"/>
    <col min="48" max="49" width="6.68359375" bestFit="1" customWidth="1"/>
    <col min="50" max="51" width="11.68359375" bestFit="1" customWidth="1"/>
    <col min="52" max="52" width="7.7890625" bestFit="1" customWidth="1"/>
    <col min="53" max="53" width="8.68359375" bestFit="1" customWidth="1"/>
    <col min="54" max="55" width="11.68359375" bestFit="1" customWidth="1"/>
    <col min="57" max="57" width="8.68359375" bestFit="1" customWidth="1"/>
    <col min="58" max="58" width="7.7890625" bestFit="1" customWidth="1"/>
    <col min="59" max="59" width="7.68359375" bestFit="1" customWidth="1"/>
    <col min="60" max="60" width="6.68359375" bestFit="1" customWidth="1"/>
    <col min="61" max="61" width="7.9453125" bestFit="1" customWidth="1"/>
    <col min="62" max="62" width="7.7890625" bestFit="1" customWidth="1"/>
    <col min="63" max="63" width="8.68359375" bestFit="1" customWidth="1"/>
    <col min="64" max="64" width="6.68359375" bestFit="1" customWidth="1"/>
    <col min="66" max="66" width="9.68359375" bestFit="1" customWidth="1"/>
    <col min="67" max="67" width="6.68359375" bestFit="1" customWidth="1"/>
    <col min="69" max="69" width="8.68359375" bestFit="1" customWidth="1"/>
    <col min="70" max="70" width="7.7890625" bestFit="1" customWidth="1"/>
    <col min="71" max="71" width="6.68359375" bestFit="1" customWidth="1"/>
    <col min="73" max="73" width="8.68359375" bestFit="1" customWidth="1"/>
    <col min="74" max="74" width="7.7890625" bestFit="1" customWidth="1"/>
    <col min="75" max="75" width="8.68359375" bestFit="1" customWidth="1"/>
    <col min="76" max="77" width="10.68359375" bestFit="1" customWidth="1"/>
    <col min="79" max="79" width="7.68359375" bestFit="1" customWidth="1"/>
    <col min="80" max="81" width="10.68359375" bestFit="1" customWidth="1"/>
    <col min="82" max="82" width="9.68359375" bestFit="1" customWidth="1"/>
    <col min="83" max="84" width="11.68359375" bestFit="1" customWidth="1"/>
    <col min="85" max="85" width="10.68359375" bestFit="1" customWidth="1"/>
  </cols>
  <sheetData>
    <row r="1" spans="1:5" x14ac:dyDescent="0.55000000000000004">
      <c r="A1" s="39" t="s">
        <v>8310</v>
      </c>
      <c r="B1" s="40" t="s">
        <v>8395</v>
      </c>
    </row>
    <row r="2" spans="1:5" x14ac:dyDescent="0.55000000000000004">
      <c r="A2" s="39" t="s">
        <v>8311</v>
      </c>
      <c r="B2" s="40" t="s">
        <v>8395</v>
      </c>
    </row>
    <row r="4" spans="1:5" x14ac:dyDescent="0.55000000000000004">
      <c r="A4" s="39" t="s">
        <v>9251</v>
      </c>
      <c r="B4" s="39" t="s">
        <v>8218</v>
      </c>
      <c r="C4" s="40"/>
      <c r="D4" s="40"/>
      <c r="E4" s="40"/>
    </row>
    <row r="5" spans="1:5" x14ac:dyDescent="0.55000000000000004">
      <c r="A5" s="39" t="s">
        <v>8308</v>
      </c>
      <c r="B5" s="40" t="s">
        <v>8219</v>
      </c>
      <c r="C5" s="40" t="s">
        <v>8221</v>
      </c>
      <c r="D5" s="40" t="s">
        <v>8220</v>
      </c>
      <c r="E5" s="40" t="s">
        <v>8321</v>
      </c>
    </row>
    <row r="6" spans="1:5" x14ac:dyDescent="0.55000000000000004">
      <c r="A6" s="40" t="s">
        <v>8236</v>
      </c>
      <c r="B6" s="50">
        <v>616.91304347826087</v>
      </c>
      <c r="C6" s="50">
        <v>17.62962962962963</v>
      </c>
      <c r="D6" s="50">
        <v>3</v>
      </c>
      <c r="E6" s="50">
        <v>276.8679245283019</v>
      </c>
    </row>
    <row r="7" spans="1:5" x14ac:dyDescent="0.55000000000000004">
      <c r="A7" s="40" t="s">
        <v>8239</v>
      </c>
      <c r="B7" s="50">
        <v>368</v>
      </c>
      <c r="C7" s="50">
        <v>6.5</v>
      </c>
      <c r="D7" s="50"/>
      <c r="E7" s="50">
        <v>223.4</v>
      </c>
    </row>
    <row r="8" spans="1:5" x14ac:dyDescent="0.55000000000000004">
      <c r="A8" s="40" t="s">
        <v>8234</v>
      </c>
      <c r="B8" s="50">
        <v>301.5</v>
      </c>
      <c r="C8" s="50">
        <v>4.4000000000000004</v>
      </c>
      <c r="D8" s="50"/>
      <c r="E8" s="50">
        <v>89.285714285714292</v>
      </c>
    </row>
    <row r="9" spans="1:5" x14ac:dyDescent="0.55000000000000004">
      <c r="A9" s="40" t="s">
        <v>8233</v>
      </c>
      <c r="B9" s="50">
        <v>281.5</v>
      </c>
      <c r="C9" s="50">
        <v>52.428571428571431</v>
      </c>
      <c r="D9" s="50">
        <v>1</v>
      </c>
      <c r="E9" s="50">
        <v>65.05</v>
      </c>
    </row>
    <row r="10" spans="1:5" x14ac:dyDescent="0.55000000000000004">
      <c r="A10" s="40" t="s">
        <v>8226</v>
      </c>
      <c r="B10" s="50">
        <v>272.89473684210526</v>
      </c>
      <c r="C10" s="50">
        <v>36.390243902439025</v>
      </c>
      <c r="D10" s="50">
        <v>3.8571428571428572</v>
      </c>
      <c r="E10" s="50">
        <v>90.959459459459453</v>
      </c>
    </row>
    <row r="11" spans="1:5" x14ac:dyDescent="0.55000000000000004">
      <c r="A11" s="40" t="s">
        <v>8237</v>
      </c>
      <c r="B11" s="50">
        <v>259.71428571428572</v>
      </c>
      <c r="C11" s="50">
        <v>24.421052631578949</v>
      </c>
      <c r="D11" s="50">
        <v>1</v>
      </c>
      <c r="E11" s="50">
        <v>78.793103448275858</v>
      </c>
    </row>
    <row r="12" spans="1:5" x14ac:dyDescent="0.55000000000000004">
      <c r="A12" s="40" t="s">
        <v>8241</v>
      </c>
      <c r="B12" s="50">
        <v>210.625</v>
      </c>
      <c r="C12" s="50">
        <v>4.25</v>
      </c>
      <c r="D12" s="50">
        <v>1</v>
      </c>
      <c r="E12" s="50">
        <v>121.71428571428571</v>
      </c>
    </row>
    <row r="13" spans="1:5" x14ac:dyDescent="0.55000000000000004">
      <c r="A13" s="40" t="s">
        <v>8224</v>
      </c>
      <c r="B13" s="50">
        <v>207.60629921259843</v>
      </c>
      <c r="C13" s="50">
        <v>16.299908842297175</v>
      </c>
      <c r="D13" s="50">
        <v>35.167315175097279</v>
      </c>
      <c r="E13" s="50">
        <v>123.02063227953411</v>
      </c>
    </row>
    <row r="14" spans="1:5" x14ac:dyDescent="0.55000000000000004">
      <c r="A14" s="40" t="s">
        <v>8227</v>
      </c>
      <c r="B14" s="50">
        <v>203.45454545454547</v>
      </c>
      <c r="C14" s="50">
        <v>24.666666666666668</v>
      </c>
      <c r="D14" s="50">
        <v>1</v>
      </c>
      <c r="E14" s="50">
        <v>117.19047619047619</v>
      </c>
    </row>
    <row r="15" spans="1:5" x14ac:dyDescent="0.55000000000000004">
      <c r="A15" s="40" t="s">
        <v>8225</v>
      </c>
      <c r="B15" s="50">
        <v>127.80054644808743</v>
      </c>
      <c r="C15" s="50">
        <v>18.560975609756099</v>
      </c>
      <c r="D15" s="50">
        <v>10.92</v>
      </c>
      <c r="E15" s="50">
        <v>85.323825503355707</v>
      </c>
    </row>
    <row r="16" spans="1:5" x14ac:dyDescent="0.55000000000000004">
      <c r="A16" s="40" t="s">
        <v>8228</v>
      </c>
      <c r="B16" s="50">
        <v>117.33333333333333</v>
      </c>
      <c r="C16" s="50">
        <v>3.8</v>
      </c>
      <c r="D16" s="50">
        <v>2.5</v>
      </c>
      <c r="E16" s="50">
        <v>31.75</v>
      </c>
    </row>
    <row r="17" spans="1:5" x14ac:dyDescent="0.55000000000000004">
      <c r="A17" s="40" t="s">
        <v>8232</v>
      </c>
      <c r="B17" s="50">
        <v>100.5</v>
      </c>
      <c r="C17" s="50">
        <v>5</v>
      </c>
      <c r="D17" s="50">
        <v>4.75</v>
      </c>
      <c r="E17" s="50">
        <v>32.214285714285715</v>
      </c>
    </row>
    <row r="18" spans="1:5" x14ac:dyDescent="0.55000000000000004">
      <c r="A18" s="40" t="s">
        <v>8243</v>
      </c>
      <c r="B18" s="50">
        <v>91</v>
      </c>
      <c r="C18" s="50"/>
      <c r="D18" s="50"/>
      <c r="E18" s="50">
        <v>91</v>
      </c>
    </row>
    <row r="19" spans="1:5" x14ac:dyDescent="0.55000000000000004">
      <c r="A19" s="40" t="s">
        <v>8229</v>
      </c>
      <c r="B19" s="50">
        <v>90.296875</v>
      </c>
      <c r="C19" s="50">
        <v>22.640625</v>
      </c>
      <c r="D19" s="50">
        <v>4.882352941176471</v>
      </c>
      <c r="E19" s="50">
        <v>50.420689655172417</v>
      </c>
    </row>
    <row r="20" spans="1:5" x14ac:dyDescent="0.55000000000000004">
      <c r="A20" s="40" t="s">
        <v>8235</v>
      </c>
      <c r="B20" s="50">
        <v>75.142857142857139</v>
      </c>
      <c r="C20" s="50">
        <v>24.111111111111111</v>
      </c>
      <c r="D20" s="50">
        <v>1.8</v>
      </c>
      <c r="E20" s="50">
        <v>35.80952380952381</v>
      </c>
    </row>
    <row r="21" spans="1:5" x14ac:dyDescent="0.55000000000000004">
      <c r="A21" s="40" t="s">
        <v>8244</v>
      </c>
      <c r="B21" s="50">
        <v>72</v>
      </c>
      <c r="C21" s="50"/>
      <c r="D21" s="50"/>
      <c r="E21" s="50">
        <v>72</v>
      </c>
    </row>
    <row r="22" spans="1:5" x14ac:dyDescent="0.55000000000000004">
      <c r="A22" s="40" t="s">
        <v>8242</v>
      </c>
      <c r="B22" s="50">
        <v>71</v>
      </c>
      <c r="C22" s="50">
        <v>2</v>
      </c>
      <c r="D22" s="50"/>
      <c r="E22" s="50">
        <v>36.5</v>
      </c>
    </row>
    <row r="23" spans="1:5" x14ac:dyDescent="0.55000000000000004">
      <c r="A23" s="40" t="s">
        <v>8230</v>
      </c>
      <c r="B23" s="50">
        <v>47.1</v>
      </c>
      <c r="C23" s="50">
        <v>12.5</v>
      </c>
      <c r="D23" s="50">
        <v>3.2</v>
      </c>
      <c r="E23" s="50">
        <v>24.48</v>
      </c>
    </row>
    <row r="24" spans="1:5" x14ac:dyDescent="0.55000000000000004">
      <c r="A24" s="40" t="s">
        <v>8240</v>
      </c>
      <c r="B24" s="50">
        <v>46</v>
      </c>
      <c r="C24" s="50">
        <v>8</v>
      </c>
      <c r="D24" s="50">
        <v>2.3333333333333335</v>
      </c>
      <c r="E24" s="50">
        <v>11.5</v>
      </c>
    </row>
    <row r="25" spans="1:5" x14ac:dyDescent="0.55000000000000004">
      <c r="A25" s="40" t="s">
        <v>8238</v>
      </c>
      <c r="B25" s="50"/>
      <c r="C25" s="50">
        <v>5.25</v>
      </c>
      <c r="D25" s="50">
        <v>1</v>
      </c>
      <c r="E25" s="50">
        <v>4.7777777777777777</v>
      </c>
    </row>
    <row r="26" spans="1:5" x14ac:dyDescent="0.55000000000000004">
      <c r="A26" s="40" t="s">
        <v>8231</v>
      </c>
      <c r="B26" s="50"/>
      <c r="C26" s="50">
        <v>35</v>
      </c>
      <c r="D26" s="50">
        <v>1</v>
      </c>
      <c r="E26" s="50">
        <v>23.666666666666668</v>
      </c>
    </row>
    <row r="27" spans="1:5" x14ac:dyDescent="0.55000000000000004">
      <c r="A27" s="40" t="s">
        <v>8321</v>
      </c>
      <c r="B27" s="50">
        <v>194.42517162471395</v>
      </c>
      <c r="C27" s="50">
        <v>17.709803921568628</v>
      </c>
      <c r="D27" s="50">
        <v>27.306590257879655</v>
      </c>
      <c r="E27" s="50">
        <v>113.5445374015748</v>
      </c>
    </row>
    <row r="29" spans="1:5" ht="35.700000000000003" customHeight="1" x14ac:dyDescent="0.7">
      <c r="A29" s="66" t="s">
        <v>9248</v>
      </c>
      <c r="B29" s="66"/>
      <c r="C29" s="66"/>
      <c r="D29" s="66"/>
    </row>
    <row r="30" spans="1:5" s="48" customFormat="1" ht="28.8" x14ac:dyDescent="0.55000000000000004">
      <c r="A30" s="49" t="s">
        <v>8308</v>
      </c>
      <c r="B30" s="48" t="s">
        <v>9250</v>
      </c>
      <c r="C30" s="48" t="s">
        <v>9228</v>
      </c>
      <c r="D30" s="48" t="s">
        <v>9229</v>
      </c>
    </row>
    <row r="31" spans="1:5" x14ac:dyDescent="0.55000000000000004">
      <c r="A31" t="s">
        <v>8243</v>
      </c>
      <c r="B31" s="44">
        <v>1</v>
      </c>
      <c r="C31" s="44">
        <v>1</v>
      </c>
      <c r="D31" s="5">
        <f>VLOOKUP(A31,'2015PerCapitaGDP_PPP'!C:E,3,FALSE)</f>
        <v>103750.7751040537</v>
      </c>
    </row>
    <row r="32" spans="1:5" x14ac:dyDescent="0.55000000000000004">
      <c r="A32" t="s">
        <v>8244</v>
      </c>
      <c r="B32" s="44">
        <v>1</v>
      </c>
      <c r="C32" s="44">
        <v>1</v>
      </c>
      <c r="D32" s="5">
        <f>VLOOKUP(A32,'2015PerCapitaGDP_PPP'!C:E,3,FALSE)</f>
        <v>86974.747623062649</v>
      </c>
    </row>
    <row r="33" spans="1:4" x14ac:dyDescent="0.55000000000000004">
      <c r="A33" t="s">
        <v>8241</v>
      </c>
      <c r="B33" s="44">
        <v>0.5714285714285714</v>
      </c>
      <c r="C33" s="44">
        <v>0.99809989844853486</v>
      </c>
      <c r="D33" s="5">
        <f>VLOOKUP(A33,'2015PerCapitaGDP_PPP'!C:E,3,FALSE)</f>
        <v>69056.046036869491</v>
      </c>
    </row>
    <row r="34" spans="1:4" x14ac:dyDescent="0.55000000000000004">
      <c r="A34" t="s">
        <v>8240</v>
      </c>
      <c r="B34" s="44">
        <v>0.16666666666666666</v>
      </c>
      <c r="C34" s="44">
        <v>0.83533312282917582</v>
      </c>
      <c r="D34" s="5">
        <f>VLOOKUP(A34,'2015PerCapitaGDP_PPP'!C:E,3,FALSE)</f>
        <v>63938.979975728376</v>
      </c>
    </row>
    <row r="35" spans="1:4" x14ac:dyDescent="0.55000000000000004">
      <c r="A35" t="s">
        <v>8234</v>
      </c>
      <c r="B35" s="44">
        <v>0.2857142857142857</v>
      </c>
      <c r="C35" s="44">
        <v>0.98832709290863285</v>
      </c>
      <c r="D35" s="5">
        <f>VLOOKUP(A35,'2015PerCapitaGDP_PPP'!C:E,3,FALSE)</f>
        <v>60385.116763208098</v>
      </c>
    </row>
    <row r="36" spans="1:4" x14ac:dyDescent="0.55000000000000004">
      <c r="A36" t="s">
        <v>8224</v>
      </c>
      <c r="B36" s="44">
        <v>0.54941763727121462</v>
      </c>
      <c r="C36" s="44">
        <v>0.88526622365258401</v>
      </c>
      <c r="D36" s="5">
        <f>VLOOKUP(A36,'2015PerCapitaGDP_PPP'!C:E,3,FALSE)</f>
        <v>56822.518820245554</v>
      </c>
    </row>
    <row r="37" spans="1:4" x14ac:dyDescent="0.55000000000000004">
      <c r="A37" t="s">
        <v>8231</v>
      </c>
      <c r="B37" s="44">
        <v>0</v>
      </c>
      <c r="C37" s="44">
        <v>0</v>
      </c>
      <c r="D37" s="5">
        <f>VLOOKUP(A37,'2015PerCapitaGDP_PPP'!C:E,3,FALSE)</f>
        <v>56408.936273747997</v>
      </c>
    </row>
    <row r="38" spans="1:4" x14ac:dyDescent="0.55000000000000004">
      <c r="A38" t="s">
        <v>8233</v>
      </c>
      <c r="B38" s="44">
        <v>0.1</v>
      </c>
      <c r="C38" s="44">
        <v>0.46373470106238307</v>
      </c>
      <c r="D38" s="5">
        <f>VLOOKUP(A38,'2015PerCapitaGDP_PPP'!C:E,3,FALSE)</f>
        <v>50302.067747012778</v>
      </c>
    </row>
    <row r="39" spans="1:4" x14ac:dyDescent="0.55000000000000004">
      <c r="A39" t="s">
        <v>8239</v>
      </c>
      <c r="B39" s="44">
        <v>0.6</v>
      </c>
      <c r="C39" s="44">
        <v>0.99776350826715954</v>
      </c>
      <c r="D39" s="5">
        <f>VLOOKUP(A39,'2015PerCapitaGDP_PPP'!C:E,3,FALSE)</f>
        <v>49879.266472854491</v>
      </c>
    </row>
    <row r="40" spans="1:4" x14ac:dyDescent="0.55000000000000004">
      <c r="A40" t="s">
        <v>8235</v>
      </c>
      <c r="B40" s="44">
        <v>0.33333333333333331</v>
      </c>
      <c r="C40" s="44">
        <v>0.62770079869808881</v>
      </c>
      <c r="D40" s="5">
        <f>VLOOKUP(A40,'2015PerCapitaGDP_PPP'!C:E,3,FALSE)</f>
        <v>49116.307839260393</v>
      </c>
    </row>
    <row r="41" spans="1:4" x14ac:dyDescent="0.55000000000000004">
      <c r="A41" t="s">
        <v>8232</v>
      </c>
      <c r="B41" s="44">
        <v>0.2857142857142857</v>
      </c>
      <c r="C41" s="44">
        <v>0.89685453317278041</v>
      </c>
      <c r="D41" s="5">
        <f>VLOOKUP(A41,'2015PerCapitaGDP_PPP'!C:E,3,FALSE)</f>
        <v>49058.501065841578</v>
      </c>
    </row>
    <row r="42" spans="1:4" x14ac:dyDescent="0.55000000000000004">
      <c r="A42" t="s">
        <v>8236</v>
      </c>
      <c r="B42" s="44">
        <v>0.43396226415094341</v>
      </c>
      <c r="C42" s="44">
        <v>0.98371452700476525</v>
      </c>
      <c r="D42" s="5">
        <f>VLOOKUP(A42,'2015PerCapitaGDP_PPP'!C:E,3,FALSE)</f>
        <v>47683.788595995793</v>
      </c>
    </row>
    <row r="43" spans="1:4" x14ac:dyDescent="0.55000000000000004">
      <c r="A43" t="s">
        <v>8226</v>
      </c>
      <c r="B43" s="44">
        <v>0.25675675675675674</v>
      </c>
      <c r="C43" s="44">
        <v>0.70719649659035089</v>
      </c>
      <c r="D43" s="5">
        <f>VLOOKUP(A43,'2015PerCapitaGDP_PPP'!C:E,3,FALSE)</f>
        <v>46276.150685386259</v>
      </c>
    </row>
    <row r="44" spans="1:4" x14ac:dyDescent="0.55000000000000004">
      <c r="A44" t="s">
        <v>8242</v>
      </c>
      <c r="B44" s="44">
        <v>0.5</v>
      </c>
      <c r="C44" s="44">
        <v>0.99753447421429853</v>
      </c>
      <c r="D44" s="5">
        <f>VLOOKUP(A44,'2015PerCapitaGDP_PPP'!C:E,3,FALSE)</f>
        <v>46213.266534010072</v>
      </c>
    </row>
    <row r="45" spans="1:4" x14ac:dyDescent="0.55000000000000004">
      <c r="A45" t="s">
        <v>8229</v>
      </c>
      <c r="B45" s="44">
        <v>0.44137931034482758</v>
      </c>
      <c r="C45" s="44">
        <v>0.80738198246932502</v>
      </c>
      <c r="D45" s="5">
        <f>VLOOKUP(A45,'2015PerCapitaGDP_PPP'!C:E,3,FALSE)</f>
        <v>44671.440680907413</v>
      </c>
    </row>
    <row r="46" spans="1:4" x14ac:dyDescent="0.55000000000000004">
      <c r="A46" t="s">
        <v>8225</v>
      </c>
      <c r="B46" s="44">
        <v>0.61409395973154357</v>
      </c>
      <c r="C46" s="44">
        <v>0.92947711034459601</v>
      </c>
      <c r="D46" s="5">
        <f>VLOOKUP(A46,'2015PerCapitaGDP_PPP'!C:E,3,FALSE)</f>
        <v>42518.141256285249</v>
      </c>
    </row>
    <row r="47" spans="1:4" x14ac:dyDescent="0.55000000000000004">
      <c r="A47" t="s">
        <v>8230</v>
      </c>
      <c r="B47" s="44">
        <v>0.4</v>
      </c>
      <c r="C47" s="44">
        <v>0.60175884578810834</v>
      </c>
      <c r="D47" s="5">
        <f>VLOOKUP(A47,'2015PerCapitaGDP_PPP'!C:E,3,FALSE)</f>
        <v>40860.911217924076</v>
      </c>
    </row>
    <row r="48" spans="1:4" x14ac:dyDescent="0.55000000000000004">
      <c r="A48" t="s">
        <v>8228</v>
      </c>
      <c r="B48" s="44">
        <v>0.25</v>
      </c>
      <c r="C48" s="44">
        <v>0.96645587022271107</v>
      </c>
      <c r="D48" s="5">
        <f>VLOOKUP(A48,'2015PerCapitaGDP_PPP'!C:E,3,FALSE)</f>
        <v>37530.03907592735</v>
      </c>
    </row>
    <row r="49" spans="1:11" x14ac:dyDescent="0.55000000000000004">
      <c r="A49" t="s">
        <v>8237</v>
      </c>
      <c r="B49" s="44">
        <v>0.2413793103448276</v>
      </c>
      <c r="C49" s="44">
        <v>0.85371823036554073</v>
      </c>
      <c r="D49" s="5">
        <f>VLOOKUP(A49,'2015PerCapitaGDP_PPP'!C:E,3,FALSE)</f>
        <v>36909.328374273391</v>
      </c>
    </row>
    <row r="50" spans="1:11" x14ac:dyDescent="0.55000000000000004">
      <c r="A50" t="s">
        <v>8227</v>
      </c>
      <c r="B50" s="44">
        <v>0.52380952380952384</v>
      </c>
      <c r="C50" s="44">
        <v>0.93510025002786934</v>
      </c>
      <c r="D50" s="5">
        <f>VLOOKUP(A50,'2015PerCapitaGDP_PPP'!C:E,3,FALSE)</f>
        <v>34912.476126667898</v>
      </c>
    </row>
    <row r="51" spans="1:11" x14ac:dyDescent="0.55000000000000004">
      <c r="A51" t="s">
        <v>8238</v>
      </c>
      <c r="B51" s="44">
        <v>0</v>
      </c>
      <c r="C51" s="44">
        <v>0</v>
      </c>
      <c r="D51" s="5">
        <f>VLOOKUP(A51,'2015PerCapitaGDP_PPP'!C:E,3,FALSE)</f>
        <v>18284.882843808475</v>
      </c>
    </row>
    <row r="52" spans="1:11" x14ac:dyDescent="0.55000000000000004">
      <c r="B52" s="44"/>
      <c r="C52" s="44"/>
      <c r="D52" s="5"/>
    </row>
    <row r="54" spans="1:11" x14ac:dyDescent="0.55000000000000004">
      <c r="A54" s="56" t="s">
        <v>8308</v>
      </c>
      <c r="B54" s="56" t="s">
        <v>9249</v>
      </c>
      <c r="C54" s="56" t="s">
        <v>8479</v>
      </c>
      <c r="E54" s="40"/>
      <c r="F54" s="40"/>
      <c r="G54" s="40"/>
      <c r="H54" s="40"/>
      <c r="I54" s="40"/>
    </row>
    <row r="55" spans="1:11" x14ac:dyDescent="0.55000000000000004">
      <c r="A55" s="40" t="s">
        <v>8243</v>
      </c>
      <c r="B55" s="3">
        <v>1</v>
      </c>
      <c r="C55" s="40">
        <v>2</v>
      </c>
      <c r="E55" s="40"/>
      <c r="F55" s="40"/>
      <c r="G55" s="40"/>
      <c r="H55" s="40"/>
      <c r="I55" s="40"/>
    </row>
    <row r="56" spans="1:11" x14ac:dyDescent="0.55000000000000004">
      <c r="A56" s="40" t="s">
        <v>8244</v>
      </c>
      <c r="B56" s="3">
        <v>1</v>
      </c>
      <c r="C56" s="40">
        <v>1</v>
      </c>
      <c r="E56" s="40"/>
      <c r="F56" s="40"/>
      <c r="G56" s="40"/>
      <c r="H56" s="40"/>
      <c r="I56" s="40"/>
    </row>
    <row r="57" spans="1:11" x14ac:dyDescent="0.55000000000000004">
      <c r="A57" s="40" t="s">
        <v>8225</v>
      </c>
      <c r="B57" s="3">
        <v>0.61409395973154357</v>
      </c>
      <c r="C57" s="40">
        <v>596</v>
      </c>
      <c r="E57" s="40"/>
      <c r="F57" s="40"/>
      <c r="G57" s="57"/>
      <c r="H57" s="40"/>
      <c r="I57" s="40"/>
      <c r="K57" s="44"/>
    </row>
    <row r="58" spans="1:11" x14ac:dyDescent="0.55000000000000004">
      <c r="A58" s="40" t="s">
        <v>8239</v>
      </c>
      <c r="B58" s="3">
        <v>0.6</v>
      </c>
      <c r="C58" s="40">
        <v>5</v>
      </c>
      <c r="E58" s="40"/>
      <c r="F58" s="40"/>
      <c r="G58" s="57"/>
      <c r="H58" s="40"/>
      <c r="I58" s="40"/>
      <c r="K58" s="44"/>
    </row>
    <row r="59" spans="1:11" x14ac:dyDescent="0.55000000000000004">
      <c r="A59" s="40" t="s">
        <v>8241</v>
      </c>
      <c r="B59" s="3">
        <v>0.5714285714285714</v>
      </c>
      <c r="C59" s="40">
        <v>14</v>
      </c>
      <c r="E59" s="40"/>
      <c r="F59" s="40"/>
      <c r="G59" s="57"/>
      <c r="H59" s="40"/>
      <c r="I59" s="40"/>
      <c r="K59" s="44"/>
    </row>
    <row r="60" spans="1:11" x14ac:dyDescent="0.55000000000000004">
      <c r="A60" s="40" t="s">
        <v>8224</v>
      </c>
      <c r="B60" s="3">
        <v>0.54941763727121462</v>
      </c>
      <c r="C60" s="40">
        <v>3005</v>
      </c>
      <c r="E60" s="40"/>
      <c r="F60" s="40"/>
      <c r="G60" s="57"/>
      <c r="H60" s="40"/>
      <c r="I60" s="40"/>
      <c r="K60" s="44"/>
    </row>
    <row r="61" spans="1:11" x14ac:dyDescent="0.55000000000000004">
      <c r="A61" s="40" t="s">
        <v>8227</v>
      </c>
      <c r="B61" s="3">
        <v>0.52380952380952384</v>
      </c>
      <c r="C61" s="40">
        <v>21</v>
      </c>
      <c r="E61" s="40"/>
      <c r="F61" s="40"/>
      <c r="G61" s="57"/>
      <c r="H61" s="40"/>
      <c r="I61" s="40"/>
      <c r="K61" s="44"/>
    </row>
    <row r="62" spans="1:11" x14ac:dyDescent="0.55000000000000004">
      <c r="A62" s="40" t="s">
        <v>8242</v>
      </c>
      <c r="B62" s="3">
        <v>0.5</v>
      </c>
      <c r="C62" s="40">
        <v>2</v>
      </c>
      <c r="E62" s="40"/>
      <c r="F62" s="40"/>
      <c r="G62" s="57"/>
      <c r="H62" s="40"/>
      <c r="I62" s="40"/>
      <c r="K62" s="44"/>
    </row>
    <row r="63" spans="1:11" x14ac:dyDescent="0.55000000000000004">
      <c r="A63" s="40" t="s">
        <v>8229</v>
      </c>
      <c r="B63" s="3">
        <v>0.44137931034482758</v>
      </c>
      <c r="C63" s="40">
        <v>145</v>
      </c>
      <c r="E63" s="40"/>
      <c r="F63" s="40"/>
      <c r="G63" s="57"/>
      <c r="H63" s="40"/>
      <c r="I63" s="40"/>
      <c r="K63" s="44"/>
    </row>
    <row r="64" spans="1:11" x14ac:dyDescent="0.55000000000000004">
      <c r="A64" s="40" t="s">
        <v>8236</v>
      </c>
      <c r="B64" s="3">
        <v>0.43396226415094341</v>
      </c>
      <c r="C64" s="40">
        <v>53</v>
      </c>
      <c r="E64" s="40"/>
      <c r="F64" s="40"/>
      <c r="G64" s="57"/>
      <c r="H64" s="40"/>
      <c r="I64" s="40"/>
      <c r="K64" s="44"/>
    </row>
    <row r="65" spans="1:11" x14ac:dyDescent="0.55000000000000004">
      <c r="A65" s="40" t="s">
        <v>8230</v>
      </c>
      <c r="B65" s="3">
        <v>0.4</v>
      </c>
      <c r="C65" s="40">
        <v>25</v>
      </c>
      <c r="E65" s="40"/>
      <c r="F65" s="40"/>
      <c r="G65" s="57"/>
      <c r="H65" s="40"/>
      <c r="I65" s="40"/>
      <c r="K65" s="44"/>
    </row>
    <row r="66" spans="1:11" x14ac:dyDescent="0.55000000000000004">
      <c r="A66" s="40" t="s">
        <v>8235</v>
      </c>
      <c r="B66" s="3">
        <v>0.33333333333333331</v>
      </c>
      <c r="C66" s="40">
        <v>21</v>
      </c>
      <c r="E66" s="40"/>
      <c r="F66" s="40"/>
      <c r="G66" s="57"/>
      <c r="H66" s="40"/>
      <c r="I66" s="40"/>
      <c r="K66" s="44"/>
    </row>
    <row r="67" spans="1:11" x14ac:dyDescent="0.55000000000000004">
      <c r="A67" s="40" t="s">
        <v>8232</v>
      </c>
      <c r="B67" s="3">
        <v>0.2857142857142857</v>
      </c>
      <c r="C67" s="40">
        <v>14</v>
      </c>
      <c r="E67" s="40"/>
      <c r="F67" s="40"/>
      <c r="G67" s="57"/>
      <c r="H67" s="40"/>
      <c r="I67" s="40"/>
      <c r="K67" s="44"/>
    </row>
    <row r="68" spans="1:11" x14ac:dyDescent="0.55000000000000004">
      <c r="A68" s="40" t="s">
        <v>8234</v>
      </c>
      <c r="B68" s="3">
        <v>0.2857142857142857</v>
      </c>
      <c r="C68" s="40">
        <v>7</v>
      </c>
      <c r="E68" s="40"/>
      <c r="F68" s="40"/>
      <c r="G68" s="57"/>
      <c r="H68" s="40"/>
      <c r="I68" s="40"/>
      <c r="K68" s="44"/>
    </row>
    <row r="69" spans="1:11" x14ac:dyDescent="0.55000000000000004">
      <c r="A69" s="40" t="s">
        <v>8226</v>
      </c>
      <c r="B69" s="3">
        <v>0.25675675675675674</v>
      </c>
      <c r="C69" s="40">
        <v>74</v>
      </c>
      <c r="E69" s="40"/>
      <c r="F69" s="40"/>
      <c r="G69" s="57"/>
      <c r="H69" s="40"/>
      <c r="I69" s="40"/>
      <c r="K69" s="44"/>
    </row>
    <row r="70" spans="1:11" x14ac:dyDescent="0.55000000000000004">
      <c r="A70" s="40" t="s">
        <v>8228</v>
      </c>
      <c r="B70" s="3">
        <v>0.25</v>
      </c>
      <c r="C70" s="40">
        <v>12</v>
      </c>
      <c r="E70" s="40"/>
      <c r="F70" s="40"/>
      <c r="G70" s="57"/>
      <c r="H70" s="40"/>
      <c r="I70" s="40"/>
      <c r="K70" s="44"/>
    </row>
    <row r="71" spans="1:11" x14ac:dyDescent="0.55000000000000004">
      <c r="A71" s="40" t="s">
        <v>8237</v>
      </c>
      <c r="B71" s="3">
        <v>0.2413793103448276</v>
      </c>
      <c r="C71" s="40">
        <v>29</v>
      </c>
      <c r="E71" s="40"/>
      <c r="F71" s="40"/>
      <c r="G71" s="57"/>
      <c r="H71" s="40"/>
      <c r="I71" s="40"/>
      <c r="K71" s="44"/>
    </row>
    <row r="72" spans="1:11" x14ac:dyDescent="0.55000000000000004">
      <c r="A72" s="40" t="s">
        <v>8240</v>
      </c>
      <c r="B72" s="3">
        <v>0.16666666666666666</v>
      </c>
      <c r="C72" s="40">
        <v>6</v>
      </c>
      <c r="E72" s="40"/>
      <c r="F72" s="40"/>
      <c r="G72" s="57"/>
      <c r="H72" s="40"/>
      <c r="I72" s="40"/>
      <c r="K72" s="44"/>
    </row>
    <row r="73" spans="1:11" x14ac:dyDescent="0.55000000000000004">
      <c r="A73" s="40" t="s">
        <v>8233</v>
      </c>
      <c r="B73" s="3">
        <v>0.1</v>
      </c>
      <c r="C73" s="40">
        <v>20</v>
      </c>
      <c r="E73" s="40"/>
      <c r="F73" s="40"/>
      <c r="G73" s="57"/>
      <c r="H73" s="40"/>
      <c r="I73" s="40"/>
      <c r="K73" s="44"/>
    </row>
    <row r="74" spans="1:11" x14ac:dyDescent="0.55000000000000004">
      <c r="A74" s="40" t="s">
        <v>8238</v>
      </c>
      <c r="B74" s="3">
        <v>0</v>
      </c>
      <c r="C74" s="40">
        <v>9</v>
      </c>
      <c r="E74" s="40"/>
      <c r="F74" s="40"/>
      <c r="G74" s="57"/>
      <c r="H74" s="40"/>
      <c r="I74" s="40"/>
      <c r="K74" s="44"/>
    </row>
    <row r="75" spans="1:11" x14ac:dyDescent="0.55000000000000004">
      <c r="A75" s="40" t="s">
        <v>8231</v>
      </c>
      <c r="B75" s="3">
        <v>0</v>
      </c>
      <c r="C75" s="40">
        <v>3</v>
      </c>
      <c r="E75" s="40"/>
      <c r="F75" s="40"/>
      <c r="G75" s="57"/>
      <c r="H75" s="40"/>
      <c r="I75" s="40"/>
      <c r="K75" s="44"/>
    </row>
    <row r="76" spans="1:11" x14ac:dyDescent="0.55000000000000004">
      <c r="E76" s="40"/>
      <c r="F76" s="40"/>
      <c r="G76" s="57"/>
      <c r="H76" s="40"/>
      <c r="I76" s="40"/>
      <c r="K76" s="44"/>
    </row>
    <row r="77" spans="1:11" x14ac:dyDescent="0.55000000000000004">
      <c r="G77" s="8"/>
      <c r="H77" s="44"/>
      <c r="I77" s="44"/>
      <c r="K77" s="44"/>
    </row>
    <row r="80" spans="1:11" x14ac:dyDescent="0.55000000000000004">
      <c r="A80" s="8"/>
      <c r="B80" s="44"/>
      <c r="C80" s="44"/>
      <c r="D80" s="44"/>
      <c r="E80" s="44"/>
    </row>
    <row r="81" spans="1:5" x14ac:dyDescent="0.55000000000000004">
      <c r="A81" s="8"/>
      <c r="B81" s="44"/>
      <c r="C81" s="44"/>
      <c r="D81" s="44"/>
      <c r="E81" s="44"/>
    </row>
    <row r="82" spans="1:5" x14ac:dyDescent="0.55000000000000004">
      <c r="A82" s="8"/>
      <c r="B82" s="44"/>
      <c r="C82" s="44"/>
      <c r="D82" s="44"/>
      <c r="E82" s="44"/>
    </row>
    <row r="83" spans="1:5" x14ac:dyDescent="0.55000000000000004">
      <c r="A83" s="8"/>
      <c r="B83" s="44"/>
      <c r="C83" s="44"/>
      <c r="D83" s="44"/>
      <c r="E83" s="44"/>
    </row>
    <row r="84" spans="1:5" x14ac:dyDescent="0.55000000000000004">
      <c r="A84" s="8"/>
      <c r="B84" s="44"/>
      <c r="C84" s="44"/>
      <c r="D84" s="44"/>
      <c r="E84" s="44"/>
    </row>
    <row r="85" spans="1:5" x14ac:dyDescent="0.55000000000000004">
      <c r="A85" s="8"/>
      <c r="B85" s="44"/>
      <c r="C85" s="44"/>
      <c r="D85" s="44"/>
      <c r="E85" s="44"/>
    </row>
    <row r="86" spans="1:5" x14ac:dyDescent="0.55000000000000004">
      <c r="A86" s="8"/>
      <c r="B86" s="44"/>
      <c r="C86" s="44"/>
      <c r="D86" s="44"/>
      <c r="E86" s="44"/>
    </row>
    <row r="87" spans="1:5" x14ac:dyDescent="0.55000000000000004">
      <c r="A87" s="8"/>
      <c r="B87" s="44"/>
      <c r="C87" s="44"/>
      <c r="D87" s="44"/>
      <c r="E87" s="44"/>
    </row>
    <row r="88" spans="1:5" x14ac:dyDescent="0.55000000000000004">
      <c r="A88" s="8"/>
      <c r="B88" s="44"/>
      <c r="C88" s="44"/>
      <c r="D88" s="44"/>
      <c r="E88" s="44"/>
    </row>
    <row r="89" spans="1:5" x14ac:dyDescent="0.55000000000000004">
      <c r="A89" s="8"/>
      <c r="B89" s="44"/>
      <c r="C89" s="44"/>
      <c r="D89" s="44"/>
      <c r="E89" s="44"/>
    </row>
    <row r="90" spans="1:5" x14ac:dyDescent="0.55000000000000004">
      <c r="A90" s="8"/>
      <c r="B90" s="44"/>
      <c r="C90" s="44"/>
      <c r="D90" s="44"/>
      <c r="E90" s="44"/>
    </row>
    <row r="91" spans="1:5" x14ac:dyDescent="0.55000000000000004">
      <c r="A91" s="8"/>
      <c r="B91" s="44"/>
      <c r="C91" s="44"/>
      <c r="D91" s="44"/>
      <c r="E91" s="44"/>
    </row>
    <row r="92" spans="1:5" x14ac:dyDescent="0.55000000000000004">
      <c r="A92" s="8"/>
      <c r="B92" s="44"/>
      <c r="C92" s="44"/>
      <c r="D92" s="44"/>
      <c r="E92" s="44"/>
    </row>
    <row r="93" spans="1:5" x14ac:dyDescent="0.55000000000000004">
      <c r="A93" s="8"/>
      <c r="B93" s="44"/>
      <c r="C93" s="44"/>
      <c r="D93" s="44"/>
      <c r="E93" s="44"/>
    </row>
    <row r="94" spans="1:5" x14ac:dyDescent="0.55000000000000004">
      <c r="A94" s="8"/>
      <c r="B94" s="44"/>
      <c r="C94" s="44"/>
      <c r="D94" s="44"/>
      <c r="E94" s="44"/>
    </row>
    <row r="95" spans="1:5" x14ac:dyDescent="0.55000000000000004">
      <c r="A95" s="8"/>
      <c r="B95" s="44"/>
      <c r="C95" s="44"/>
      <c r="D95" s="44"/>
      <c r="E95" s="44"/>
    </row>
    <row r="96" spans="1:5" x14ac:dyDescent="0.55000000000000004">
      <c r="A96" s="8"/>
      <c r="B96" s="44"/>
      <c r="C96" s="44"/>
      <c r="D96" s="44"/>
      <c r="E96" s="44"/>
    </row>
    <row r="97" spans="1:5" x14ac:dyDescent="0.55000000000000004">
      <c r="A97" s="8"/>
      <c r="B97" s="44"/>
      <c r="C97" s="44"/>
      <c r="D97" s="44"/>
      <c r="E97" s="44"/>
    </row>
    <row r="98" spans="1:5" x14ac:dyDescent="0.55000000000000004">
      <c r="A98" s="8"/>
      <c r="B98" s="44"/>
      <c r="C98" s="44"/>
      <c r="D98" s="44"/>
      <c r="E98" s="44"/>
    </row>
    <row r="99" spans="1:5" x14ac:dyDescent="0.55000000000000004">
      <c r="A99" s="8"/>
      <c r="B99" s="44"/>
      <c r="C99" s="44"/>
      <c r="D99" s="44"/>
      <c r="E99" s="44"/>
    </row>
    <row r="100" spans="1:5" x14ac:dyDescent="0.55000000000000004">
      <c r="A100" s="8"/>
      <c r="B100" s="44"/>
      <c r="C100" s="44"/>
      <c r="D100" s="44"/>
      <c r="E100" s="44"/>
    </row>
    <row r="101" spans="1:5" x14ac:dyDescent="0.55000000000000004">
      <c r="A101" s="8"/>
      <c r="B101" s="44"/>
      <c r="C101" s="44"/>
      <c r="D101" s="44"/>
      <c r="E101" s="44"/>
    </row>
  </sheetData>
  <mergeCells count="1">
    <mergeCell ref="A29:D29"/>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FC339-9E54-455D-8D78-2FAA4351AE5B}">
  <sheetPr codeName="Sheet4"/>
  <dimension ref="A1:I30"/>
  <sheetViews>
    <sheetView workbookViewId="0">
      <selection activeCell="F17" sqref="F17"/>
    </sheetView>
  </sheetViews>
  <sheetFormatPr defaultRowHeight="14.4" x14ac:dyDescent="0.55000000000000004"/>
  <cols>
    <col min="1" max="1" width="15.7890625" customWidth="1"/>
    <col min="2" max="2" width="11.05078125" customWidth="1"/>
    <col min="3" max="3" width="9.3671875" customWidth="1"/>
    <col min="4" max="4" width="10.15625" customWidth="1"/>
    <col min="5" max="5" width="11.47265625" bestFit="1" customWidth="1"/>
    <col min="6" max="6" width="11.47265625" customWidth="1"/>
    <col min="7" max="7" width="11.15625" customWidth="1"/>
    <col min="8" max="8" width="8.7890625" customWidth="1"/>
    <col min="9" max="9" width="11.15625" customWidth="1"/>
  </cols>
  <sheetData>
    <row r="1" spans="1:9" s="1" customFormat="1" ht="28.8" x14ac:dyDescent="0.55000000000000004">
      <c r="A1" s="1" t="s">
        <v>8307</v>
      </c>
      <c r="B1" s="1" t="s">
        <v>9234</v>
      </c>
      <c r="C1" s="1" t="s">
        <v>9235</v>
      </c>
      <c r="D1" s="1" t="s">
        <v>9236</v>
      </c>
      <c r="E1" s="1" t="s">
        <v>9237</v>
      </c>
      <c r="F1" s="1" t="s">
        <v>9238</v>
      </c>
      <c r="G1" s="1" t="s">
        <v>9231</v>
      </c>
      <c r="H1" s="1" t="s">
        <v>9232</v>
      </c>
      <c r="I1" s="1" t="s">
        <v>9233</v>
      </c>
    </row>
    <row r="2" spans="1:9" x14ac:dyDescent="0.55000000000000004">
      <c r="A2" t="s">
        <v>8459</v>
      </c>
      <c r="B2">
        <f>COUNTIFS(Raw_Data!$F:$F,"successful",Raw_Data!$U:$U,"&lt;1000")</f>
        <v>241</v>
      </c>
      <c r="C2">
        <f>COUNTIFS(Raw_Data!$F:$F,"failed",Raw_Data!$U:$U,"&lt;1000")</f>
        <v>1201</v>
      </c>
      <c r="D2">
        <f>COUNTIFS(Raw_Data!$F:$F,"canceled",Raw_Data!$U:$U,"&lt;1000")</f>
        <v>261</v>
      </c>
      <c r="E2">
        <f>COUNTIFS(Raw_Data!$U:$U,"&lt;1000")</f>
        <v>1734</v>
      </c>
      <c r="F2">
        <f>B2+C2+D2</f>
        <v>1703</v>
      </c>
      <c r="G2" s="3">
        <f>B2/$E2</f>
        <v>0.1389850057670127</v>
      </c>
      <c r="H2" s="3">
        <f>C2/$E2</f>
        <v>0.6926182237600923</v>
      </c>
      <c r="I2" s="3">
        <f>D2/$E2</f>
        <v>0.15051903114186851</v>
      </c>
    </row>
    <row r="3" spans="1:9" x14ac:dyDescent="0.55000000000000004">
      <c r="A3" t="s">
        <v>8460</v>
      </c>
      <c r="B3">
        <f>COUNTIFS(Raw_Data!$F:$F,"successful",Raw_Data!$U:$U,"&gt;=1000",Raw_Data!$U:$U,"&lt;5000")</f>
        <v>902</v>
      </c>
      <c r="C3">
        <f>COUNTIFS(Raw_Data!$F:$F,"failed",Raw_Data!$U:$U,"&gt;=1000",Raw_Data!$U:$U,"&lt;5000")</f>
        <v>222</v>
      </c>
      <c r="D3">
        <f>COUNTIFS(Raw_Data!$F:$F,"canceled",Raw_Data!$U:$U,"&gt;=1000",Raw_Data!$U:$U,"&lt;5000")</f>
        <v>51</v>
      </c>
      <c r="E3">
        <f>COUNTIFS(Raw_Data!$U:$U,"&gt;=1000",Raw_Data!$U:$U,"&lt;5000")</f>
        <v>1188</v>
      </c>
      <c r="F3">
        <f t="shared" ref="F3:F14" si="0">B3+C3+D3</f>
        <v>1175</v>
      </c>
      <c r="G3" s="3">
        <f t="shared" ref="G3:G13" si="1">B3/$E3</f>
        <v>0.7592592592592593</v>
      </c>
      <c r="H3" s="3">
        <f t="shared" ref="H3:H13" si="2">C3/$E3</f>
        <v>0.18686868686868688</v>
      </c>
      <c r="I3" s="3">
        <f t="shared" ref="I3:I13" si="3">D3/$E3</f>
        <v>4.2929292929292928E-2</v>
      </c>
    </row>
    <row r="4" spans="1:9" x14ac:dyDescent="0.55000000000000004">
      <c r="A4" t="s">
        <v>8461</v>
      </c>
      <c r="B4">
        <f>COUNTIFS(Raw_Data!$F:$F,"successful",Raw_Data!$U:$U,"&gt;=5000",Raw_Data!$U:$U,"&lt;10000")</f>
        <v>396</v>
      </c>
      <c r="C4">
        <f>COUNTIFS(Raw_Data!$F:$F,"failed",Raw_Data!$U:$U,"&gt;=5000",Raw_Data!$U:$U,"&lt;10000")</f>
        <v>52</v>
      </c>
      <c r="D4">
        <f>COUNTIFS(Raw_Data!$F:$F,"canceled",Raw_Data!$U:$U,"&gt;=5000",Raw_Data!$U:$U,"&lt;10000")</f>
        <v>13</v>
      </c>
      <c r="E4">
        <f>COUNTIFS(Raw_Data!$U:$U,"&gt;=5000",Raw_Data!$U:$U,"&lt;10000")</f>
        <v>464</v>
      </c>
      <c r="F4">
        <f t="shared" si="0"/>
        <v>461</v>
      </c>
      <c r="G4" s="3">
        <f t="shared" si="1"/>
        <v>0.85344827586206895</v>
      </c>
      <c r="H4" s="3">
        <f t="shared" si="2"/>
        <v>0.11206896551724138</v>
      </c>
      <c r="I4" s="3">
        <f t="shared" si="3"/>
        <v>2.8017241379310345E-2</v>
      </c>
    </row>
    <row r="5" spans="1:9" x14ac:dyDescent="0.55000000000000004">
      <c r="A5" t="s">
        <v>8462</v>
      </c>
      <c r="B5">
        <f>COUNTIFS(Raw_Data!$F:$F,"successful",Raw_Data!$U:$U,"&gt;=10000",Raw_Data!$U:$U,"&lt;15000")</f>
        <v>178</v>
      </c>
      <c r="C5">
        <f>COUNTIFS(Raw_Data!$F:$F,"failed",Raw_Data!$U:$U,"&gt;=10000",Raw_Data!$U:$U,"&lt;15000")</f>
        <v>18</v>
      </c>
      <c r="D5">
        <f>COUNTIFS(Raw_Data!$F:$F,"canceled",Raw_Data!$U:$U,"&gt;=10000",Raw_Data!$U:$U,"&lt;15000")</f>
        <v>5</v>
      </c>
      <c r="E5">
        <f>COUNTIFS(Raw_Data!$U:$U,"&gt;=10000",Raw_Data!$U:$U,"&lt;15000")</f>
        <v>202</v>
      </c>
      <c r="F5">
        <f t="shared" si="0"/>
        <v>201</v>
      </c>
      <c r="G5" s="3">
        <f t="shared" si="1"/>
        <v>0.88118811881188119</v>
      </c>
      <c r="H5" s="3">
        <f t="shared" si="2"/>
        <v>8.9108910891089105E-2</v>
      </c>
      <c r="I5" s="3">
        <f t="shared" si="3"/>
        <v>2.4752475247524754E-2</v>
      </c>
    </row>
    <row r="6" spans="1:9" x14ac:dyDescent="0.55000000000000004">
      <c r="A6" t="s">
        <v>8463</v>
      </c>
      <c r="B6">
        <f>COUNTIFS(Raw_Data!$F:$F,"successful",Raw_Data!$U:$U,"&gt;=15000",Raw_Data!$U:$U,"&lt;20000")</f>
        <v>100</v>
      </c>
      <c r="C6">
        <f>COUNTIFS(Raw_Data!$F:$F,"failed",Raw_Data!$U:$U,"&gt;=15000",Raw_Data!$U:$U,"&lt;20000")</f>
        <v>11</v>
      </c>
      <c r="D6">
        <f>COUNTIFS(Raw_Data!$F:$F,"canceled",Raw_Data!$U:$U,"&gt;=15000",Raw_Data!$U:$U,"&lt;20000")</f>
        <v>2</v>
      </c>
      <c r="E6">
        <f>COUNTIFS(Raw_Data!$U:$U,"&gt;=15000",Raw_Data!$U:$U,"&lt;20000")</f>
        <v>114</v>
      </c>
      <c r="F6">
        <f t="shared" si="0"/>
        <v>113</v>
      </c>
      <c r="G6" s="3">
        <f t="shared" si="1"/>
        <v>0.8771929824561403</v>
      </c>
      <c r="H6" s="3">
        <f t="shared" si="2"/>
        <v>9.6491228070175433E-2</v>
      </c>
      <c r="I6" s="3">
        <f t="shared" si="3"/>
        <v>1.7543859649122806E-2</v>
      </c>
    </row>
    <row r="7" spans="1:9" x14ac:dyDescent="0.55000000000000004">
      <c r="A7" t="s">
        <v>8464</v>
      </c>
      <c r="B7">
        <f>COUNTIFS(Raw_Data!$F:$F,"successful",Raw_Data!$U:$U,"&gt;=20000",Raw_Data!$U:$U,"&lt;25000")</f>
        <v>58</v>
      </c>
      <c r="C7">
        <f>COUNTIFS(Raw_Data!$F:$F,"failed",Raw_Data!$U:$U,"&gt;=20000",Raw_Data!$U:$U,"&lt;25000")</f>
        <v>6</v>
      </c>
      <c r="D7">
        <f>COUNTIFS(Raw_Data!$F:$F,"canceled",Raw_Data!$U:$U,"&gt;=20000",Raw_Data!$U:$U,"&lt;25000")</f>
        <v>5</v>
      </c>
      <c r="E7">
        <f>COUNTIFS(Raw_Data!$U:$U,"&gt;=20000",Raw_Data!$U:$U,"&lt;25000")</f>
        <v>69</v>
      </c>
      <c r="F7">
        <f t="shared" si="0"/>
        <v>69</v>
      </c>
      <c r="G7" s="3">
        <f t="shared" si="1"/>
        <v>0.84057971014492749</v>
      </c>
      <c r="H7" s="3">
        <f t="shared" si="2"/>
        <v>8.6956521739130432E-2</v>
      </c>
      <c r="I7" s="3">
        <f t="shared" si="3"/>
        <v>7.2463768115942032E-2</v>
      </c>
    </row>
    <row r="8" spans="1:9" x14ac:dyDescent="0.55000000000000004">
      <c r="A8" t="s">
        <v>8465</v>
      </c>
      <c r="B8">
        <f>COUNTIFS(Raw_Data!$F:$F,"successful",Raw_Data!$U:$U,"&gt;=25000",Raw_Data!$U:$U,"&lt;30000")</f>
        <v>56</v>
      </c>
      <c r="C8">
        <f>COUNTIFS(Raw_Data!$F:$F,"failed",Raw_Data!$U:$U,"&gt;=25000",Raw_Data!$U:$U,"&lt;30000")</f>
        <v>6</v>
      </c>
      <c r="D8">
        <f>COUNTIFS(Raw_Data!$F:$F,"canceled",Raw_Data!$U:$U,"&gt;=25000",Raw_Data!$U:$U,"&lt;30000")</f>
        <v>0</v>
      </c>
      <c r="E8">
        <f>COUNTIFS(Raw_Data!$U:$U,"&gt;=25000",Raw_Data!$U:$U,"&lt;30000")</f>
        <v>62</v>
      </c>
      <c r="F8">
        <f t="shared" si="0"/>
        <v>62</v>
      </c>
      <c r="G8" s="3">
        <f t="shared" si="1"/>
        <v>0.90322580645161288</v>
      </c>
      <c r="H8" s="3">
        <f t="shared" si="2"/>
        <v>9.6774193548387094E-2</v>
      </c>
      <c r="I8" s="3">
        <f t="shared" si="3"/>
        <v>0</v>
      </c>
    </row>
    <row r="9" spans="1:9" x14ac:dyDescent="0.55000000000000004">
      <c r="A9" t="s">
        <v>8466</v>
      </c>
      <c r="B9">
        <f>COUNTIFS(Raw_Data!$F:$F,"successful",Raw_Data!$U:$U,"&gt;=30000",Raw_Data!$U:$U,"&lt;35000")</f>
        <v>47</v>
      </c>
      <c r="C9">
        <f>COUNTIFS(Raw_Data!$F:$F,"failed",Raw_Data!$U:$U,"&gt;=30000",Raw_Data!$U:$U,"&lt;35000")</f>
        <v>4</v>
      </c>
      <c r="D9">
        <f>COUNTIFS(Raw_Data!$F:$F,"canceled",Raw_Data!$U:$U,"&gt;=30000",Raw_Data!$U:$U,"&lt;35000")</f>
        <v>1</v>
      </c>
      <c r="E9">
        <f>COUNTIFS(Raw_Data!$U:$U,"&gt;=30000",Raw_Data!$U:$U,"&lt;35000")</f>
        <v>52</v>
      </c>
      <c r="F9">
        <f t="shared" si="0"/>
        <v>52</v>
      </c>
      <c r="G9" s="3">
        <f t="shared" si="1"/>
        <v>0.90384615384615385</v>
      </c>
      <c r="H9" s="3">
        <f t="shared" si="2"/>
        <v>7.6923076923076927E-2</v>
      </c>
      <c r="I9" s="3">
        <f t="shared" si="3"/>
        <v>1.9230769230769232E-2</v>
      </c>
    </row>
    <row r="10" spans="1:9" x14ac:dyDescent="0.55000000000000004">
      <c r="A10" t="s">
        <v>8467</v>
      </c>
      <c r="B10">
        <f>COUNTIFS(Raw_Data!$F:$F,"successful",Raw_Data!$U:$U,"&gt;=35000",Raw_Data!$U:$U,"&lt;40000")</f>
        <v>24</v>
      </c>
      <c r="C10">
        <f>COUNTIFS(Raw_Data!$F:$F,"failed",Raw_Data!$U:$U,"&gt;=35000",Raw_Data!$U:$U,"&lt;40000")</f>
        <v>4</v>
      </c>
      <c r="D10">
        <f>COUNTIFS(Raw_Data!$F:$F,"canceled",Raw_Data!$U:$U,"&gt;=35000",Raw_Data!$U:$U,"&lt;40000")</f>
        <v>0</v>
      </c>
      <c r="E10">
        <f>COUNTIFS(Raw_Data!$U:$U,"&gt;=35000",Raw_Data!$U:$U,"&lt;40000")</f>
        <v>28</v>
      </c>
      <c r="F10">
        <f t="shared" si="0"/>
        <v>28</v>
      </c>
      <c r="G10" s="3">
        <f t="shared" si="1"/>
        <v>0.8571428571428571</v>
      </c>
      <c r="H10" s="3">
        <f t="shared" si="2"/>
        <v>0.14285714285714285</v>
      </c>
      <c r="I10" s="3">
        <f t="shared" si="3"/>
        <v>0</v>
      </c>
    </row>
    <row r="11" spans="1:9" x14ac:dyDescent="0.55000000000000004">
      <c r="A11" t="s">
        <v>8468</v>
      </c>
      <c r="B11">
        <f>COUNTIFS(Raw_Data!$F:$F,"successful",Raw_Data!$U:$U,"&gt;=40000",Raw_Data!$U:$U,"&lt;45000")</f>
        <v>22</v>
      </c>
      <c r="C11">
        <f>COUNTIFS(Raw_Data!$F:$F,"failed",Raw_Data!$U:$U,"&gt;=40000",Raw_Data!$U:$U,"&lt;45000")</f>
        <v>1</v>
      </c>
      <c r="D11">
        <f>COUNTIFS(Raw_Data!$F:$F,"canceled",Raw_Data!$U:$U,"&gt;=40000",Raw_Data!$U:$U,"&lt;45000")</f>
        <v>2</v>
      </c>
      <c r="E11">
        <f>COUNTIFS(Raw_Data!$U:$U,"&gt;=40000",Raw_Data!$U:$U,"&lt;45000")</f>
        <v>25</v>
      </c>
      <c r="F11">
        <f t="shared" si="0"/>
        <v>25</v>
      </c>
      <c r="G11" s="3">
        <f t="shared" si="1"/>
        <v>0.88</v>
      </c>
      <c r="H11" s="3">
        <f t="shared" si="2"/>
        <v>0.04</v>
      </c>
      <c r="I11" s="3">
        <f t="shared" si="3"/>
        <v>0.08</v>
      </c>
    </row>
    <row r="12" spans="1:9" x14ac:dyDescent="0.55000000000000004">
      <c r="A12" t="s">
        <v>8469</v>
      </c>
      <c r="B12">
        <f>COUNTIFS(Raw_Data!$F:$F,"successful",Raw_Data!$U:$U,"&gt;=45000",Raw_Data!$U:$U,"&lt;50000")</f>
        <v>16</v>
      </c>
      <c r="C12">
        <f>COUNTIFS(Raw_Data!$F:$F,"failed",Raw_Data!$U:$U,"&gt;=45000",Raw_Data!$U:$U,"&lt;50000")</f>
        <v>1</v>
      </c>
      <c r="D12">
        <f>COUNTIFS(Raw_Data!$F:$F,"canceled",Raw_Data!$U:$U,"&gt;=45000",Raw_Data!$U:$U,"&lt;50000")</f>
        <v>0</v>
      </c>
      <c r="E12">
        <f>COUNTIFS(Raw_Data!$U:$U,"&gt;=45000",Raw_Data!$U:$U,"&lt;50000")</f>
        <v>17</v>
      </c>
      <c r="F12">
        <f t="shared" si="0"/>
        <v>17</v>
      </c>
      <c r="G12" s="3">
        <f t="shared" si="1"/>
        <v>0.94117647058823528</v>
      </c>
      <c r="H12" s="3">
        <f t="shared" si="2"/>
        <v>5.8823529411764705E-2</v>
      </c>
      <c r="I12" s="3">
        <f t="shared" si="3"/>
        <v>0</v>
      </c>
    </row>
    <row r="13" spans="1:9" ht="28.8" x14ac:dyDescent="0.55000000000000004">
      <c r="A13" s="1" t="s">
        <v>8470</v>
      </c>
      <c r="B13">
        <f>COUNTIFS(Raw_Data!$F:$F,"successful",Raw_Data!$U:$U,"&gt;=50000")</f>
        <v>145</v>
      </c>
      <c r="C13">
        <f>COUNTIFS(Raw_Data!$F:$F,"failed",Raw_Data!$U:$U,"&gt;=50000")</f>
        <v>4</v>
      </c>
      <c r="D13">
        <f>COUNTIFS(Raw_Data!$F:$F,"canceled",Raw_Data!$U:$U,"&gt;=50000")</f>
        <v>9</v>
      </c>
      <c r="E13">
        <f>COUNTIFS(Raw_Data!$U:$U,"&gt;=50000")</f>
        <v>159</v>
      </c>
      <c r="F13">
        <f t="shared" si="0"/>
        <v>158</v>
      </c>
      <c r="G13" s="3">
        <f t="shared" si="1"/>
        <v>0.91194968553459121</v>
      </c>
      <c r="H13" s="3">
        <f t="shared" si="2"/>
        <v>2.5157232704402517E-2</v>
      </c>
      <c r="I13" s="3">
        <f t="shared" si="3"/>
        <v>5.6603773584905662E-2</v>
      </c>
    </row>
    <row r="14" spans="1:9" x14ac:dyDescent="0.55000000000000004">
      <c r="A14" t="s">
        <v>8479</v>
      </c>
      <c r="B14">
        <f>SUM(B2:B13)</f>
        <v>2185</v>
      </c>
      <c r="C14">
        <f t="shared" ref="C14:E14" si="4">SUM(C2:C13)</f>
        <v>1530</v>
      </c>
      <c r="D14">
        <f t="shared" si="4"/>
        <v>349</v>
      </c>
      <c r="E14">
        <f t="shared" si="4"/>
        <v>4114</v>
      </c>
      <c r="F14">
        <f t="shared" si="0"/>
        <v>4064</v>
      </c>
    </row>
    <row r="16" spans="1:9" x14ac:dyDescent="0.55000000000000004">
      <c r="A16" s="51" t="s">
        <v>8471</v>
      </c>
      <c r="B16" s="51"/>
      <c r="C16" s="51"/>
      <c r="D16" s="51"/>
      <c r="E16" s="51"/>
      <c r="F16" s="52"/>
    </row>
    <row r="17" spans="1:4" ht="18.3" x14ac:dyDescent="0.7">
      <c r="B17" s="67" t="s">
        <v>9239</v>
      </c>
      <c r="C17" s="67"/>
      <c r="D17" s="67"/>
    </row>
    <row r="18" spans="1:4" x14ac:dyDescent="0.55000000000000004">
      <c r="A18" t="s">
        <v>8490</v>
      </c>
      <c r="B18" t="s">
        <v>8472</v>
      </c>
      <c r="C18" t="s">
        <v>8473</v>
      </c>
      <c r="D18" t="s">
        <v>8474</v>
      </c>
    </row>
    <row r="19" spans="1:4" x14ac:dyDescent="0.55000000000000004">
      <c r="A19">
        <v>1000</v>
      </c>
      <c r="B19" s="3">
        <f>B2/$F2</f>
        <v>0.14151497357604229</v>
      </c>
      <c r="C19" s="3">
        <f t="shared" ref="C19:D19" si="5">C2/$F2</f>
        <v>0.70522607163828532</v>
      </c>
      <c r="D19" s="3">
        <f t="shared" si="5"/>
        <v>0.15325895478567234</v>
      </c>
    </row>
    <row r="20" spans="1:4" x14ac:dyDescent="0.55000000000000004">
      <c r="A20">
        <v>5000</v>
      </c>
      <c r="B20" s="3">
        <f t="shared" ref="B20:D30" si="6">B3/$F3</f>
        <v>0.76765957446808508</v>
      </c>
      <c r="C20" s="3">
        <f t="shared" si="6"/>
        <v>0.18893617021276596</v>
      </c>
      <c r="D20" s="3">
        <f t="shared" si="6"/>
        <v>4.3404255319148939E-2</v>
      </c>
    </row>
    <row r="21" spans="1:4" x14ac:dyDescent="0.55000000000000004">
      <c r="A21">
        <v>10000</v>
      </c>
      <c r="B21" s="3">
        <f t="shared" si="6"/>
        <v>0.85900216919739691</v>
      </c>
      <c r="C21" s="3">
        <f t="shared" si="6"/>
        <v>0.11279826464208242</v>
      </c>
      <c r="D21" s="3">
        <f t="shared" si="6"/>
        <v>2.8199566160520606E-2</v>
      </c>
    </row>
    <row r="22" spans="1:4" x14ac:dyDescent="0.55000000000000004">
      <c r="A22">
        <v>15000</v>
      </c>
      <c r="B22" s="3">
        <f t="shared" si="6"/>
        <v>0.88557213930348255</v>
      </c>
      <c r="C22" s="3">
        <f t="shared" si="6"/>
        <v>8.9552238805970144E-2</v>
      </c>
      <c r="D22" s="3">
        <f t="shared" si="6"/>
        <v>2.4875621890547265E-2</v>
      </c>
    </row>
    <row r="23" spans="1:4" x14ac:dyDescent="0.55000000000000004">
      <c r="A23">
        <v>20000</v>
      </c>
      <c r="B23" s="3">
        <f t="shared" si="6"/>
        <v>0.88495575221238942</v>
      </c>
      <c r="C23" s="3">
        <f t="shared" si="6"/>
        <v>9.7345132743362831E-2</v>
      </c>
      <c r="D23" s="3">
        <f t="shared" si="6"/>
        <v>1.7699115044247787E-2</v>
      </c>
    </row>
    <row r="24" spans="1:4" x14ac:dyDescent="0.55000000000000004">
      <c r="A24">
        <v>25000</v>
      </c>
      <c r="B24" s="3">
        <f t="shared" si="6"/>
        <v>0.84057971014492749</v>
      </c>
      <c r="C24" s="3">
        <f t="shared" si="6"/>
        <v>8.6956521739130432E-2</v>
      </c>
      <c r="D24" s="3">
        <f t="shared" si="6"/>
        <v>7.2463768115942032E-2</v>
      </c>
    </row>
    <row r="25" spans="1:4" x14ac:dyDescent="0.55000000000000004">
      <c r="A25">
        <v>30000</v>
      </c>
      <c r="B25" s="3">
        <f t="shared" si="6"/>
        <v>0.90322580645161288</v>
      </c>
      <c r="C25" s="3">
        <f t="shared" si="6"/>
        <v>9.6774193548387094E-2</v>
      </c>
      <c r="D25" s="3">
        <f t="shared" si="6"/>
        <v>0</v>
      </c>
    </row>
    <row r="26" spans="1:4" x14ac:dyDescent="0.55000000000000004">
      <c r="A26">
        <v>35000</v>
      </c>
      <c r="B26" s="3">
        <f t="shared" si="6"/>
        <v>0.90384615384615385</v>
      </c>
      <c r="C26" s="3">
        <f t="shared" si="6"/>
        <v>7.6923076923076927E-2</v>
      </c>
      <c r="D26" s="3">
        <f t="shared" si="6"/>
        <v>1.9230769230769232E-2</v>
      </c>
    </row>
    <row r="27" spans="1:4" x14ac:dyDescent="0.55000000000000004">
      <c r="A27">
        <v>40000</v>
      </c>
      <c r="B27" s="3">
        <f t="shared" si="6"/>
        <v>0.8571428571428571</v>
      </c>
      <c r="C27" s="3">
        <f t="shared" si="6"/>
        <v>0.14285714285714285</v>
      </c>
      <c r="D27" s="3">
        <f t="shared" si="6"/>
        <v>0</v>
      </c>
    </row>
    <row r="28" spans="1:4" x14ac:dyDescent="0.55000000000000004">
      <c r="A28">
        <v>45000</v>
      </c>
      <c r="B28" s="3">
        <f t="shared" si="6"/>
        <v>0.88</v>
      </c>
      <c r="C28" s="3">
        <f t="shared" si="6"/>
        <v>0.04</v>
      </c>
      <c r="D28" s="3">
        <f t="shared" si="6"/>
        <v>0.08</v>
      </c>
    </row>
    <row r="29" spans="1:4" x14ac:dyDescent="0.55000000000000004">
      <c r="A29">
        <v>50000</v>
      </c>
      <c r="B29" s="3">
        <f t="shared" si="6"/>
        <v>0.94117647058823528</v>
      </c>
      <c r="C29" s="3">
        <f t="shared" si="6"/>
        <v>5.8823529411764705E-2</v>
      </c>
      <c r="D29" s="3">
        <f t="shared" si="6"/>
        <v>0</v>
      </c>
    </row>
    <row r="30" spans="1:4" x14ac:dyDescent="0.55000000000000004">
      <c r="A30">
        <v>55000</v>
      </c>
      <c r="B30" s="3">
        <f t="shared" si="6"/>
        <v>0.91772151898734178</v>
      </c>
      <c r="C30" s="3">
        <f t="shared" si="6"/>
        <v>2.5316455696202531E-2</v>
      </c>
      <c r="D30" s="3">
        <f t="shared" si="6"/>
        <v>5.6962025316455694E-2</v>
      </c>
    </row>
  </sheetData>
  <mergeCells count="1">
    <mergeCell ref="B17:D17"/>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0F04-1F41-4FF7-85E0-BEE559AC3AC1}">
  <sheetPr codeName="Sheet12"/>
  <dimension ref="A1:E12"/>
  <sheetViews>
    <sheetView showGridLines="0" workbookViewId="0">
      <selection activeCell="A2" sqref="A1:XFD1048576"/>
    </sheetView>
  </sheetViews>
  <sheetFormatPr defaultRowHeight="14.4" x14ac:dyDescent="0.55000000000000004"/>
  <cols>
    <col min="1" max="1" width="26.05078125" bestFit="1" customWidth="1"/>
    <col min="2" max="2" width="12.7890625" customWidth="1"/>
    <col min="3" max="3" width="11.05078125" customWidth="1"/>
    <col min="4" max="4" width="11.05078125" hidden="1" customWidth="1"/>
    <col min="5" max="5" width="8.47265625" customWidth="1"/>
  </cols>
  <sheetData>
    <row r="1" spans="1:5" ht="14.7" thickBot="1" x14ac:dyDescent="0.6"/>
    <row r="2" spans="1:5" ht="17.100000000000001" thickTop="1" x14ac:dyDescent="0.65">
      <c r="A2" s="68" t="s">
        <v>8487</v>
      </c>
      <c r="B2" s="69"/>
      <c r="C2" s="69"/>
      <c r="D2" s="69"/>
      <c r="E2" s="70"/>
    </row>
    <row r="3" spans="1:5" x14ac:dyDescent="0.55000000000000004">
      <c r="A3" s="25"/>
      <c r="B3" s="23"/>
      <c r="C3" s="23"/>
      <c r="D3" s="23"/>
      <c r="E3" s="26"/>
    </row>
    <row r="4" spans="1:5" s="22" customFormat="1" x14ac:dyDescent="0.55000000000000004">
      <c r="A4" s="27"/>
      <c r="B4" s="32" t="s">
        <v>8488</v>
      </c>
      <c r="C4" s="32" t="s">
        <v>8472</v>
      </c>
      <c r="D4" s="32" t="s">
        <v>8474</v>
      </c>
      <c r="E4" s="33" t="s">
        <v>8473</v>
      </c>
    </row>
    <row r="5" spans="1:5" x14ac:dyDescent="0.55000000000000004">
      <c r="A5" s="28" t="s">
        <v>8481</v>
      </c>
      <c r="B5" s="34">
        <f>AVERAGE(backers_count)</f>
        <v>112.60233349538163</v>
      </c>
      <c r="C5" s="34">
        <f t="array" ref="C5">AVERAGE(IF(Raw_Data!F:F="successful",Raw_Data!L:L))</f>
        <v>194.42517162471395</v>
      </c>
      <c r="D5" s="34">
        <f t="array" ref="D5">AVERAGE(IF(Raw_Data!F:F="canceled",Raw_Data!L:L))</f>
        <v>27.306590257879655</v>
      </c>
      <c r="E5" s="35">
        <f t="array" ref="E5">AVERAGE(IF(Raw_Data!F:F="failed",Raw_Data!L:L))</f>
        <v>17.709803921568628</v>
      </c>
    </row>
    <row r="6" spans="1:5" x14ac:dyDescent="0.55000000000000004">
      <c r="A6" s="28" t="s">
        <v>8482</v>
      </c>
      <c r="B6" s="34">
        <f>MEDIAN(backers_count)</f>
        <v>25</v>
      </c>
      <c r="C6" s="34">
        <f t="array" ref="C6">MEDIAN(IF(Raw_Data!F:F="successful",Raw_Data!L:L))</f>
        <v>62</v>
      </c>
      <c r="D6" s="34">
        <f t="array" ref="D6">MEDIAN(IF(Raw_Data!F:F="canceled",Raw_Data!L:L))</f>
        <v>2</v>
      </c>
      <c r="E6" s="35">
        <f t="array" ref="E6">MEDIAN(IF(Raw_Data!F:F="failed",Raw_Data!L:L))</f>
        <v>4</v>
      </c>
    </row>
    <row r="7" spans="1:5" x14ac:dyDescent="0.55000000000000004">
      <c r="A7" s="28" t="s">
        <v>8483</v>
      </c>
      <c r="B7" s="24">
        <f>MIN(backers_count)</f>
        <v>0</v>
      </c>
      <c r="C7" s="24">
        <f t="array" ref="C7">MIN(IF(Raw_Data!F:F="successful",Raw_Data!L:L))</f>
        <v>1</v>
      </c>
      <c r="D7" s="24">
        <f t="array" ref="D7">MIN(IF(Raw_Data!F:F="canceled",Raw_Data!L:L))</f>
        <v>0</v>
      </c>
      <c r="E7" s="36">
        <f t="array" ref="E7">MIN(IF(Raw_Data!F:F="failed",Raw_Data!L:L))</f>
        <v>0</v>
      </c>
    </row>
    <row r="8" spans="1:5" x14ac:dyDescent="0.55000000000000004">
      <c r="A8" s="28" t="s">
        <v>8484</v>
      </c>
      <c r="B8" s="24">
        <f>MAX(backers_count)</f>
        <v>26457</v>
      </c>
      <c r="C8" s="24">
        <f t="array" ref="C8">MAX(IF(Raw_Data!F:F="successful",Raw_Data!L:L))</f>
        <v>26457</v>
      </c>
      <c r="D8" s="24">
        <f t="array" ref="D8">MAX(IF(Raw_Data!F:F="canceled",Raw_Data!L:L))</f>
        <v>1501</v>
      </c>
      <c r="E8" s="36">
        <f t="array" ref="E8">MAX(IF(Raw_Data!F:F="failed",Raw_Data!L:L))</f>
        <v>1293</v>
      </c>
    </row>
    <row r="9" spans="1:5" x14ac:dyDescent="0.55000000000000004">
      <c r="A9" s="28" t="s">
        <v>8485</v>
      </c>
      <c r="B9" s="37">
        <f t="array" ref="B9">_xlfn.VAR.S(backers_count)</f>
        <v>388861.88364152651</v>
      </c>
      <c r="C9" s="37">
        <f t="array" ref="C9">_xlfn.VAR.S(IF(Raw_Data!F:F="successful",Raw_Data!L:L))</f>
        <v>713167.37912800396</v>
      </c>
      <c r="D9" s="37">
        <f t="array" ref="D9">_xlfn.VAR.S(IF(Raw_Data!F:F="canceled",Raw_Data!L:L))</f>
        <v>11648.45458288048</v>
      </c>
      <c r="E9" s="35">
        <f t="array" ref="E9">_xlfn.VAR.S(IF(Raw_Data!F:F="failed",Raw_Data!L:L))</f>
        <v>3775.6894394644714</v>
      </c>
    </row>
    <row r="10" spans="1:5" x14ac:dyDescent="0.55000000000000004">
      <c r="A10" s="28" t="s">
        <v>8486</v>
      </c>
      <c r="B10" s="38">
        <f t="array" ref="B10">_xlfn.STDEV.S(backers_count)</f>
        <v>623.58791171856956</v>
      </c>
      <c r="C10" s="34">
        <f t="array" ref="C10">_xlfn.STDEV.S(IF(Raw_Data!F:F="successful",Raw_Data!L:L))</f>
        <v>844.49237955591047</v>
      </c>
      <c r="D10" s="34">
        <f t="array" ref="D10">_xlfn.STDEV.S(IF(Raw_Data!F:F="canceled",Raw_Data!L:L))</f>
        <v>107.92800648061873</v>
      </c>
      <c r="E10" s="35">
        <f t="array" ref="E10">_xlfn.STDEV.S(IF(Raw_Data!F:F="failed",Raw_Data!L:L))</f>
        <v>61.446638959868842</v>
      </c>
    </row>
    <row r="11" spans="1:5" ht="14.7" thickBot="1" x14ac:dyDescent="0.6">
      <c r="A11" s="29"/>
      <c r="B11" s="30"/>
      <c r="C11" s="30"/>
      <c r="D11" s="30"/>
      <c r="E11" s="31"/>
    </row>
    <row r="12" spans="1:5" ht="14.7" thickTop="1" x14ac:dyDescent="0.55000000000000004"/>
  </sheetData>
  <mergeCells count="1">
    <mergeCell ref="A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2B0BF-409D-4C5E-9419-5593EACC10DB}">
  <dimension ref="A1:J2186"/>
  <sheetViews>
    <sheetView showGridLines="0" workbookViewId="0">
      <selection activeCell="B5" sqref="B5"/>
    </sheetView>
  </sheetViews>
  <sheetFormatPr defaultRowHeight="14.4" x14ac:dyDescent="0.55000000000000004"/>
  <cols>
    <col min="1" max="1" width="26.05078125" bestFit="1" customWidth="1"/>
    <col min="2" max="2" width="12.7890625" customWidth="1"/>
    <col min="3" max="3" width="11.05078125" customWidth="1"/>
    <col min="4" max="4" width="8.47265625" customWidth="1"/>
    <col min="7" max="7" width="13.578125" customWidth="1"/>
    <col min="8" max="8" width="1.578125" customWidth="1"/>
    <col min="10" max="10" width="14.83984375" customWidth="1"/>
  </cols>
  <sheetData>
    <row r="1" spans="1:10" ht="14.7" thickBot="1" x14ac:dyDescent="0.6">
      <c r="F1" s="10" t="s">
        <v>8218</v>
      </c>
      <c r="G1" s="10" t="s">
        <v>8262</v>
      </c>
      <c r="I1" s="10" t="s">
        <v>8218</v>
      </c>
      <c r="J1" s="10" t="s">
        <v>8262</v>
      </c>
    </row>
    <row r="2" spans="1:10" ht="17.100000000000001" thickTop="1" x14ac:dyDescent="0.65">
      <c r="A2" s="68" t="s">
        <v>8487</v>
      </c>
      <c r="B2" s="69"/>
      <c r="C2" s="69"/>
      <c r="D2" s="70"/>
      <c r="F2" t="s">
        <v>8219</v>
      </c>
      <c r="G2">
        <v>182</v>
      </c>
      <c r="I2" t="s">
        <v>8221</v>
      </c>
      <c r="J2">
        <v>0</v>
      </c>
    </row>
    <row r="3" spans="1:10" x14ac:dyDescent="0.55000000000000004">
      <c r="A3" s="25"/>
      <c r="B3" s="23"/>
      <c r="C3" s="23"/>
      <c r="D3" s="26"/>
      <c r="F3" t="s">
        <v>8219</v>
      </c>
      <c r="G3">
        <v>79</v>
      </c>
      <c r="I3" t="s">
        <v>8221</v>
      </c>
      <c r="J3">
        <v>1</v>
      </c>
    </row>
    <row r="4" spans="1:10" s="22" customFormat="1" x14ac:dyDescent="0.55000000000000004">
      <c r="A4" s="27"/>
      <c r="B4" s="32" t="s">
        <v>8488</v>
      </c>
      <c r="C4" s="32" t="s">
        <v>8472</v>
      </c>
      <c r="D4" s="33" t="s">
        <v>8473</v>
      </c>
      <c r="F4" t="s">
        <v>8219</v>
      </c>
      <c r="G4">
        <v>35</v>
      </c>
      <c r="I4" t="s">
        <v>8221</v>
      </c>
      <c r="J4">
        <v>10</v>
      </c>
    </row>
    <row r="5" spans="1:10" x14ac:dyDescent="0.55000000000000004">
      <c r="A5" s="28" t="s">
        <v>8481</v>
      </c>
      <c r="B5" s="34">
        <f>AVERAGE(backers_count)</f>
        <v>112.60233349538163</v>
      </c>
      <c r="C5" s="34">
        <f>AVERAGE(G2:G2186)</f>
        <v>194.42517162471395</v>
      </c>
      <c r="D5" s="35">
        <f>AVERAGE(J2:J1531)</f>
        <v>17.709803921568628</v>
      </c>
      <c r="F5" t="s">
        <v>8219</v>
      </c>
      <c r="G5">
        <v>150</v>
      </c>
      <c r="I5" t="s">
        <v>8221</v>
      </c>
      <c r="J5">
        <v>0</v>
      </c>
    </row>
    <row r="6" spans="1:10" x14ac:dyDescent="0.55000000000000004">
      <c r="A6" s="28" t="s">
        <v>8482</v>
      </c>
      <c r="B6" s="34">
        <f>MEDIAN(backers_count)</f>
        <v>25</v>
      </c>
      <c r="C6" s="34">
        <f>MEDIAN(G2:G2186)</f>
        <v>62</v>
      </c>
      <c r="D6" s="35">
        <f>MEDIAN(J2:J1531)</f>
        <v>4</v>
      </c>
      <c r="F6" t="s">
        <v>8219</v>
      </c>
      <c r="G6">
        <v>284</v>
      </c>
      <c r="I6" t="s">
        <v>8221</v>
      </c>
      <c r="J6">
        <v>7</v>
      </c>
    </row>
    <row r="7" spans="1:10" x14ac:dyDescent="0.55000000000000004">
      <c r="A7" s="28" t="s">
        <v>8483</v>
      </c>
      <c r="B7" s="24">
        <f>MIN(backers_count)</f>
        <v>0</v>
      </c>
      <c r="C7" s="24">
        <f>MIN(G2:G2186)</f>
        <v>1</v>
      </c>
      <c r="D7" s="36">
        <f>MIN(J2:J1531)</f>
        <v>0</v>
      </c>
      <c r="F7" t="s">
        <v>8219</v>
      </c>
      <c r="G7">
        <v>47</v>
      </c>
      <c r="I7" t="s">
        <v>8221</v>
      </c>
      <c r="J7">
        <v>0</v>
      </c>
    </row>
    <row r="8" spans="1:10" x14ac:dyDescent="0.55000000000000004">
      <c r="A8" s="28" t="s">
        <v>8484</v>
      </c>
      <c r="B8" s="24">
        <f>MAX(backers_count)</f>
        <v>26457</v>
      </c>
      <c r="C8" s="24">
        <f>MAX(G2:G2186)</f>
        <v>26457</v>
      </c>
      <c r="D8" s="36">
        <f>MAX(J2:J1531)</f>
        <v>1293</v>
      </c>
      <c r="F8" t="s">
        <v>8219</v>
      </c>
      <c r="G8">
        <v>58</v>
      </c>
      <c r="I8" t="s">
        <v>8221</v>
      </c>
      <c r="J8">
        <v>1</v>
      </c>
    </row>
    <row r="9" spans="1:10" x14ac:dyDescent="0.55000000000000004">
      <c r="A9" s="28" t="s">
        <v>8485</v>
      </c>
      <c r="B9" s="37">
        <f t="array" ref="B9">_xlfn.VAR.S(backers_count)</f>
        <v>388861.88364152651</v>
      </c>
      <c r="C9" s="37">
        <f>_xlfn.VAR.S(G2:G2186)</f>
        <v>713167.37912800396</v>
      </c>
      <c r="D9" s="35">
        <f>_xlfn.VAR.S(J2:J1531)</f>
        <v>3775.6894394644714</v>
      </c>
      <c r="F9" t="s">
        <v>8219</v>
      </c>
      <c r="G9">
        <v>57</v>
      </c>
      <c r="I9" t="s">
        <v>8221</v>
      </c>
      <c r="J9">
        <v>2</v>
      </c>
    </row>
    <row r="10" spans="1:10" x14ac:dyDescent="0.55000000000000004">
      <c r="A10" s="28" t="s">
        <v>8486</v>
      </c>
      <c r="B10" s="38">
        <f t="array" ref="B10">_xlfn.STDEV.S(backers_count)</f>
        <v>623.58791171856956</v>
      </c>
      <c r="C10" s="34">
        <f>_xlfn.STDEV.S(G2:G2186)</f>
        <v>844.49237955591047</v>
      </c>
      <c r="D10" s="35">
        <f>_xlfn.STDEV.S(J2:J1531)</f>
        <v>61.446638959868842</v>
      </c>
      <c r="F10" t="s">
        <v>8219</v>
      </c>
      <c r="G10">
        <v>12</v>
      </c>
      <c r="I10" t="s">
        <v>8221</v>
      </c>
      <c r="J10">
        <v>3</v>
      </c>
    </row>
    <row r="11" spans="1:10" ht="14.7" thickBot="1" x14ac:dyDescent="0.6">
      <c r="A11" s="29"/>
      <c r="B11" s="30"/>
      <c r="C11" s="30"/>
      <c r="D11" s="31"/>
      <c r="F11" t="s">
        <v>8219</v>
      </c>
      <c r="G11">
        <v>20</v>
      </c>
      <c r="I11" t="s">
        <v>8221</v>
      </c>
      <c r="J11">
        <v>10</v>
      </c>
    </row>
    <row r="12" spans="1:10" ht="14.7" thickTop="1" x14ac:dyDescent="0.55000000000000004">
      <c r="F12" t="s">
        <v>8219</v>
      </c>
      <c r="G12">
        <v>19</v>
      </c>
      <c r="I12" t="s">
        <v>8221</v>
      </c>
      <c r="J12">
        <v>10</v>
      </c>
    </row>
    <row r="13" spans="1:10" x14ac:dyDescent="0.55000000000000004">
      <c r="F13" t="s">
        <v>8219</v>
      </c>
      <c r="G13">
        <v>75</v>
      </c>
      <c r="I13" t="s">
        <v>8221</v>
      </c>
      <c r="J13">
        <v>1</v>
      </c>
    </row>
    <row r="14" spans="1:10" x14ac:dyDescent="0.55000000000000004">
      <c r="F14" t="s">
        <v>8219</v>
      </c>
      <c r="G14">
        <v>827</v>
      </c>
      <c r="I14" t="s">
        <v>8221</v>
      </c>
      <c r="J14">
        <v>0</v>
      </c>
    </row>
    <row r="15" spans="1:10" x14ac:dyDescent="0.55000000000000004">
      <c r="F15" t="s">
        <v>8219</v>
      </c>
      <c r="G15">
        <v>51</v>
      </c>
      <c r="I15" t="s">
        <v>8221</v>
      </c>
      <c r="J15">
        <v>0</v>
      </c>
    </row>
    <row r="16" spans="1:10" x14ac:dyDescent="0.55000000000000004">
      <c r="F16" t="s">
        <v>8219</v>
      </c>
      <c r="G16">
        <v>41</v>
      </c>
      <c r="I16" t="s">
        <v>8221</v>
      </c>
      <c r="J16">
        <v>0</v>
      </c>
    </row>
    <row r="17" spans="6:10" x14ac:dyDescent="0.55000000000000004">
      <c r="F17" t="s">
        <v>8219</v>
      </c>
      <c r="G17">
        <v>98</v>
      </c>
      <c r="I17" t="s">
        <v>8221</v>
      </c>
      <c r="J17">
        <v>26</v>
      </c>
    </row>
    <row r="18" spans="6:10" x14ac:dyDescent="0.55000000000000004">
      <c r="F18" t="s">
        <v>8219</v>
      </c>
      <c r="G18">
        <v>70</v>
      </c>
      <c r="I18" t="s">
        <v>8221</v>
      </c>
      <c r="J18">
        <v>0</v>
      </c>
    </row>
    <row r="19" spans="6:10" x14ac:dyDescent="0.55000000000000004">
      <c r="F19" t="s">
        <v>8219</v>
      </c>
      <c r="G19">
        <v>36</v>
      </c>
      <c r="I19" t="s">
        <v>8221</v>
      </c>
      <c r="J19">
        <v>7</v>
      </c>
    </row>
    <row r="20" spans="6:10" x14ac:dyDescent="0.55000000000000004">
      <c r="F20" t="s">
        <v>8219</v>
      </c>
      <c r="G20">
        <v>342</v>
      </c>
      <c r="I20" t="s">
        <v>8221</v>
      </c>
      <c r="J20">
        <v>0</v>
      </c>
    </row>
    <row r="21" spans="6:10" x14ac:dyDescent="0.55000000000000004">
      <c r="F21" t="s">
        <v>8219</v>
      </c>
      <c r="G21">
        <v>22</v>
      </c>
      <c r="I21" t="s">
        <v>8221</v>
      </c>
      <c r="J21">
        <v>2</v>
      </c>
    </row>
    <row r="22" spans="6:10" x14ac:dyDescent="0.55000000000000004">
      <c r="F22" t="s">
        <v>8219</v>
      </c>
      <c r="G22">
        <v>25</v>
      </c>
      <c r="I22" t="s">
        <v>8221</v>
      </c>
      <c r="J22">
        <v>13</v>
      </c>
    </row>
    <row r="23" spans="6:10" x14ac:dyDescent="0.55000000000000004">
      <c r="F23" t="s">
        <v>8219</v>
      </c>
      <c r="G23">
        <v>101</v>
      </c>
      <c r="I23" t="s">
        <v>8221</v>
      </c>
      <c r="J23">
        <v>4</v>
      </c>
    </row>
    <row r="24" spans="6:10" x14ac:dyDescent="0.55000000000000004">
      <c r="F24" t="s">
        <v>8219</v>
      </c>
      <c r="G24">
        <v>8</v>
      </c>
      <c r="I24" t="s">
        <v>8221</v>
      </c>
      <c r="J24">
        <v>0</v>
      </c>
    </row>
    <row r="25" spans="6:10" x14ac:dyDescent="0.55000000000000004">
      <c r="F25" t="s">
        <v>8219</v>
      </c>
      <c r="G25">
        <v>23</v>
      </c>
      <c r="I25" t="s">
        <v>8221</v>
      </c>
      <c r="J25">
        <v>12</v>
      </c>
    </row>
    <row r="26" spans="6:10" x14ac:dyDescent="0.55000000000000004">
      <c r="F26" t="s">
        <v>8219</v>
      </c>
      <c r="G26">
        <v>574</v>
      </c>
      <c r="I26" t="s">
        <v>8221</v>
      </c>
      <c r="J26">
        <v>2</v>
      </c>
    </row>
    <row r="27" spans="6:10" x14ac:dyDescent="0.55000000000000004">
      <c r="F27" t="s">
        <v>8219</v>
      </c>
      <c r="G27">
        <v>14</v>
      </c>
      <c r="I27" t="s">
        <v>8221</v>
      </c>
      <c r="J27">
        <v>10</v>
      </c>
    </row>
    <row r="28" spans="6:10" x14ac:dyDescent="0.55000000000000004">
      <c r="F28" t="s">
        <v>8219</v>
      </c>
      <c r="G28">
        <v>19</v>
      </c>
      <c r="I28" t="s">
        <v>8221</v>
      </c>
      <c r="J28">
        <v>0</v>
      </c>
    </row>
    <row r="29" spans="6:10" x14ac:dyDescent="0.55000000000000004">
      <c r="F29" t="s">
        <v>8219</v>
      </c>
      <c r="G29">
        <v>150</v>
      </c>
      <c r="I29" t="s">
        <v>8221</v>
      </c>
      <c r="J29">
        <v>5</v>
      </c>
    </row>
    <row r="30" spans="6:10" x14ac:dyDescent="0.55000000000000004">
      <c r="F30" t="s">
        <v>8219</v>
      </c>
      <c r="G30">
        <v>71</v>
      </c>
      <c r="I30" t="s">
        <v>8221</v>
      </c>
      <c r="J30">
        <v>0</v>
      </c>
    </row>
    <row r="31" spans="6:10" x14ac:dyDescent="0.55000000000000004">
      <c r="F31" t="s">
        <v>8219</v>
      </c>
      <c r="G31">
        <v>117</v>
      </c>
      <c r="I31" t="s">
        <v>8221</v>
      </c>
      <c r="J31">
        <v>5</v>
      </c>
    </row>
    <row r="32" spans="6:10" x14ac:dyDescent="0.55000000000000004">
      <c r="F32" t="s">
        <v>8219</v>
      </c>
      <c r="G32">
        <v>53</v>
      </c>
      <c r="I32" t="s">
        <v>8221</v>
      </c>
      <c r="J32">
        <v>1</v>
      </c>
    </row>
    <row r="33" spans="6:10" x14ac:dyDescent="0.55000000000000004">
      <c r="F33" t="s">
        <v>8219</v>
      </c>
      <c r="G33">
        <v>1</v>
      </c>
      <c r="I33" t="s">
        <v>8221</v>
      </c>
      <c r="J33">
        <v>3</v>
      </c>
    </row>
    <row r="34" spans="6:10" x14ac:dyDescent="0.55000000000000004">
      <c r="F34" t="s">
        <v>8219</v>
      </c>
      <c r="G34">
        <v>89</v>
      </c>
      <c r="I34" t="s">
        <v>8221</v>
      </c>
      <c r="J34">
        <v>3</v>
      </c>
    </row>
    <row r="35" spans="6:10" x14ac:dyDescent="0.55000000000000004">
      <c r="F35" t="s">
        <v>8219</v>
      </c>
      <c r="G35">
        <v>64</v>
      </c>
      <c r="I35" t="s">
        <v>8221</v>
      </c>
      <c r="J35">
        <v>0</v>
      </c>
    </row>
    <row r="36" spans="6:10" x14ac:dyDescent="0.55000000000000004">
      <c r="F36" t="s">
        <v>8219</v>
      </c>
      <c r="G36">
        <v>68</v>
      </c>
      <c r="I36" t="s">
        <v>8221</v>
      </c>
      <c r="J36">
        <v>3</v>
      </c>
    </row>
    <row r="37" spans="6:10" x14ac:dyDescent="0.55000000000000004">
      <c r="F37" t="s">
        <v>8219</v>
      </c>
      <c r="G37">
        <v>28</v>
      </c>
      <c r="I37" t="s">
        <v>8221</v>
      </c>
      <c r="J37">
        <v>0</v>
      </c>
    </row>
    <row r="38" spans="6:10" x14ac:dyDescent="0.55000000000000004">
      <c r="F38" t="s">
        <v>8219</v>
      </c>
      <c r="G38">
        <v>44</v>
      </c>
      <c r="I38" t="s">
        <v>8221</v>
      </c>
      <c r="J38">
        <v>19</v>
      </c>
    </row>
    <row r="39" spans="6:10" x14ac:dyDescent="0.55000000000000004">
      <c r="F39" t="s">
        <v>8219</v>
      </c>
      <c r="G39">
        <v>253</v>
      </c>
      <c r="I39" t="s">
        <v>8221</v>
      </c>
      <c r="J39">
        <v>8</v>
      </c>
    </row>
    <row r="40" spans="6:10" x14ac:dyDescent="0.55000000000000004">
      <c r="F40" t="s">
        <v>8219</v>
      </c>
      <c r="G40">
        <v>66</v>
      </c>
      <c r="I40" t="s">
        <v>8221</v>
      </c>
      <c r="J40">
        <v>6</v>
      </c>
    </row>
    <row r="41" spans="6:10" x14ac:dyDescent="0.55000000000000004">
      <c r="F41" t="s">
        <v>8219</v>
      </c>
      <c r="G41">
        <v>217</v>
      </c>
      <c r="I41" t="s">
        <v>8221</v>
      </c>
      <c r="J41">
        <v>0</v>
      </c>
    </row>
    <row r="42" spans="6:10" x14ac:dyDescent="0.55000000000000004">
      <c r="F42" t="s">
        <v>8219</v>
      </c>
      <c r="G42">
        <v>16</v>
      </c>
      <c r="I42" t="s">
        <v>8221</v>
      </c>
      <c r="J42">
        <v>18</v>
      </c>
    </row>
    <row r="43" spans="6:10" x14ac:dyDescent="0.55000000000000004">
      <c r="F43" t="s">
        <v>8219</v>
      </c>
      <c r="G43">
        <v>19</v>
      </c>
      <c r="I43" t="s">
        <v>8221</v>
      </c>
      <c r="J43">
        <v>7</v>
      </c>
    </row>
    <row r="44" spans="6:10" x14ac:dyDescent="0.55000000000000004">
      <c r="F44" t="s">
        <v>8219</v>
      </c>
      <c r="G44">
        <v>169</v>
      </c>
      <c r="I44" t="s">
        <v>8221</v>
      </c>
      <c r="J44">
        <v>0</v>
      </c>
    </row>
    <row r="45" spans="6:10" x14ac:dyDescent="0.55000000000000004">
      <c r="F45" t="s">
        <v>8219</v>
      </c>
      <c r="G45">
        <v>263</v>
      </c>
      <c r="I45" t="s">
        <v>8221</v>
      </c>
      <c r="J45">
        <v>8</v>
      </c>
    </row>
    <row r="46" spans="6:10" x14ac:dyDescent="0.55000000000000004">
      <c r="F46" t="s">
        <v>8219</v>
      </c>
      <c r="G46">
        <v>15</v>
      </c>
      <c r="I46" t="s">
        <v>8221</v>
      </c>
      <c r="J46">
        <v>1293</v>
      </c>
    </row>
    <row r="47" spans="6:10" x14ac:dyDescent="0.55000000000000004">
      <c r="F47" t="s">
        <v>8219</v>
      </c>
      <c r="G47">
        <v>61</v>
      </c>
      <c r="I47" t="s">
        <v>8221</v>
      </c>
      <c r="J47">
        <v>17</v>
      </c>
    </row>
    <row r="48" spans="6:10" x14ac:dyDescent="0.55000000000000004">
      <c r="F48" t="s">
        <v>8219</v>
      </c>
      <c r="G48">
        <v>45</v>
      </c>
      <c r="I48" t="s">
        <v>8221</v>
      </c>
      <c r="J48">
        <v>0</v>
      </c>
    </row>
    <row r="49" spans="6:10" x14ac:dyDescent="0.55000000000000004">
      <c r="F49" t="s">
        <v>8219</v>
      </c>
      <c r="G49">
        <v>70</v>
      </c>
      <c r="I49" t="s">
        <v>8221</v>
      </c>
      <c r="J49">
        <v>13</v>
      </c>
    </row>
    <row r="50" spans="6:10" x14ac:dyDescent="0.55000000000000004">
      <c r="F50" t="s">
        <v>8219</v>
      </c>
      <c r="G50">
        <v>38</v>
      </c>
      <c r="I50" t="s">
        <v>8221</v>
      </c>
      <c r="J50">
        <v>0</v>
      </c>
    </row>
    <row r="51" spans="6:10" x14ac:dyDescent="0.55000000000000004">
      <c r="F51" t="s">
        <v>8219</v>
      </c>
      <c r="G51">
        <v>87</v>
      </c>
      <c r="I51" t="s">
        <v>8221</v>
      </c>
      <c r="J51">
        <v>0</v>
      </c>
    </row>
    <row r="52" spans="6:10" x14ac:dyDescent="0.55000000000000004">
      <c r="F52" t="s">
        <v>8219</v>
      </c>
      <c r="G52">
        <v>22</v>
      </c>
      <c r="I52" t="s">
        <v>8221</v>
      </c>
      <c r="J52">
        <v>33</v>
      </c>
    </row>
    <row r="53" spans="6:10" x14ac:dyDescent="0.55000000000000004">
      <c r="F53" t="s">
        <v>8219</v>
      </c>
      <c r="G53">
        <v>119</v>
      </c>
      <c r="I53" t="s">
        <v>8221</v>
      </c>
      <c r="J53">
        <v>12</v>
      </c>
    </row>
    <row r="54" spans="6:10" x14ac:dyDescent="0.55000000000000004">
      <c r="F54" t="s">
        <v>8219</v>
      </c>
      <c r="G54">
        <v>52</v>
      </c>
      <c r="I54" t="s">
        <v>8221</v>
      </c>
      <c r="J54">
        <v>1</v>
      </c>
    </row>
    <row r="55" spans="6:10" x14ac:dyDescent="0.55000000000000004">
      <c r="F55" t="s">
        <v>8219</v>
      </c>
      <c r="G55">
        <v>117</v>
      </c>
      <c r="I55" t="s">
        <v>8221</v>
      </c>
      <c r="J55">
        <v>1</v>
      </c>
    </row>
    <row r="56" spans="6:10" x14ac:dyDescent="0.55000000000000004">
      <c r="F56" t="s">
        <v>8219</v>
      </c>
      <c r="G56">
        <v>52</v>
      </c>
      <c r="I56" t="s">
        <v>8221</v>
      </c>
      <c r="J56">
        <v>1</v>
      </c>
    </row>
    <row r="57" spans="6:10" x14ac:dyDescent="0.55000000000000004">
      <c r="F57" t="s">
        <v>8219</v>
      </c>
      <c r="G57">
        <v>86</v>
      </c>
      <c r="I57" t="s">
        <v>8221</v>
      </c>
      <c r="J57">
        <v>1</v>
      </c>
    </row>
    <row r="58" spans="6:10" x14ac:dyDescent="0.55000000000000004">
      <c r="F58" t="s">
        <v>8219</v>
      </c>
      <c r="G58">
        <v>174</v>
      </c>
      <c r="I58" t="s">
        <v>8221</v>
      </c>
      <c r="J58">
        <v>84</v>
      </c>
    </row>
    <row r="59" spans="6:10" x14ac:dyDescent="0.55000000000000004">
      <c r="F59" t="s">
        <v>8219</v>
      </c>
      <c r="G59">
        <v>69</v>
      </c>
      <c r="I59" t="s">
        <v>8221</v>
      </c>
      <c r="J59">
        <v>38</v>
      </c>
    </row>
    <row r="60" spans="6:10" x14ac:dyDescent="0.55000000000000004">
      <c r="F60" t="s">
        <v>8219</v>
      </c>
      <c r="G60">
        <v>75</v>
      </c>
      <c r="I60" t="s">
        <v>8221</v>
      </c>
      <c r="J60">
        <v>1</v>
      </c>
    </row>
    <row r="61" spans="6:10" x14ac:dyDescent="0.55000000000000004">
      <c r="F61" t="s">
        <v>8219</v>
      </c>
      <c r="G61">
        <v>33</v>
      </c>
      <c r="I61" t="s">
        <v>8221</v>
      </c>
      <c r="J61">
        <v>76</v>
      </c>
    </row>
    <row r="62" spans="6:10" x14ac:dyDescent="0.55000000000000004">
      <c r="F62" t="s">
        <v>8219</v>
      </c>
      <c r="G62">
        <v>108</v>
      </c>
      <c r="I62" t="s">
        <v>8221</v>
      </c>
      <c r="J62">
        <v>3</v>
      </c>
    </row>
    <row r="63" spans="6:10" x14ac:dyDescent="0.55000000000000004">
      <c r="F63" t="s">
        <v>8219</v>
      </c>
      <c r="G63">
        <v>23</v>
      </c>
      <c r="I63" t="s">
        <v>8221</v>
      </c>
      <c r="J63">
        <v>0</v>
      </c>
    </row>
    <row r="64" spans="6:10" x14ac:dyDescent="0.55000000000000004">
      <c r="F64" t="s">
        <v>8219</v>
      </c>
      <c r="G64">
        <v>48</v>
      </c>
      <c r="I64" t="s">
        <v>8221</v>
      </c>
      <c r="J64">
        <v>2</v>
      </c>
    </row>
    <row r="65" spans="6:10" x14ac:dyDescent="0.55000000000000004">
      <c r="F65" t="s">
        <v>8219</v>
      </c>
      <c r="G65">
        <v>64</v>
      </c>
      <c r="I65" t="s">
        <v>8221</v>
      </c>
      <c r="J65">
        <v>0</v>
      </c>
    </row>
    <row r="66" spans="6:10" x14ac:dyDescent="0.55000000000000004">
      <c r="F66" t="s">
        <v>8219</v>
      </c>
      <c r="G66">
        <v>24</v>
      </c>
      <c r="I66" t="s">
        <v>8221</v>
      </c>
      <c r="J66">
        <v>0</v>
      </c>
    </row>
    <row r="67" spans="6:10" x14ac:dyDescent="0.55000000000000004">
      <c r="F67" t="s">
        <v>8219</v>
      </c>
      <c r="G67">
        <v>57</v>
      </c>
      <c r="I67" t="s">
        <v>8221</v>
      </c>
      <c r="J67">
        <v>0</v>
      </c>
    </row>
    <row r="68" spans="6:10" x14ac:dyDescent="0.55000000000000004">
      <c r="F68" t="s">
        <v>8219</v>
      </c>
      <c r="G68">
        <v>26</v>
      </c>
      <c r="I68" t="s">
        <v>8221</v>
      </c>
      <c r="J68">
        <v>2</v>
      </c>
    </row>
    <row r="69" spans="6:10" x14ac:dyDescent="0.55000000000000004">
      <c r="F69" t="s">
        <v>8219</v>
      </c>
      <c r="G69">
        <v>20</v>
      </c>
      <c r="I69" t="s">
        <v>8221</v>
      </c>
      <c r="J69">
        <v>0</v>
      </c>
    </row>
    <row r="70" spans="6:10" x14ac:dyDescent="0.55000000000000004">
      <c r="F70" t="s">
        <v>8219</v>
      </c>
      <c r="G70">
        <v>36</v>
      </c>
      <c r="I70" t="s">
        <v>8221</v>
      </c>
      <c r="J70">
        <v>0</v>
      </c>
    </row>
    <row r="71" spans="6:10" x14ac:dyDescent="0.55000000000000004">
      <c r="F71" t="s">
        <v>8219</v>
      </c>
      <c r="G71">
        <v>178</v>
      </c>
      <c r="I71" t="s">
        <v>8221</v>
      </c>
      <c r="J71">
        <v>0</v>
      </c>
    </row>
    <row r="72" spans="6:10" x14ac:dyDescent="0.55000000000000004">
      <c r="F72" t="s">
        <v>8219</v>
      </c>
      <c r="G72">
        <v>17</v>
      </c>
      <c r="I72" t="s">
        <v>8221</v>
      </c>
      <c r="J72">
        <v>2</v>
      </c>
    </row>
    <row r="73" spans="6:10" x14ac:dyDescent="0.55000000000000004">
      <c r="F73" t="s">
        <v>8219</v>
      </c>
      <c r="G73">
        <v>32</v>
      </c>
      <c r="I73" t="s">
        <v>8221</v>
      </c>
      <c r="J73">
        <v>0</v>
      </c>
    </row>
    <row r="74" spans="6:10" x14ac:dyDescent="0.55000000000000004">
      <c r="F74" t="s">
        <v>8219</v>
      </c>
      <c r="G74">
        <v>41</v>
      </c>
      <c r="I74" t="s">
        <v>8221</v>
      </c>
      <c r="J74">
        <v>7</v>
      </c>
    </row>
    <row r="75" spans="6:10" x14ac:dyDescent="0.55000000000000004">
      <c r="F75" t="s">
        <v>8219</v>
      </c>
      <c r="G75">
        <v>18</v>
      </c>
      <c r="I75" t="s">
        <v>8221</v>
      </c>
      <c r="J75">
        <v>0</v>
      </c>
    </row>
    <row r="76" spans="6:10" x14ac:dyDescent="0.55000000000000004">
      <c r="F76" t="s">
        <v>8219</v>
      </c>
      <c r="G76">
        <v>29</v>
      </c>
      <c r="I76" t="s">
        <v>8221</v>
      </c>
      <c r="J76">
        <v>5</v>
      </c>
    </row>
    <row r="77" spans="6:10" x14ac:dyDescent="0.55000000000000004">
      <c r="F77" t="s">
        <v>8219</v>
      </c>
      <c r="G77">
        <v>47</v>
      </c>
      <c r="I77" t="s">
        <v>8221</v>
      </c>
      <c r="J77">
        <v>0</v>
      </c>
    </row>
    <row r="78" spans="6:10" x14ac:dyDescent="0.55000000000000004">
      <c r="F78" t="s">
        <v>8219</v>
      </c>
      <c r="G78">
        <v>15</v>
      </c>
      <c r="I78" t="s">
        <v>8221</v>
      </c>
      <c r="J78">
        <v>0</v>
      </c>
    </row>
    <row r="79" spans="6:10" x14ac:dyDescent="0.55000000000000004">
      <c r="F79" t="s">
        <v>8219</v>
      </c>
      <c r="G79">
        <v>26</v>
      </c>
      <c r="I79" t="s">
        <v>8221</v>
      </c>
      <c r="J79">
        <v>1</v>
      </c>
    </row>
    <row r="80" spans="6:10" x14ac:dyDescent="0.55000000000000004">
      <c r="F80" t="s">
        <v>8219</v>
      </c>
      <c r="G80">
        <v>35</v>
      </c>
      <c r="I80" t="s">
        <v>8221</v>
      </c>
      <c r="J80">
        <v>0</v>
      </c>
    </row>
    <row r="81" spans="6:10" x14ac:dyDescent="0.55000000000000004">
      <c r="F81" t="s">
        <v>8219</v>
      </c>
      <c r="G81">
        <v>41</v>
      </c>
      <c r="I81" t="s">
        <v>8221</v>
      </c>
      <c r="J81">
        <v>5</v>
      </c>
    </row>
    <row r="82" spans="6:10" x14ac:dyDescent="0.55000000000000004">
      <c r="F82" t="s">
        <v>8219</v>
      </c>
      <c r="G82">
        <v>47</v>
      </c>
      <c r="I82" t="s">
        <v>8221</v>
      </c>
      <c r="J82">
        <v>3</v>
      </c>
    </row>
    <row r="83" spans="6:10" x14ac:dyDescent="0.55000000000000004">
      <c r="F83" t="s">
        <v>8219</v>
      </c>
      <c r="G83">
        <v>28</v>
      </c>
      <c r="I83" t="s">
        <v>8221</v>
      </c>
      <c r="J83">
        <v>6</v>
      </c>
    </row>
    <row r="84" spans="6:10" x14ac:dyDescent="0.55000000000000004">
      <c r="F84" t="s">
        <v>8219</v>
      </c>
      <c r="G84">
        <v>100</v>
      </c>
      <c r="I84" t="s">
        <v>8221</v>
      </c>
      <c r="J84">
        <v>12</v>
      </c>
    </row>
    <row r="85" spans="6:10" x14ac:dyDescent="0.55000000000000004">
      <c r="F85" t="s">
        <v>8219</v>
      </c>
      <c r="G85">
        <v>13</v>
      </c>
      <c r="I85" t="s">
        <v>8221</v>
      </c>
      <c r="J85">
        <v>13</v>
      </c>
    </row>
    <row r="86" spans="6:10" x14ac:dyDescent="0.55000000000000004">
      <c r="F86" t="s">
        <v>8219</v>
      </c>
      <c r="G86">
        <v>7</v>
      </c>
      <c r="I86" t="s">
        <v>8221</v>
      </c>
      <c r="J86">
        <v>5</v>
      </c>
    </row>
    <row r="87" spans="6:10" x14ac:dyDescent="0.55000000000000004">
      <c r="F87" t="s">
        <v>8219</v>
      </c>
      <c r="G87">
        <v>21</v>
      </c>
      <c r="I87" t="s">
        <v>8221</v>
      </c>
      <c r="J87">
        <v>2</v>
      </c>
    </row>
    <row r="88" spans="6:10" x14ac:dyDescent="0.55000000000000004">
      <c r="F88" t="s">
        <v>8219</v>
      </c>
      <c r="G88">
        <v>17</v>
      </c>
      <c r="I88" t="s">
        <v>8221</v>
      </c>
      <c r="J88">
        <v>8</v>
      </c>
    </row>
    <row r="89" spans="6:10" x14ac:dyDescent="0.55000000000000004">
      <c r="F89" t="s">
        <v>8219</v>
      </c>
      <c r="G89">
        <v>25</v>
      </c>
      <c r="I89" t="s">
        <v>8221</v>
      </c>
      <c r="J89">
        <v>0</v>
      </c>
    </row>
    <row r="90" spans="6:10" x14ac:dyDescent="0.55000000000000004">
      <c r="F90" t="s">
        <v>8219</v>
      </c>
      <c r="G90">
        <v>60</v>
      </c>
      <c r="I90" t="s">
        <v>8221</v>
      </c>
      <c r="J90">
        <v>13</v>
      </c>
    </row>
    <row r="91" spans="6:10" x14ac:dyDescent="0.55000000000000004">
      <c r="F91" t="s">
        <v>8219</v>
      </c>
      <c r="G91">
        <v>56</v>
      </c>
      <c r="I91" t="s">
        <v>8221</v>
      </c>
      <c r="J91">
        <v>0</v>
      </c>
    </row>
    <row r="92" spans="6:10" x14ac:dyDescent="0.55000000000000004">
      <c r="F92" t="s">
        <v>8219</v>
      </c>
      <c r="G92">
        <v>16</v>
      </c>
      <c r="I92" t="s">
        <v>8221</v>
      </c>
      <c r="J92">
        <v>5</v>
      </c>
    </row>
    <row r="93" spans="6:10" x14ac:dyDescent="0.55000000000000004">
      <c r="F93" t="s">
        <v>8219</v>
      </c>
      <c r="G93">
        <v>46</v>
      </c>
      <c r="I93" t="s">
        <v>8221</v>
      </c>
      <c r="J93">
        <v>8</v>
      </c>
    </row>
    <row r="94" spans="6:10" x14ac:dyDescent="0.55000000000000004">
      <c r="F94" t="s">
        <v>8219</v>
      </c>
      <c r="G94">
        <v>43</v>
      </c>
      <c r="I94" t="s">
        <v>8221</v>
      </c>
      <c r="J94">
        <v>8</v>
      </c>
    </row>
    <row r="95" spans="6:10" x14ac:dyDescent="0.55000000000000004">
      <c r="F95" t="s">
        <v>8219</v>
      </c>
      <c r="G95">
        <v>15</v>
      </c>
      <c r="I95" t="s">
        <v>8221</v>
      </c>
      <c r="J95">
        <v>0</v>
      </c>
    </row>
    <row r="96" spans="6:10" x14ac:dyDescent="0.55000000000000004">
      <c r="F96" t="s">
        <v>8219</v>
      </c>
      <c r="G96">
        <v>12</v>
      </c>
      <c r="I96" t="s">
        <v>8221</v>
      </c>
      <c r="J96">
        <v>2</v>
      </c>
    </row>
    <row r="97" spans="6:10" x14ac:dyDescent="0.55000000000000004">
      <c r="F97" t="s">
        <v>8219</v>
      </c>
      <c r="G97">
        <v>21</v>
      </c>
      <c r="I97" t="s">
        <v>8221</v>
      </c>
      <c r="J97">
        <v>3</v>
      </c>
    </row>
    <row r="98" spans="6:10" x14ac:dyDescent="0.55000000000000004">
      <c r="F98" t="s">
        <v>8219</v>
      </c>
      <c r="G98">
        <v>34</v>
      </c>
      <c r="I98" t="s">
        <v>8221</v>
      </c>
      <c r="J98">
        <v>0</v>
      </c>
    </row>
    <row r="99" spans="6:10" x14ac:dyDescent="0.55000000000000004">
      <c r="F99" t="s">
        <v>8219</v>
      </c>
      <c r="G99">
        <v>8</v>
      </c>
      <c r="I99" t="s">
        <v>8221</v>
      </c>
      <c r="J99">
        <v>0</v>
      </c>
    </row>
    <row r="100" spans="6:10" x14ac:dyDescent="0.55000000000000004">
      <c r="F100" t="s">
        <v>8219</v>
      </c>
      <c r="G100">
        <v>60</v>
      </c>
      <c r="I100" t="s">
        <v>8221</v>
      </c>
      <c r="J100">
        <v>11</v>
      </c>
    </row>
    <row r="101" spans="6:10" x14ac:dyDescent="0.55000000000000004">
      <c r="F101" t="s">
        <v>8219</v>
      </c>
      <c r="G101">
        <v>39</v>
      </c>
      <c r="I101" t="s">
        <v>8221</v>
      </c>
      <c r="J101">
        <v>0</v>
      </c>
    </row>
    <row r="102" spans="6:10" x14ac:dyDescent="0.55000000000000004">
      <c r="F102" t="s">
        <v>8219</v>
      </c>
      <c r="G102">
        <v>26</v>
      </c>
      <c r="I102" t="s">
        <v>8221</v>
      </c>
      <c r="J102">
        <v>1</v>
      </c>
    </row>
    <row r="103" spans="6:10" x14ac:dyDescent="0.55000000000000004">
      <c r="F103" t="s">
        <v>8219</v>
      </c>
      <c r="G103">
        <v>35</v>
      </c>
      <c r="I103" t="s">
        <v>8221</v>
      </c>
      <c r="J103">
        <v>0</v>
      </c>
    </row>
    <row r="104" spans="6:10" x14ac:dyDescent="0.55000000000000004">
      <c r="F104" t="s">
        <v>8219</v>
      </c>
      <c r="G104">
        <v>65</v>
      </c>
      <c r="I104" t="s">
        <v>8221</v>
      </c>
      <c r="J104">
        <v>17</v>
      </c>
    </row>
    <row r="105" spans="6:10" x14ac:dyDescent="0.55000000000000004">
      <c r="F105" t="s">
        <v>8219</v>
      </c>
      <c r="G105">
        <v>49</v>
      </c>
      <c r="I105" t="s">
        <v>8221</v>
      </c>
      <c r="J105">
        <v>2</v>
      </c>
    </row>
    <row r="106" spans="6:10" x14ac:dyDescent="0.55000000000000004">
      <c r="F106" t="s">
        <v>8219</v>
      </c>
      <c r="G106">
        <v>10</v>
      </c>
      <c r="I106" t="s">
        <v>8221</v>
      </c>
      <c r="J106">
        <v>1</v>
      </c>
    </row>
    <row r="107" spans="6:10" x14ac:dyDescent="0.55000000000000004">
      <c r="F107" t="s">
        <v>8219</v>
      </c>
      <c r="G107">
        <v>60</v>
      </c>
      <c r="I107" t="s">
        <v>8221</v>
      </c>
      <c r="J107">
        <v>2</v>
      </c>
    </row>
    <row r="108" spans="6:10" x14ac:dyDescent="0.55000000000000004">
      <c r="F108" t="s">
        <v>8219</v>
      </c>
      <c r="G108">
        <v>27</v>
      </c>
      <c r="I108" t="s">
        <v>8221</v>
      </c>
      <c r="J108">
        <v>16</v>
      </c>
    </row>
    <row r="109" spans="6:10" x14ac:dyDescent="0.55000000000000004">
      <c r="F109" t="s">
        <v>8219</v>
      </c>
      <c r="G109">
        <v>69</v>
      </c>
      <c r="I109" t="s">
        <v>8221</v>
      </c>
      <c r="J109">
        <v>1</v>
      </c>
    </row>
    <row r="110" spans="6:10" x14ac:dyDescent="0.55000000000000004">
      <c r="F110" t="s">
        <v>8219</v>
      </c>
      <c r="G110">
        <v>47</v>
      </c>
      <c r="I110" t="s">
        <v>8221</v>
      </c>
      <c r="J110">
        <v>4</v>
      </c>
    </row>
    <row r="111" spans="6:10" x14ac:dyDescent="0.55000000000000004">
      <c r="F111" t="s">
        <v>8219</v>
      </c>
      <c r="G111">
        <v>47</v>
      </c>
      <c r="I111" t="s">
        <v>8221</v>
      </c>
      <c r="J111">
        <v>5</v>
      </c>
    </row>
    <row r="112" spans="6:10" x14ac:dyDescent="0.55000000000000004">
      <c r="F112" t="s">
        <v>8219</v>
      </c>
      <c r="G112">
        <v>26</v>
      </c>
      <c r="I112" t="s">
        <v>8221</v>
      </c>
      <c r="J112">
        <v>7</v>
      </c>
    </row>
    <row r="113" spans="6:10" x14ac:dyDescent="0.55000000000000004">
      <c r="F113" t="s">
        <v>8219</v>
      </c>
      <c r="G113">
        <v>53</v>
      </c>
      <c r="I113" t="s">
        <v>8221</v>
      </c>
      <c r="J113">
        <v>0</v>
      </c>
    </row>
    <row r="114" spans="6:10" x14ac:dyDescent="0.55000000000000004">
      <c r="F114" t="s">
        <v>8219</v>
      </c>
      <c r="G114">
        <v>81</v>
      </c>
      <c r="I114" t="s">
        <v>8221</v>
      </c>
      <c r="J114">
        <v>12</v>
      </c>
    </row>
    <row r="115" spans="6:10" x14ac:dyDescent="0.55000000000000004">
      <c r="F115" t="s">
        <v>8219</v>
      </c>
      <c r="G115">
        <v>78</v>
      </c>
      <c r="I115" t="s">
        <v>8221</v>
      </c>
      <c r="J115">
        <v>2</v>
      </c>
    </row>
    <row r="116" spans="6:10" x14ac:dyDescent="0.55000000000000004">
      <c r="F116" t="s">
        <v>8219</v>
      </c>
      <c r="G116">
        <v>35</v>
      </c>
      <c r="I116" t="s">
        <v>8221</v>
      </c>
      <c r="J116">
        <v>5</v>
      </c>
    </row>
    <row r="117" spans="6:10" x14ac:dyDescent="0.55000000000000004">
      <c r="F117" t="s">
        <v>8219</v>
      </c>
      <c r="G117">
        <v>22</v>
      </c>
      <c r="I117" t="s">
        <v>8221</v>
      </c>
      <c r="J117">
        <v>2</v>
      </c>
    </row>
    <row r="118" spans="6:10" x14ac:dyDescent="0.55000000000000004">
      <c r="F118" t="s">
        <v>8219</v>
      </c>
      <c r="G118">
        <v>57</v>
      </c>
      <c r="I118" t="s">
        <v>8221</v>
      </c>
      <c r="J118">
        <v>3</v>
      </c>
    </row>
    <row r="119" spans="6:10" x14ac:dyDescent="0.55000000000000004">
      <c r="F119" t="s">
        <v>8219</v>
      </c>
      <c r="G119">
        <v>27</v>
      </c>
      <c r="I119" t="s">
        <v>8221</v>
      </c>
      <c r="J119">
        <v>0</v>
      </c>
    </row>
    <row r="120" spans="6:10" x14ac:dyDescent="0.55000000000000004">
      <c r="F120" t="s">
        <v>8219</v>
      </c>
      <c r="G120">
        <v>39</v>
      </c>
      <c r="I120" t="s">
        <v>8221</v>
      </c>
      <c r="J120">
        <v>49</v>
      </c>
    </row>
    <row r="121" spans="6:10" x14ac:dyDescent="0.55000000000000004">
      <c r="F121" t="s">
        <v>8219</v>
      </c>
      <c r="G121">
        <v>37</v>
      </c>
      <c r="I121" t="s">
        <v>8221</v>
      </c>
      <c r="J121">
        <v>1</v>
      </c>
    </row>
    <row r="122" spans="6:10" x14ac:dyDescent="0.55000000000000004">
      <c r="F122" t="s">
        <v>8219</v>
      </c>
      <c r="G122">
        <v>137</v>
      </c>
      <c r="I122" t="s">
        <v>8221</v>
      </c>
      <c r="J122">
        <v>2</v>
      </c>
    </row>
    <row r="123" spans="6:10" x14ac:dyDescent="0.55000000000000004">
      <c r="F123" t="s">
        <v>8219</v>
      </c>
      <c r="G123">
        <v>376</v>
      </c>
      <c r="I123" t="s">
        <v>8221</v>
      </c>
      <c r="J123">
        <v>0</v>
      </c>
    </row>
    <row r="124" spans="6:10" x14ac:dyDescent="0.55000000000000004">
      <c r="F124" t="s">
        <v>8219</v>
      </c>
      <c r="G124">
        <v>202</v>
      </c>
      <c r="I124" t="s">
        <v>8221</v>
      </c>
      <c r="J124">
        <v>0</v>
      </c>
    </row>
    <row r="125" spans="6:10" x14ac:dyDescent="0.55000000000000004">
      <c r="F125" t="s">
        <v>8219</v>
      </c>
      <c r="G125">
        <v>328</v>
      </c>
      <c r="I125" t="s">
        <v>8221</v>
      </c>
      <c r="J125">
        <v>11</v>
      </c>
    </row>
    <row r="126" spans="6:10" x14ac:dyDescent="0.55000000000000004">
      <c r="F126" t="s">
        <v>8219</v>
      </c>
      <c r="G126">
        <v>84</v>
      </c>
      <c r="I126" t="s">
        <v>8221</v>
      </c>
      <c r="J126">
        <v>1</v>
      </c>
    </row>
    <row r="127" spans="6:10" x14ac:dyDescent="0.55000000000000004">
      <c r="F127" t="s">
        <v>8219</v>
      </c>
      <c r="G127">
        <v>96</v>
      </c>
      <c r="I127" t="s">
        <v>8221</v>
      </c>
      <c r="J127">
        <v>8</v>
      </c>
    </row>
    <row r="128" spans="6:10" x14ac:dyDescent="0.55000000000000004">
      <c r="F128" t="s">
        <v>8219</v>
      </c>
      <c r="G128">
        <v>223</v>
      </c>
      <c r="I128" t="s">
        <v>8221</v>
      </c>
      <c r="J128">
        <v>5</v>
      </c>
    </row>
    <row r="129" spans="6:10" x14ac:dyDescent="0.55000000000000004">
      <c r="F129" t="s">
        <v>8219</v>
      </c>
      <c r="G129">
        <v>62</v>
      </c>
      <c r="I129" t="s">
        <v>8221</v>
      </c>
      <c r="J129">
        <v>39</v>
      </c>
    </row>
    <row r="130" spans="6:10" x14ac:dyDescent="0.55000000000000004">
      <c r="F130" t="s">
        <v>8219</v>
      </c>
      <c r="G130">
        <v>146</v>
      </c>
      <c r="I130" t="s">
        <v>8221</v>
      </c>
      <c r="J130">
        <v>0</v>
      </c>
    </row>
    <row r="131" spans="6:10" x14ac:dyDescent="0.55000000000000004">
      <c r="F131" t="s">
        <v>8219</v>
      </c>
      <c r="G131">
        <v>235</v>
      </c>
      <c r="I131" t="s">
        <v>8221</v>
      </c>
      <c r="J131">
        <v>0</v>
      </c>
    </row>
    <row r="132" spans="6:10" x14ac:dyDescent="0.55000000000000004">
      <c r="F132" t="s">
        <v>8219</v>
      </c>
      <c r="G132">
        <v>437</v>
      </c>
      <c r="I132" t="s">
        <v>8221</v>
      </c>
      <c r="J132">
        <v>2</v>
      </c>
    </row>
    <row r="133" spans="6:10" x14ac:dyDescent="0.55000000000000004">
      <c r="F133" t="s">
        <v>8219</v>
      </c>
      <c r="G133">
        <v>77</v>
      </c>
      <c r="I133" t="s">
        <v>8221</v>
      </c>
      <c r="J133">
        <v>170</v>
      </c>
    </row>
    <row r="134" spans="6:10" x14ac:dyDescent="0.55000000000000004">
      <c r="F134" t="s">
        <v>8219</v>
      </c>
      <c r="G134">
        <v>108</v>
      </c>
      <c r="I134" t="s">
        <v>8221</v>
      </c>
      <c r="J134">
        <v>5</v>
      </c>
    </row>
    <row r="135" spans="6:10" x14ac:dyDescent="0.55000000000000004">
      <c r="F135" t="s">
        <v>8219</v>
      </c>
      <c r="G135">
        <v>7</v>
      </c>
      <c r="I135" t="s">
        <v>8221</v>
      </c>
      <c r="J135">
        <v>14</v>
      </c>
    </row>
    <row r="136" spans="6:10" x14ac:dyDescent="0.55000000000000004">
      <c r="F136" t="s">
        <v>8219</v>
      </c>
      <c r="G136">
        <v>314</v>
      </c>
      <c r="I136" t="s">
        <v>8221</v>
      </c>
      <c r="J136">
        <v>1</v>
      </c>
    </row>
    <row r="137" spans="6:10" x14ac:dyDescent="0.55000000000000004">
      <c r="F137" t="s">
        <v>8219</v>
      </c>
      <c r="G137">
        <v>188</v>
      </c>
      <c r="I137" t="s">
        <v>8221</v>
      </c>
      <c r="J137">
        <v>0</v>
      </c>
    </row>
    <row r="138" spans="6:10" x14ac:dyDescent="0.55000000000000004">
      <c r="F138" t="s">
        <v>8219</v>
      </c>
      <c r="G138">
        <v>275</v>
      </c>
      <c r="I138" t="s">
        <v>8221</v>
      </c>
      <c r="J138">
        <v>124</v>
      </c>
    </row>
    <row r="139" spans="6:10" x14ac:dyDescent="0.55000000000000004">
      <c r="F139" t="s">
        <v>8219</v>
      </c>
      <c r="G139">
        <v>560</v>
      </c>
      <c r="I139" t="s">
        <v>8221</v>
      </c>
      <c r="J139">
        <v>0</v>
      </c>
    </row>
    <row r="140" spans="6:10" x14ac:dyDescent="0.55000000000000004">
      <c r="F140" t="s">
        <v>8219</v>
      </c>
      <c r="G140">
        <v>688</v>
      </c>
      <c r="I140" t="s">
        <v>8221</v>
      </c>
      <c r="J140">
        <v>0</v>
      </c>
    </row>
    <row r="141" spans="6:10" x14ac:dyDescent="0.55000000000000004">
      <c r="F141" t="s">
        <v>8219</v>
      </c>
      <c r="G141">
        <v>942</v>
      </c>
      <c r="I141" t="s">
        <v>8221</v>
      </c>
      <c r="J141">
        <v>55</v>
      </c>
    </row>
    <row r="142" spans="6:10" x14ac:dyDescent="0.55000000000000004">
      <c r="F142" t="s">
        <v>8219</v>
      </c>
      <c r="G142">
        <v>88</v>
      </c>
      <c r="I142" t="s">
        <v>8221</v>
      </c>
      <c r="J142">
        <v>140</v>
      </c>
    </row>
    <row r="143" spans="6:10" x14ac:dyDescent="0.55000000000000004">
      <c r="F143" t="s">
        <v>8219</v>
      </c>
      <c r="G143">
        <v>220</v>
      </c>
      <c r="I143" t="s">
        <v>8221</v>
      </c>
      <c r="J143">
        <v>21</v>
      </c>
    </row>
    <row r="144" spans="6:10" x14ac:dyDescent="0.55000000000000004">
      <c r="F144" t="s">
        <v>8219</v>
      </c>
      <c r="G144">
        <v>145</v>
      </c>
      <c r="I144" t="s">
        <v>8221</v>
      </c>
      <c r="J144">
        <v>1</v>
      </c>
    </row>
    <row r="145" spans="6:10" x14ac:dyDescent="0.55000000000000004">
      <c r="F145" t="s">
        <v>8219</v>
      </c>
      <c r="G145">
        <v>963</v>
      </c>
      <c r="I145" t="s">
        <v>8221</v>
      </c>
      <c r="J145">
        <v>147</v>
      </c>
    </row>
    <row r="146" spans="6:10" x14ac:dyDescent="0.55000000000000004">
      <c r="F146" t="s">
        <v>8219</v>
      </c>
      <c r="G146">
        <v>91</v>
      </c>
      <c r="I146" t="s">
        <v>8221</v>
      </c>
      <c r="J146">
        <v>11</v>
      </c>
    </row>
    <row r="147" spans="6:10" x14ac:dyDescent="0.55000000000000004">
      <c r="F147" t="s">
        <v>8219</v>
      </c>
      <c r="G147">
        <v>58</v>
      </c>
      <c r="I147" t="s">
        <v>8221</v>
      </c>
      <c r="J147">
        <v>125</v>
      </c>
    </row>
    <row r="148" spans="6:10" x14ac:dyDescent="0.55000000000000004">
      <c r="F148" t="s">
        <v>8219</v>
      </c>
      <c r="G148">
        <v>36</v>
      </c>
      <c r="I148" t="s">
        <v>8221</v>
      </c>
      <c r="J148">
        <v>1</v>
      </c>
    </row>
    <row r="149" spans="6:10" x14ac:dyDescent="0.55000000000000004">
      <c r="F149" t="s">
        <v>8219</v>
      </c>
      <c r="G149">
        <v>165</v>
      </c>
      <c r="I149" t="s">
        <v>8221</v>
      </c>
      <c r="J149">
        <v>0</v>
      </c>
    </row>
    <row r="150" spans="6:10" x14ac:dyDescent="0.55000000000000004">
      <c r="F150" t="s">
        <v>8219</v>
      </c>
      <c r="G150">
        <v>111</v>
      </c>
      <c r="I150" t="s">
        <v>8221</v>
      </c>
      <c r="J150">
        <v>0</v>
      </c>
    </row>
    <row r="151" spans="6:10" x14ac:dyDescent="0.55000000000000004">
      <c r="F151" t="s">
        <v>8219</v>
      </c>
      <c r="G151">
        <v>1596</v>
      </c>
      <c r="I151" t="s">
        <v>8221</v>
      </c>
      <c r="J151">
        <v>3</v>
      </c>
    </row>
    <row r="152" spans="6:10" x14ac:dyDescent="0.55000000000000004">
      <c r="F152" t="s">
        <v>8219</v>
      </c>
      <c r="G152">
        <v>61</v>
      </c>
      <c r="I152" t="s">
        <v>8221</v>
      </c>
      <c r="J152">
        <v>0</v>
      </c>
    </row>
    <row r="153" spans="6:10" x14ac:dyDescent="0.55000000000000004">
      <c r="F153" t="s">
        <v>8219</v>
      </c>
      <c r="G153">
        <v>287</v>
      </c>
      <c r="I153" t="s">
        <v>8221</v>
      </c>
      <c r="J153">
        <v>0</v>
      </c>
    </row>
    <row r="154" spans="6:10" x14ac:dyDescent="0.55000000000000004">
      <c r="F154" t="s">
        <v>8219</v>
      </c>
      <c r="G154">
        <v>65</v>
      </c>
      <c r="I154" t="s">
        <v>8221</v>
      </c>
      <c r="J154">
        <v>0</v>
      </c>
    </row>
    <row r="155" spans="6:10" x14ac:dyDescent="0.55000000000000004">
      <c r="F155" t="s">
        <v>8219</v>
      </c>
      <c r="G155">
        <v>118</v>
      </c>
      <c r="I155" t="s">
        <v>8221</v>
      </c>
      <c r="J155">
        <v>0</v>
      </c>
    </row>
    <row r="156" spans="6:10" x14ac:dyDescent="0.55000000000000004">
      <c r="F156" t="s">
        <v>8219</v>
      </c>
      <c r="G156">
        <v>113</v>
      </c>
      <c r="I156" t="s">
        <v>8221</v>
      </c>
      <c r="J156">
        <v>3</v>
      </c>
    </row>
    <row r="157" spans="6:10" x14ac:dyDescent="0.55000000000000004">
      <c r="F157" t="s">
        <v>8219</v>
      </c>
      <c r="G157">
        <v>332</v>
      </c>
      <c r="I157" t="s">
        <v>8221</v>
      </c>
      <c r="J157">
        <v>0</v>
      </c>
    </row>
    <row r="158" spans="6:10" x14ac:dyDescent="0.55000000000000004">
      <c r="F158" t="s">
        <v>8219</v>
      </c>
      <c r="G158">
        <v>62</v>
      </c>
      <c r="I158" t="s">
        <v>8221</v>
      </c>
      <c r="J158">
        <v>1</v>
      </c>
    </row>
    <row r="159" spans="6:10" x14ac:dyDescent="0.55000000000000004">
      <c r="F159" t="s">
        <v>8219</v>
      </c>
      <c r="G159">
        <v>951</v>
      </c>
      <c r="I159" t="s">
        <v>8221</v>
      </c>
      <c r="J159">
        <v>3</v>
      </c>
    </row>
    <row r="160" spans="6:10" x14ac:dyDescent="0.55000000000000004">
      <c r="F160" t="s">
        <v>8219</v>
      </c>
      <c r="G160">
        <v>415</v>
      </c>
      <c r="I160" t="s">
        <v>8221</v>
      </c>
      <c r="J160">
        <v>22</v>
      </c>
    </row>
    <row r="161" spans="6:10" x14ac:dyDescent="0.55000000000000004">
      <c r="F161" t="s">
        <v>8219</v>
      </c>
      <c r="G161">
        <v>305</v>
      </c>
      <c r="I161" t="s">
        <v>8221</v>
      </c>
      <c r="J161">
        <v>26</v>
      </c>
    </row>
    <row r="162" spans="6:10" x14ac:dyDescent="0.55000000000000004">
      <c r="F162" t="s">
        <v>8219</v>
      </c>
      <c r="G162">
        <v>2139</v>
      </c>
      <c r="I162" t="s">
        <v>8221</v>
      </c>
      <c r="J162">
        <v>4</v>
      </c>
    </row>
    <row r="163" spans="6:10" x14ac:dyDescent="0.55000000000000004">
      <c r="F163" t="s">
        <v>8219</v>
      </c>
      <c r="G163">
        <v>79</v>
      </c>
      <c r="I163" t="s">
        <v>8221</v>
      </c>
      <c r="J163">
        <v>0</v>
      </c>
    </row>
    <row r="164" spans="6:10" x14ac:dyDescent="0.55000000000000004">
      <c r="F164" t="s">
        <v>8219</v>
      </c>
      <c r="G164">
        <v>179</v>
      </c>
      <c r="I164" t="s">
        <v>8221</v>
      </c>
      <c r="J164">
        <v>4</v>
      </c>
    </row>
    <row r="165" spans="6:10" x14ac:dyDescent="0.55000000000000004">
      <c r="F165" t="s">
        <v>8219</v>
      </c>
      <c r="G165">
        <v>202</v>
      </c>
      <c r="I165" t="s">
        <v>8221</v>
      </c>
      <c r="J165">
        <v>9</v>
      </c>
    </row>
    <row r="166" spans="6:10" x14ac:dyDescent="0.55000000000000004">
      <c r="F166" t="s">
        <v>8219</v>
      </c>
      <c r="G166">
        <v>760</v>
      </c>
      <c r="I166" t="s">
        <v>8221</v>
      </c>
      <c r="J166">
        <v>5</v>
      </c>
    </row>
    <row r="167" spans="6:10" x14ac:dyDescent="0.55000000000000004">
      <c r="F167" t="s">
        <v>8219</v>
      </c>
      <c r="G167">
        <v>563</v>
      </c>
      <c r="I167" t="s">
        <v>8221</v>
      </c>
      <c r="J167">
        <v>14</v>
      </c>
    </row>
    <row r="168" spans="6:10" x14ac:dyDescent="0.55000000000000004">
      <c r="F168" t="s">
        <v>8219</v>
      </c>
      <c r="G168">
        <v>135</v>
      </c>
      <c r="I168" t="s">
        <v>8221</v>
      </c>
      <c r="J168">
        <v>1</v>
      </c>
    </row>
    <row r="169" spans="6:10" x14ac:dyDescent="0.55000000000000004">
      <c r="F169" t="s">
        <v>8219</v>
      </c>
      <c r="G169">
        <v>290</v>
      </c>
      <c r="I169" t="s">
        <v>8221</v>
      </c>
      <c r="J169">
        <v>10</v>
      </c>
    </row>
    <row r="170" spans="6:10" x14ac:dyDescent="0.55000000000000004">
      <c r="F170" t="s">
        <v>8219</v>
      </c>
      <c r="G170">
        <v>447</v>
      </c>
      <c r="I170" t="s">
        <v>8221</v>
      </c>
      <c r="J170">
        <v>3</v>
      </c>
    </row>
    <row r="171" spans="6:10" x14ac:dyDescent="0.55000000000000004">
      <c r="F171" t="s">
        <v>8219</v>
      </c>
      <c r="G171">
        <v>232</v>
      </c>
      <c r="I171" t="s">
        <v>8221</v>
      </c>
      <c r="J171">
        <v>1</v>
      </c>
    </row>
    <row r="172" spans="6:10" x14ac:dyDescent="0.55000000000000004">
      <c r="F172" t="s">
        <v>8219</v>
      </c>
      <c r="G172">
        <v>168</v>
      </c>
      <c r="I172" t="s">
        <v>8221</v>
      </c>
      <c r="J172">
        <v>0</v>
      </c>
    </row>
    <row r="173" spans="6:10" x14ac:dyDescent="0.55000000000000004">
      <c r="F173" t="s">
        <v>8219</v>
      </c>
      <c r="G173">
        <v>128</v>
      </c>
      <c r="I173" t="s">
        <v>8221</v>
      </c>
      <c r="J173">
        <v>5</v>
      </c>
    </row>
    <row r="174" spans="6:10" x14ac:dyDescent="0.55000000000000004">
      <c r="F174" t="s">
        <v>8219</v>
      </c>
      <c r="G174">
        <v>493</v>
      </c>
      <c r="I174" t="s">
        <v>8221</v>
      </c>
      <c r="J174">
        <v>2</v>
      </c>
    </row>
    <row r="175" spans="6:10" x14ac:dyDescent="0.55000000000000004">
      <c r="F175" t="s">
        <v>8219</v>
      </c>
      <c r="G175">
        <v>131</v>
      </c>
      <c r="I175" t="s">
        <v>8221</v>
      </c>
      <c r="J175">
        <v>68</v>
      </c>
    </row>
    <row r="176" spans="6:10" x14ac:dyDescent="0.55000000000000004">
      <c r="F176" t="s">
        <v>8219</v>
      </c>
      <c r="G176">
        <v>50</v>
      </c>
      <c r="I176" t="s">
        <v>8221</v>
      </c>
      <c r="J176">
        <v>3</v>
      </c>
    </row>
    <row r="177" spans="6:10" x14ac:dyDescent="0.55000000000000004">
      <c r="F177" t="s">
        <v>8219</v>
      </c>
      <c r="G177">
        <v>665</v>
      </c>
      <c r="I177" t="s">
        <v>8221</v>
      </c>
      <c r="J177">
        <v>34</v>
      </c>
    </row>
    <row r="178" spans="6:10" x14ac:dyDescent="0.55000000000000004">
      <c r="F178" t="s">
        <v>8219</v>
      </c>
      <c r="G178">
        <v>129</v>
      </c>
      <c r="I178" t="s">
        <v>8221</v>
      </c>
      <c r="J178">
        <v>0</v>
      </c>
    </row>
    <row r="179" spans="6:10" x14ac:dyDescent="0.55000000000000004">
      <c r="F179" t="s">
        <v>8219</v>
      </c>
      <c r="G179">
        <v>142</v>
      </c>
      <c r="I179" t="s">
        <v>8221</v>
      </c>
      <c r="J179">
        <v>3</v>
      </c>
    </row>
    <row r="180" spans="6:10" x14ac:dyDescent="0.55000000000000004">
      <c r="F180" t="s">
        <v>8219</v>
      </c>
      <c r="G180">
        <v>2436</v>
      </c>
      <c r="I180" t="s">
        <v>8221</v>
      </c>
      <c r="J180">
        <v>0</v>
      </c>
    </row>
    <row r="181" spans="6:10" x14ac:dyDescent="0.55000000000000004">
      <c r="F181" t="s">
        <v>8219</v>
      </c>
      <c r="G181">
        <v>244</v>
      </c>
      <c r="I181" t="s">
        <v>8221</v>
      </c>
      <c r="J181">
        <v>70</v>
      </c>
    </row>
    <row r="182" spans="6:10" x14ac:dyDescent="0.55000000000000004">
      <c r="F182" t="s">
        <v>8219</v>
      </c>
      <c r="G182">
        <v>298</v>
      </c>
      <c r="I182" t="s">
        <v>8221</v>
      </c>
      <c r="J182">
        <v>1</v>
      </c>
    </row>
    <row r="183" spans="6:10" x14ac:dyDescent="0.55000000000000004">
      <c r="F183" t="s">
        <v>8219</v>
      </c>
      <c r="G183">
        <v>251</v>
      </c>
      <c r="I183" t="s">
        <v>8221</v>
      </c>
      <c r="J183">
        <v>1</v>
      </c>
    </row>
    <row r="184" spans="6:10" x14ac:dyDescent="0.55000000000000004">
      <c r="F184" t="s">
        <v>8219</v>
      </c>
      <c r="G184">
        <v>108</v>
      </c>
      <c r="I184" t="s">
        <v>8221</v>
      </c>
      <c r="J184">
        <v>1</v>
      </c>
    </row>
    <row r="185" spans="6:10" x14ac:dyDescent="0.55000000000000004">
      <c r="F185" t="s">
        <v>8219</v>
      </c>
      <c r="G185">
        <v>82</v>
      </c>
      <c r="I185" t="s">
        <v>8221</v>
      </c>
      <c r="J185">
        <v>2</v>
      </c>
    </row>
    <row r="186" spans="6:10" x14ac:dyDescent="0.55000000000000004">
      <c r="F186" t="s">
        <v>8219</v>
      </c>
      <c r="G186">
        <v>74</v>
      </c>
      <c r="I186" t="s">
        <v>8221</v>
      </c>
      <c r="J186">
        <v>2</v>
      </c>
    </row>
    <row r="187" spans="6:10" x14ac:dyDescent="0.55000000000000004">
      <c r="F187" t="s">
        <v>8219</v>
      </c>
      <c r="G187">
        <v>189</v>
      </c>
      <c r="I187" t="s">
        <v>8221</v>
      </c>
      <c r="J187">
        <v>34</v>
      </c>
    </row>
    <row r="188" spans="6:10" x14ac:dyDescent="0.55000000000000004">
      <c r="F188" t="s">
        <v>8219</v>
      </c>
      <c r="G188">
        <v>80</v>
      </c>
      <c r="I188" t="s">
        <v>8221</v>
      </c>
      <c r="J188">
        <v>2</v>
      </c>
    </row>
    <row r="189" spans="6:10" x14ac:dyDescent="0.55000000000000004">
      <c r="F189" t="s">
        <v>8219</v>
      </c>
      <c r="G189">
        <v>576</v>
      </c>
      <c r="I189" t="s">
        <v>8221</v>
      </c>
      <c r="J189">
        <v>0</v>
      </c>
    </row>
    <row r="190" spans="6:10" x14ac:dyDescent="0.55000000000000004">
      <c r="F190" t="s">
        <v>8219</v>
      </c>
      <c r="G190">
        <v>202</v>
      </c>
      <c r="I190" t="s">
        <v>8221</v>
      </c>
      <c r="J190">
        <v>1</v>
      </c>
    </row>
    <row r="191" spans="6:10" x14ac:dyDescent="0.55000000000000004">
      <c r="F191" t="s">
        <v>8219</v>
      </c>
      <c r="G191">
        <v>238</v>
      </c>
      <c r="I191" t="s">
        <v>8221</v>
      </c>
      <c r="J191">
        <v>8</v>
      </c>
    </row>
    <row r="192" spans="6:10" x14ac:dyDescent="0.55000000000000004">
      <c r="F192" t="s">
        <v>8219</v>
      </c>
      <c r="G192">
        <v>36</v>
      </c>
      <c r="I192" t="s">
        <v>8221</v>
      </c>
      <c r="J192">
        <v>4</v>
      </c>
    </row>
    <row r="193" spans="6:10" x14ac:dyDescent="0.55000000000000004">
      <c r="F193" t="s">
        <v>8219</v>
      </c>
      <c r="G193">
        <v>150</v>
      </c>
      <c r="I193" t="s">
        <v>8221</v>
      </c>
      <c r="J193">
        <v>28</v>
      </c>
    </row>
    <row r="194" spans="6:10" x14ac:dyDescent="0.55000000000000004">
      <c r="F194" t="s">
        <v>8219</v>
      </c>
      <c r="G194">
        <v>146</v>
      </c>
      <c r="I194" t="s">
        <v>8221</v>
      </c>
      <c r="J194">
        <v>0</v>
      </c>
    </row>
    <row r="195" spans="6:10" x14ac:dyDescent="0.55000000000000004">
      <c r="F195" t="s">
        <v>8219</v>
      </c>
      <c r="G195">
        <v>222</v>
      </c>
      <c r="I195" t="s">
        <v>8221</v>
      </c>
      <c r="J195">
        <v>6</v>
      </c>
    </row>
    <row r="196" spans="6:10" x14ac:dyDescent="0.55000000000000004">
      <c r="F196" t="s">
        <v>8219</v>
      </c>
      <c r="G196">
        <v>120</v>
      </c>
      <c r="I196" t="s">
        <v>8221</v>
      </c>
      <c r="J196">
        <v>22</v>
      </c>
    </row>
    <row r="197" spans="6:10" x14ac:dyDescent="0.55000000000000004">
      <c r="F197" t="s">
        <v>8219</v>
      </c>
      <c r="G197">
        <v>126</v>
      </c>
      <c r="I197" t="s">
        <v>8221</v>
      </c>
      <c r="J197">
        <v>0</v>
      </c>
    </row>
    <row r="198" spans="6:10" x14ac:dyDescent="0.55000000000000004">
      <c r="F198" t="s">
        <v>8219</v>
      </c>
      <c r="G198">
        <v>158</v>
      </c>
      <c r="I198" t="s">
        <v>8221</v>
      </c>
      <c r="J198">
        <v>1</v>
      </c>
    </row>
    <row r="199" spans="6:10" x14ac:dyDescent="0.55000000000000004">
      <c r="F199" t="s">
        <v>8219</v>
      </c>
      <c r="G199">
        <v>316</v>
      </c>
      <c r="I199" t="s">
        <v>8221</v>
      </c>
      <c r="J199">
        <v>20</v>
      </c>
    </row>
    <row r="200" spans="6:10" x14ac:dyDescent="0.55000000000000004">
      <c r="F200" t="s">
        <v>8219</v>
      </c>
      <c r="G200">
        <v>284</v>
      </c>
      <c r="I200" t="s">
        <v>8221</v>
      </c>
      <c r="J200">
        <v>0</v>
      </c>
    </row>
    <row r="201" spans="6:10" x14ac:dyDescent="0.55000000000000004">
      <c r="F201" t="s">
        <v>8219</v>
      </c>
      <c r="G201">
        <v>51</v>
      </c>
      <c r="I201" t="s">
        <v>8221</v>
      </c>
      <c r="J201">
        <v>1</v>
      </c>
    </row>
    <row r="202" spans="6:10" x14ac:dyDescent="0.55000000000000004">
      <c r="F202" t="s">
        <v>8219</v>
      </c>
      <c r="G202">
        <v>158</v>
      </c>
      <c r="I202" t="s">
        <v>8221</v>
      </c>
      <c r="J202">
        <v>3</v>
      </c>
    </row>
    <row r="203" spans="6:10" x14ac:dyDescent="0.55000000000000004">
      <c r="F203" t="s">
        <v>8219</v>
      </c>
      <c r="G203">
        <v>337</v>
      </c>
      <c r="I203" t="s">
        <v>8221</v>
      </c>
      <c r="J203">
        <v>2</v>
      </c>
    </row>
    <row r="204" spans="6:10" x14ac:dyDescent="0.55000000000000004">
      <c r="F204" t="s">
        <v>8219</v>
      </c>
      <c r="G204">
        <v>186</v>
      </c>
      <c r="I204" t="s">
        <v>8221</v>
      </c>
      <c r="J204">
        <v>0</v>
      </c>
    </row>
    <row r="205" spans="6:10" x14ac:dyDescent="0.55000000000000004">
      <c r="F205" t="s">
        <v>8219</v>
      </c>
      <c r="G205">
        <v>58</v>
      </c>
      <c r="I205" t="s">
        <v>8221</v>
      </c>
      <c r="J205">
        <v>2</v>
      </c>
    </row>
    <row r="206" spans="6:10" x14ac:dyDescent="0.55000000000000004">
      <c r="F206" t="s">
        <v>8219</v>
      </c>
      <c r="G206">
        <v>82</v>
      </c>
      <c r="I206" t="s">
        <v>8221</v>
      </c>
      <c r="J206">
        <v>1</v>
      </c>
    </row>
    <row r="207" spans="6:10" x14ac:dyDescent="0.55000000000000004">
      <c r="F207" t="s">
        <v>8219</v>
      </c>
      <c r="G207">
        <v>736</v>
      </c>
      <c r="I207" t="s">
        <v>8221</v>
      </c>
      <c r="J207">
        <v>0</v>
      </c>
    </row>
    <row r="208" spans="6:10" x14ac:dyDescent="0.55000000000000004">
      <c r="F208" t="s">
        <v>8219</v>
      </c>
      <c r="G208">
        <v>1151</v>
      </c>
      <c r="I208" t="s">
        <v>8221</v>
      </c>
      <c r="J208">
        <v>1</v>
      </c>
    </row>
    <row r="209" spans="6:10" x14ac:dyDescent="0.55000000000000004">
      <c r="F209" t="s">
        <v>8219</v>
      </c>
      <c r="G209">
        <v>34</v>
      </c>
      <c r="I209" t="s">
        <v>8221</v>
      </c>
      <c r="J209">
        <v>0</v>
      </c>
    </row>
    <row r="210" spans="6:10" x14ac:dyDescent="0.55000000000000004">
      <c r="F210" t="s">
        <v>8219</v>
      </c>
      <c r="G210">
        <v>498</v>
      </c>
      <c r="I210" t="s">
        <v>8221</v>
      </c>
      <c r="J210">
        <v>5</v>
      </c>
    </row>
    <row r="211" spans="6:10" x14ac:dyDescent="0.55000000000000004">
      <c r="F211" t="s">
        <v>8219</v>
      </c>
      <c r="G211">
        <v>167</v>
      </c>
      <c r="I211" t="s">
        <v>8221</v>
      </c>
      <c r="J211">
        <v>1</v>
      </c>
    </row>
    <row r="212" spans="6:10" x14ac:dyDescent="0.55000000000000004">
      <c r="F212" t="s">
        <v>8219</v>
      </c>
      <c r="G212">
        <v>340</v>
      </c>
      <c r="I212" t="s">
        <v>8221</v>
      </c>
      <c r="J212">
        <v>1</v>
      </c>
    </row>
    <row r="213" spans="6:10" x14ac:dyDescent="0.55000000000000004">
      <c r="F213" t="s">
        <v>8219</v>
      </c>
      <c r="G213">
        <v>438</v>
      </c>
      <c r="I213" t="s">
        <v>8221</v>
      </c>
      <c r="J213">
        <v>2</v>
      </c>
    </row>
    <row r="214" spans="6:10" x14ac:dyDescent="0.55000000000000004">
      <c r="F214" t="s">
        <v>8219</v>
      </c>
      <c r="G214">
        <v>555</v>
      </c>
      <c r="I214" t="s">
        <v>8221</v>
      </c>
      <c r="J214">
        <v>0</v>
      </c>
    </row>
    <row r="215" spans="6:10" x14ac:dyDescent="0.55000000000000004">
      <c r="F215" t="s">
        <v>8219</v>
      </c>
      <c r="G215">
        <v>266</v>
      </c>
      <c r="I215" t="s">
        <v>8221</v>
      </c>
      <c r="J215">
        <v>9</v>
      </c>
    </row>
    <row r="216" spans="6:10" x14ac:dyDescent="0.55000000000000004">
      <c r="F216" t="s">
        <v>8219</v>
      </c>
      <c r="G216">
        <v>69</v>
      </c>
      <c r="I216" t="s">
        <v>8221</v>
      </c>
      <c r="J216">
        <v>4</v>
      </c>
    </row>
    <row r="217" spans="6:10" x14ac:dyDescent="0.55000000000000004">
      <c r="F217" t="s">
        <v>8219</v>
      </c>
      <c r="G217">
        <v>80</v>
      </c>
      <c r="I217" t="s">
        <v>8221</v>
      </c>
      <c r="J217">
        <v>4</v>
      </c>
    </row>
    <row r="218" spans="6:10" x14ac:dyDescent="0.55000000000000004">
      <c r="F218" t="s">
        <v>8219</v>
      </c>
      <c r="G218">
        <v>493</v>
      </c>
      <c r="I218" t="s">
        <v>8221</v>
      </c>
      <c r="J218">
        <v>1</v>
      </c>
    </row>
    <row r="219" spans="6:10" x14ac:dyDescent="0.55000000000000004">
      <c r="F219" t="s">
        <v>8219</v>
      </c>
      <c r="G219">
        <v>31</v>
      </c>
      <c r="I219" t="s">
        <v>8221</v>
      </c>
      <c r="J219">
        <v>1</v>
      </c>
    </row>
    <row r="220" spans="6:10" x14ac:dyDescent="0.55000000000000004">
      <c r="F220" t="s">
        <v>8219</v>
      </c>
      <c r="G220">
        <v>236</v>
      </c>
      <c r="I220" t="s">
        <v>8221</v>
      </c>
      <c r="J220">
        <v>7</v>
      </c>
    </row>
    <row r="221" spans="6:10" x14ac:dyDescent="0.55000000000000004">
      <c r="F221" t="s">
        <v>8219</v>
      </c>
      <c r="G221">
        <v>89</v>
      </c>
      <c r="I221" t="s">
        <v>8221</v>
      </c>
      <c r="J221">
        <v>5</v>
      </c>
    </row>
    <row r="222" spans="6:10" x14ac:dyDescent="0.55000000000000004">
      <c r="F222" t="s">
        <v>8219</v>
      </c>
      <c r="G222">
        <v>299</v>
      </c>
      <c r="I222" t="s">
        <v>8221</v>
      </c>
      <c r="J222">
        <v>1</v>
      </c>
    </row>
    <row r="223" spans="6:10" x14ac:dyDescent="0.55000000000000004">
      <c r="F223" t="s">
        <v>8219</v>
      </c>
      <c r="G223">
        <v>55</v>
      </c>
      <c r="I223" t="s">
        <v>8221</v>
      </c>
      <c r="J223">
        <v>0</v>
      </c>
    </row>
    <row r="224" spans="6:10" x14ac:dyDescent="0.55000000000000004">
      <c r="F224" t="s">
        <v>8219</v>
      </c>
      <c r="G224">
        <v>325</v>
      </c>
      <c r="I224" t="s">
        <v>8221</v>
      </c>
      <c r="J224">
        <v>0</v>
      </c>
    </row>
    <row r="225" spans="6:10" x14ac:dyDescent="0.55000000000000004">
      <c r="F225" t="s">
        <v>8219</v>
      </c>
      <c r="G225">
        <v>524</v>
      </c>
      <c r="I225" t="s">
        <v>8221</v>
      </c>
      <c r="J225">
        <v>1</v>
      </c>
    </row>
    <row r="226" spans="6:10" x14ac:dyDescent="0.55000000000000004">
      <c r="F226" t="s">
        <v>8219</v>
      </c>
      <c r="G226">
        <v>285</v>
      </c>
      <c r="I226" t="s">
        <v>8221</v>
      </c>
      <c r="J226">
        <v>2</v>
      </c>
    </row>
    <row r="227" spans="6:10" x14ac:dyDescent="0.55000000000000004">
      <c r="F227" t="s">
        <v>8219</v>
      </c>
      <c r="G227">
        <v>179</v>
      </c>
      <c r="I227" t="s">
        <v>8221</v>
      </c>
      <c r="J227">
        <v>0</v>
      </c>
    </row>
    <row r="228" spans="6:10" x14ac:dyDescent="0.55000000000000004">
      <c r="F228" t="s">
        <v>8219</v>
      </c>
      <c r="G228">
        <v>188</v>
      </c>
      <c r="I228" t="s">
        <v>8221</v>
      </c>
      <c r="J228">
        <v>4</v>
      </c>
    </row>
    <row r="229" spans="6:10" x14ac:dyDescent="0.55000000000000004">
      <c r="F229" t="s">
        <v>8219</v>
      </c>
      <c r="G229">
        <v>379</v>
      </c>
      <c r="I229" t="s">
        <v>8221</v>
      </c>
      <c r="J229">
        <v>7</v>
      </c>
    </row>
    <row r="230" spans="6:10" x14ac:dyDescent="0.55000000000000004">
      <c r="F230" t="s">
        <v>8219</v>
      </c>
      <c r="G230">
        <v>119</v>
      </c>
      <c r="I230" t="s">
        <v>8221</v>
      </c>
      <c r="J230">
        <v>2</v>
      </c>
    </row>
    <row r="231" spans="6:10" x14ac:dyDescent="0.55000000000000004">
      <c r="F231" t="s">
        <v>8219</v>
      </c>
      <c r="G231">
        <v>167</v>
      </c>
      <c r="I231" t="s">
        <v>8221</v>
      </c>
      <c r="J231">
        <v>1</v>
      </c>
    </row>
    <row r="232" spans="6:10" x14ac:dyDescent="0.55000000000000004">
      <c r="F232" t="s">
        <v>8219</v>
      </c>
      <c r="G232">
        <v>221</v>
      </c>
      <c r="I232" t="s">
        <v>8221</v>
      </c>
      <c r="J232">
        <v>9</v>
      </c>
    </row>
    <row r="233" spans="6:10" x14ac:dyDescent="0.55000000000000004">
      <c r="F233" t="s">
        <v>8219</v>
      </c>
      <c r="G233">
        <v>964</v>
      </c>
      <c r="I233" t="s">
        <v>8221</v>
      </c>
      <c r="J233">
        <v>2</v>
      </c>
    </row>
    <row r="234" spans="6:10" x14ac:dyDescent="0.55000000000000004">
      <c r="F234" t="s">
        <v>8219</v>
      </c>
      <c r="G234">
        <v>286</v>
      </c>
      <c r="I234" t="s">
        <v>8221</v>
      </c>
      <c r="J234">
        <v>1</v>
      </c>
    </row>
    <row r="235" spans="6:10" x14ac:dyDescent="0.55000000000000004">
      <c r="F235" t="s">
        <v>8219</v>
      </c>
      <c r="G235">
        <v>613</v>
      </c>
      <c r="I235" t="s">
        <v>8221</v>
      </c>
      <c r="J235">
        <v>7</v>
      </c>
    </row>
    <row r="236" spans="6:10" x14ac:dyDescent="0.55000000000000004">
      <c r="F236" t="s">
        <v>8219</v>
      </c>
      <c r="G236">
        <v>29</v>
      </c>
      <c r="I236" t="s">
        <v>8221</v>
      </c>
      <c r="J236">
        <v>2</v>
      </c>
    </row>
    <row r="237" spans="6:10" x14ac:dyDescent="0.55000000000000004">
      <c r="F237" t="s">
        <v>8219</v>
      </c>
      <c r="G237">
        <v>165</v>
      </c>
      <c r="I237" t="s">
        <v>8221</v>
      </c>
      <c r="J237">
        <v>8</v>
      </c>
    </row>
    <row r="238" spans="6:10" x14ac:dyDescent="0.55000000000000004">
      <c r="F238" t="s">
        <v>8219</v>
      </c>
      <c r="G238">
        <v>97</v>
      </c>
      <c r="I238" t="s">
        <v>8221</v>
      </c>
      <c r="J238">
        <v>2</v>
      </c>
    </row>
    <row r="239" spans="6:10" x14ac:dyDescent="0.55000000000000004">
      <c r="F239" t="s">
        <v>8219</v>
      </c>
      <c r="G239">
        <v>303</v>
      </c>
      <c r="I239" t="s">
        <v>8221</v>
      </c>
      <c r="J239">
        <v>2</v>
      </c>
    </row>
    <row r="240" spans="6:10" x14ac:dyDescent="0.55000000000000004">
      <c r="F240" t="s">
        <v>8219</v>
      </c>
      <c r="G240">
        <v>267</v>
      </c>
      <c r="I240" t="s">
        <v>8221</v>
      </c>
      <c r="J240">
        <v>7</v>
      </c>
    </row>
    <row r="241" spans="6:10" x14ac:dyDescent="0.55000000000000004">
      <c r="F241" t="s">
        <v>8219</v>
      </c>
      <c r="G241">
        <v>302</v>
      </c>
      <c r="I241" t="s">
        <v>8221</v>
      </c>
      <c r="J241">
        <v>2</v>
      </c>
    </row>
    <row r="242" spans="6:10" x14ac:dyDescent="0.55000000000000004">
      <c r="F242" t="s">
        <v>8219</v>
      </c>
      <c r="G242">
        <v>87</v>
      </c>
      <c r="I242" t="s">
        <v>8221</v>
      </c>
      <c r="J242">
        <v>18</v>
      </c>
    </row>
    <row r="243" spans="6:10" x14ac:dyDescent="0.55000000000000004">
      <c r="F243" t="s">
        <v>8219</v>
      </c>
      <c r="G243">
        <v>354</v>
      </c>
      <c r="I243" t="s">
        <v>8221</v>
      </c>
      <c r="J243">
        <v>9</v>
      </c>
    </row>
    <row r="244" spans="6:10" x14ac:dyDescent="0.55000000000000004">
      <c r="F244" t="s">
        <v>8219</v>
      </c>
      <c r="G244">
        <v>86</v>
      </c>
      <c r="I244" t="s">
        <v>8221</v>
      </c>
      <c r="J244">
        <v>4</v>
      </c>
    </row>
    <row r="245" spans="6:10" x14ac:dyDescent="0.55000000000000004">
      <c r="F245" t="s">
        <v>8219</v>
      </c>
      <c r="G245">
        <v>26</v>
      </c>
      <c r="I245" t="s">
        <v>8221</v>
      </c>
      <c r="J245">
        <v>7</v>
      </c>
    </row>
    <row r="246" spans="6:10" x14ac:dyDescent="0.55000000000000004">
      <c r="F246" t="s">
        <v>8219</v>
      </c>
      <c r="G246">
        <v>113</v>
      </c>
      <c r="I246" t="s">
        <v>8221</v>
      </c>
      <c r="J246">
        <v>29</v>
      </c>
    </row>
    <row r="247" spans="6:10" x14ac:dyDescent="0.55000000000000004">
      <c r="F247" t="s">
        <v>8219</v>
      </c>
      <c r="G247">
        <v>65</v>
      </c>
      <c r="I247" t="s">
        <v>8221</v>
      </c>
      <c r="J247">
        <v>12</v>
      </c>
    </row>
    <row r="248" spans="6:10" x14ac:dyDescent="0.55000000000000004">
      <c r="F248" t="s">
        <v>8219</v>
      </c>
      <c r="G248">
        <v>134</v>
      </c>
      <c r="I248" t="s">
        <v>8221</v>
      </c>
      <c r="J248">
        <v>4</v>
      </c>
    </row>
    <row r="249" spans="6:10" x14ac:dyDescent="0.55000000000000004">
      <c r="F249" t="s">
        <v>8219</v>
      </c>
      <c r="G249">
        <v>119</v>
      </c>
      <c r="I249" t="s">
        <v>8221</v>
      </c>
      <c r="J249">
        <v>28</v>
      </c>
    </row>
    <row r="250" spans="6:10" x14ac:dyDescent="0.55000000000000004">
      <c r="F250" t="s">
        <v>8219</v>
      </c>
      <c r="G250">
        <v>159</v>
      </c>
      <c r="I250" t="s">
        <v>8221</v>
      </c>
      <c r="J250">
        <v>25</v>
      </c>
    </row>
    <row r="251" spans="6:10" x14ac:dyDescent="0.55000000000000004">
      <c r="F251" t="s">
        <v>8219</v>
      </c>
      <c r="G251">
        <v>167</v>
      </c>
      <c r="I251" t="s">
        <v>8221</v>
      </c>
      <c r="J251">
        <v>28</v>
      </c>
    </row>
    <row r="252" spans="6:10" x14ac:dyDescent="0.55000000000000004">
      <c r="F252" t="s">
        <v>8219</v>
      </c>
      <c r="G252">
        <v>43</v>
      </c>
      <c r="I252" t="s">
        <v>8221</v>
      </c>
      <c r="J252">
        <v>310</v>
      </c>
    </row>
    <row r="253" spans="6:10" x14ac:dyDescent="0.55000000000000004">
      <c r="F253" t="s">
        <v>8219</v>
      </c>
      <c r="G253">
        <v>1062</v>
      </c>
      <c r="I253" t="s">
        <v>8221</v>
      </c>
      <c r="J253">
        <v>15</v>
      </c>
    </row>
    <row r="254" spans="6:10" x14ac:dyDescent="0.55000000000000004">
      <c r="F254" t="s">
        <v>8219</v>
      </c>
      <c r="G254">
        <v>9</v>
      </c>
      <c r="I254" t="s">
        <v>8221</v>
      </c>
      <c r="J254">
        <v>215</v>
      </c>
    </row>
    <row r="255" spans="6:10" x14ac:dyDescent="0.55000000000000004">
      <c r="F255" t="s">
        <v>8219</v>
      </c>
      <c r="G255">
        <v>89</v>
      </c>
      <c r="I255" t="s">
        <v>8221</v>
      </c>
      <c r="J255">
        <v>3</v>
      </c>
    </row>
    <row r="256" spans="6:10" x14ac:dyDescent="0.55000000000000004">
      <c r="F256" t="s">
        <v>8219</v>
      </c>
      <c r="G256">
        <v>174</v>
      </c>
      <c r="I256" t="s">
        <v>8221</v>
      </c>
      <c r="J256">
        <v>2</v>
      </c>
    </row>
    <row r="257" spans="6:10" x14ac:dyDescent="0.55000000000000004">
      <c r="F257" t="s">
        <v>8219</v>
      </c>
      <c r="G257">
        <v>14</v>
      </c>
      <c r="I257" t="s">
        <v>8221</v>
      </c>
      <c r="J257">
        <v>26</v>
      </c>
    </row>
    <row r="258" spans="6:10" x14ac:dyDescent="0.55000000000000004">
      <c r="F258" t="s">
        <v>8219</v>
      </c>
      <c r="G258">
        <v>48</v>
      </c>
      <c r="I258" t="s">
        <v>8221</v>
      </c>
      <c r="J258">
        <v>24</v>
      </c>
    </row>
    <row r="259" spans="6:10" x14ac:dyDescent="0.55000000000000004">
      <c r="F259" t="s">
        <v>8219</v>
      </c>
      <c r="G259">
        <v>133</v>
      </c>
      <c r="I259" t="s">
        <v>8221</v>
      </c>
      <c r="J259">
        <v>96</v>
      </c>
    </row>
    <row r="260" spans="6:10" x14ac:dyDescent="0.55000000000000004">
      <c r="F260" t="s">
        <v>8219</v>
      </c>
      <c r="G260">
        <v>83</v>
      </c>
      <c r="I260" t="s">
        <v>8221</v>
      </c>
      <c r="J260">
        <v>17</v>
      </c>
    </row>
    <row r="261" spans="6:10" x14ac:dyDescent="0.55000000000000004">
      <c r="F261" t="s">
        <v>8219</v>
      </c>
      <c r="G261">
        <v>149</v>
      </c>
      <c r="I261" t="s">
        <v>8221</v>
      </c>
      <c r="J261">
        <v>94</v>
      </c>
    </row>
    <row r="262" spans="6:10" x14ac:dyDescent="0.55000000000000004">
      <c r="F262" t="s">
        <v>8219</v>
      </c>
      <c r="G262">
        <v>49</v>
      </c>
      <c r="I262" t="s">
        <v>8221</v>
      </c>
      <c r="J262">
        <v>129</v>
      </c>
    </row>
    <row r="263" spans="6:10" x14ac:dyDescent="0.55000000000000004">
      <c r="F263" t="s">
        <v>8219</v>
      </c>
      <c r="G263">
        <v>251</v>
      </c>
      <c r="I263" t="s">
        <v>8221</v>
      </c>
      <c r="J263">
        <v>1</v>
      </c>
    </row>
    <row r="264" spans="6:10" x14ac:dyDescent="0.55000000000000004">
      <c r="F264" t="s">
        <v>8219</v>
      </c>
      <c r="G264">
        <v>22</v>
      </c>
      <c r="I264" t="s">
        <v>8221</v>
      </c>
      <c r="J264">
        <v>4</v>
      </c>
    </row>
    <row r="265" spans="6:10" x14ac:dyDescent="0.55000000000000004">
      <c r="F265" t="s">
        <v>8219</v>
      </c>
      <c r="G265">
        <v>48</v>
      </c>
      <c r="I265" t="s">
        <v>8221</v>
      </c>
      <c r="J265">
        <v>3</v>
      </c>
    </row>
    <row r="266" spans="6:10" x14ac:dyDescent="0.55000000000000004">
      <c r="F266" t="s">
        <v>8219</v>
      </c>
      <c r="G266">
        <v>383</v>
      </c>
      <c r="I266" t="s">
        <v>8221</v>
      </c>
      <c r="J266">
        <v>135</v>
      </c>
    </row>
    <row r="267" spans="6:10" x14ac:dyDescent="0.55000000000000004">
      <c r="F267" t="s">
        <v>8219</v>
      </c>
      <c r="G267">
        <v>237</v>
      </c>
      <c r="I267" t="s">
        <v>8221</v>
      </c>
      <c r="J267">
        <v>10</v>
      </c>
    </row>
    <row r="268" spans="6:10" x14ac:dyDescent="0.55000000000000004">
      <c r="F268" t="s">
        <v>8219</v>
      </c>
      <c r="G268">
        <v>13</v>
      </c>
      <c r="I268" t="s">
        <v>8221</v>
      </c>
      <c r="J268">
        <v>0</v>
      </c>
    </row>
    <row r="269" spans="6:10" x14ac:dyDescent="0.55000000000000004">
      <c r="F269" t="s">
        <v>8219</v>
      </c>
      <c r="G269">
        <v>562</v>
      </c>
      <c r="I269" t="s">
        <v>8221</v>
      </c>
      <c r="J269">
        <v>6</v>
      </c>
    </row>
    <row r="270" spans="6:10" x14ac:dyDescent="0.55000000000000004">
      <c r="F270" t="s">
        <v>8219</v>
      </c>
      <c r="G270">
        <v>71</v>
      </c>
      <c r="I270" t="s">
        <v>8221</v>
      </c>
      <c r="J270">
        <v>36</v>
      </c>
    </row>
    <row r="271" spans="6:10" x14ac:dyDescent="0.55000000000000004">
      <c r="F271" t="s">
        <v>8219</v>
      </c>
      <c r="G271">
        <v>1510</v>
      </c>
      <c r="I271" t="s">
        <v>8221</v>
      </c>
      <c r="J271">
        <v>336</v>
      </c>
    </row>
    <row r="272" spans="6:10" x14ac:dyDescent="0.55000000000000004">
      <c r="F272" t="s">
        <v>8219</v>
      </c>
      <c r="G272">
        <v>14</v>
      </c>
      <c r="I272" t="s">
        <v>8221</v>
      </c>
      <c r="J272">
        <v>34</v>
      </c>
    </row>
    <row r="273" spans="6:10" x14ac:dyDescent="0.55000000000000004">
      <c r="F273" t="s">
        <v>8219</v>
      </c>
      <c r="G273">
        <v>193</v>
      </c>
      <c r="I273" t="s">
        <v>8221</v>
      </c>
      <c r="J273">
        <v>10</v>
      </c>
    </row>
    <row r="274" spans="6:10" x14ac:dyDescent="0.55000000000000004">
      <c r="F274" t="s">
        <v>8219</v>
      </c>
      <c r="G274">
        <v>206</v>
      </c>
      <c r="I274" t="s">
        <v>8221</v>
      </c>
      <c r="J274">
        <v>201</v>
      </c>
    </row>
    <row r="275" spans="6:10" x14ac:dyDescent="0.55000000000000004">
      <c r="F275" t="s">
        <v>8219</v>
      </c>
      <c r="G275">
        <v>351</v>
      </c>
      <c r="I275" t="s">
        <v>8221</v>
      </c>
      <c r="J275">
        <v>296</v>
      </c>
    </row>
    <row r="276" spans="6:10" x14ac:dyDescent="0.55000000000000004">
      <c r="F276" t="s">
        <v>8219</v>
      </c>
      <c r="G276">
        <v>50</v>
      </c>
      <c r="I276" t="s">
        <v>8221</v>
      </c>
      <c r="J276">
        <v>7</v>
      </c>
    </row>
    <row r="277" spans="6:10" x14ac:dyDescent="0.55000000000000004">
      <c r="F277" t="s">
        <v>8219</v>
      </c>
      <c r="G277">
        <v>184</v>
      </c>
      <c r="I277" t="s">
        <v>8221</v>
      </c>
      <c r="J277">
        <v>7</v>
      </c>
    </row>
    <row r="278" spans="6:10" x14ac:dyDescent="0.55000000000000004">
      <c r="F278" t="s">
        <v>8219</v>
      </c>
      <c r="G278">
        <v>196</v>
      </c>
      <c r="I278" t="s">
        <v>8221</v>
      </c>
      <c r="J278">
        <v>1</v>
      </c>
    </row>
    <row r="279" spans="6:10" x14ac:dyDescent="0.55000000000000004">
      <c r="F279" t="s">
        <v>8219</v>
      </c>
      <c r="G279">
        <v>229</v>
      </c>
      <c r="I279" t="s">
        <v>8221</v>
      </c>
      <c r="J279">
        <v>114</v>
      </c>
    </row>
    <row r="280" spans="6:10" x14ac:dyDescent="0.55000000000000004">
      <c r="F280" t="s">
        <v>8219</v>
      </c>
      <c r="G280">
        <v>67</v>
      </c>
      <c r="I280" t="s">
        <v>8221</v>
      </c>
      <c r="J280">
        <v>29</v>
      </c>
    </row>
    <row r="281" spans="6:10" x14ac:dyDescent="0.55000000000000004">
      <c r="F281" t="s">
        <v>8219</v>
      </c>
      <c r="G281">
        <v>95</v>
      </c>
      <c r="I281" t="s">
        <v>8221</v>
      </c>
      <c r="J281">
        <v>890</v>
      </c>
    </row>
    <row r="282" spans="6:10" x14ac:dyDescent="0.55000000000000004">
      <c r="F282" t="s">
        <v>8219</v>
      </c>
      <c r="G282">
        <v>62</v>
      </c>
      <c r="I282" t="s">
        <v>8221</v>
      </c>
      <c r="J282">
        <v>31</v>
      </c>
    </row>
    <row r="283" spans="6:10" x14ac:dyDescent="0.55000000000000004">
      <c r="F283" t="s">
        <v>8219</v>
      </c>
      <c r="G283">
        <v>73</v>
      </c>
      <c r="I283" t="s">
        <v>8221</v>
      </c>
      <c r="J283">
        <v>21</v>
      </c>
    </row>
    <row r="284" spans="6:10" x14ac:dyDescent="0.55000000000000004">
      <c r="F284" t="s">
        <v>8219</v>
      </c>
      <c r="G284">
        <v>43</v>
      </c>
      <c r="I284" t="s">
        <v>8221</v>
      </c>
      <c r="J284">
        <v>37</v>
      </c>
    </row>
    <row r="285" spans="6:10" x14ac:dyDescent="0.55000000000000004">
      <c r="F285" t="s">
        <v>8219</v>
      </c>
      <c r="G285">
        <v>70</v>
      </c>
      <c r="I285" t="s">
        <v>8221</v>
      </c>
      <c r="J285">
        <v>7</v>
      </c>
    </row>
    <row r="286" spans="6:10" x14ac:dyDescent="0.55000000000000004">
      <c r="F286" t="s">
        <v>8219</v>
      </c>
      <c r="G286">
        <v>271</v>
      </c>
      <c r="I286" t="s">
        <v>8221</v>
      </c>
      <c r="J286">
        <v>4</v>
      </c>
    </row>
    <row r="287" spans="6:10" x14ac:dyDescent="0.55000000000000004">
      <c r="F287" t="s">
        <v>8219</v>
      </c>
      <c r="G287">
        <v>55</v>
      </c>
      <c r="I287" t="s">
        <v>8221</v>
      </c>
      <c r="J287">
        <v>5</v>
      </c>
    </row>
    <row r="288" spans="6:10" x14ac:dyDescent="0.55000000000000004">
      <c r="F288" t="s">
        <v>8219</v>
      </c>
      <c r="G288">
        <v>35</v>
      </c>
      <c r="I288" t="s">
        <v>8221</v>
      </c>
      <c r="J288">
        <v>0</v>
      </c>
    </row>
    <row r="289" spans="6:10" x14ac:dyDescent="0.55000000000000004">
      <c r="F289" t="s">
        <v>8219</v>
      </c>
      <c r="G289">
        <v>22</v>
      </c>
      <c r="I289" t="s">
        <v>8221</v>
      </c>
      <c r="J289">
        <v>456</v>
      </c>
    </row>
    <row r="290" spans="6:10" x14ac:dyDescent="0.55000000000000004">
      <c r="F290" t="s">
        <v>8219</v>
      </c>
      <c r="G290">
        <v>38</v>
      </c>
      <c r="I290" t="s">
        <v>8221</v>
      </c>
      <c r="J290">
        <v>369</v>
      </c>
    </row>
    <row r="291" spans="6:10" x14ac:dyDescent="0.55000000000000004">
      <c r="F291" t="s">
        <v>8219</v>
      </c>
      <c r="G291">
        <v>15</v>
      </c>
      <c r="I291" t="s">
        <v>8221</v>
      </c>
      <c r="J291">
        <v>2</v>
      </c>
    </row>
    <row r="292" spans="6:10" x14ac:dyDescent="0.55000000000000004">
      <c r="F292" t="s">
        <v>8219</v>
      </c>
      <c r="G292">
        <v>7</v>
      </c>
      <c r="I292" t="s">
        <v>8221</v>
      </c>
      <c r="J292">
        <v>0</v>
      </c>
    </row>
    <row r="293" spans="6:10" x14ac:dyDescent="0.55000000000000004">
      <c r="F293" t="s">
        <v>8219</v>
      </c>
      <c r="G293">
        <v>241</v>
      </c>
      <c r="I293" t="s">
        <v>8221</v>
      </c>
      <c r="J293">
        <v>338</v>
      </c>
    </row>
    <row r="294" spans="6:10" x14ac:dyDescent="0.55000000000000004">
      <c r="F294" t="s">
        <v>8219</v>
      </c>
      <c r="G294">
        <v>55</v>
      </c>
      <c r="I294" t="s">
        <v>8221</v>
      </c>
      <c r="J294">
        <v>4</v>
      </c>
    </row>
    <row r="295" spans="6:10" x14ac:dyDescent="0.55000000000000004">
      <c r="F295" t="s">
        <v>8219</v>
      </c>
      <c r="G295">
        <v>171</v>
      </c>
      <c r="I295" t="s">
        <v>8221</v>
      </c>
      <c r="J295">
        <v>1</v>
      </c>
    </row>
    <row r="296" spans="6:10" x14ac:dyDescent="0.55000000000000004">
      <c r="F296" t="s">
        <v>8219</v>
      </c>
      <c r="G296">
        <v>208</v>
      </c>
      <c r="I296" t="s">
        <v>8221</v>
      </c>
      <c r="J296">
        <v>28</v>
      </c>
    </row>
    <row r="297" spans="6:10" x14ac:dyDescent="0.55000000000000004">
      <c r="F297" t="s">
        <v>8219</v>
      </c>
      <c r="G297">
        <v>21</v>
      </c>
      <c r="I297" t="s">
        <v>8221</v>
      </c>
      <c r="J297">
        <v>12</v>
      </c>
    </row>
    <row r="298" spans="6:10" x14ac:dyDescent="0.55000000000000004">
      <c r="F298" t="s">
        <v>8219</v>
      </c>
      <c r="G298">
        <v>25</v>
      </c>
      <c r="I298" t="s">
        <v>8221</v>
      </c>
      <c r="J298">
        <v>16</v>
      </c>
    </row>
    <row r="299" spans="6:10" x14ac:dyDescent="0.55000000000000004">
      <c r="F299" t="s">
        <v>8219</v>
      </c>
      <c r="G299">
        <v>52</v>
      </c>
      <c r="I299" t="s">
        <v>8221</v>
      </c>
      <c r="J299">
        <v>4</v>
      </c>
    </row>
    <row r="300" spans="6:10" x14ac:dyDescent="0.55000000000000004">
      <c r="F300" t="s">
        <v>8219</v>
      </c>
      <c r="G300">
        <v>104</v>
      </c>
      <c r="I300" t="s">
        <v>8221</v>
      </c>
      <c r="J300">
        <v>4</v>
      </c>
    </row>
    <row r="301" spans="6:10" x14ac:dyDescent="0.55000000000000004">
      <c r="F301" t="s">
        <v>8219</v>
      </c>
      <c r="G301">
        <v>73</v>
      </c>
      <c r="I301" t="s">
        <v>8221</v>
      </c>
      <c r="J301">
        <v>10</v>
      </c>
    </row>
    <row r="302" spans="6:10" x14ac:dyDescent="0.55000000000000004">
      <c r="F302" t="s">
        <v>8219</v>
      </c>
      <c r="G302">
        <v>34</v>
      </c>
      <c r="I302" t="s">
        <v>8221</v>
      </c>
      <c r="J302">
        <v>0</v>
      </c>
    </row>
    <row r="303" spans="6:10" x14ac:dyDescent="0.55000000000000004">
      <c r="F303" t="s">
        <v>8219</v>
      </c>
      <c r="G303">
        <v>56</v>
      </c>
      <c r="I303" t="s">
        <v>8221</v>
      </c>
      <c r="J303">
        <v>6</v>
      </c>
    </row>
    <row r="304" spans="6:10" x14ac:dyDescent="0.55000000000000004">
      <c r="F304" t="s">
        <v>8219</v>
      </c>
      <c r="G304">
        <v>31</v>
      </c>
      <c r="I304" t="s">
        <v>8221</v>
      </c>
      <c r="J304">
        <v>0</v>
      </c>
    </row>
    <row r="305" spans="6:10" x14ac:dyDescent="0.55000000000000004">
      <c r="F305" t="s">
        <v>8219</v>
      </c>
      <c r="G305">
        <v>84</v>
      </c>
      <c r="I305" t="s">
        <v>8221</v>
      </c>
      <c r="J305">
        <v>1</v>
      </c>
    </row>
    <row r="306" spans="6:10" x14ac:dyDescent="0.55000000000000004">
      <c r="F306" t="s">
        <v>8219</v>
      </c>
      <c r="G306">
        <v>130</v>
      </c>
      <c r="I306" t="s">
        <v>8221</v>
      </c>
      <c r="J306">
        <v>0</v>
      </c>
    </row>
    <row r="307" spans="6:10" x14ac:dyDescent="0.55000000000000004">
      <c r="F307" t="s">
        <v>8219</v>
      </c>
      <c r="G307">
        <v>12</v>
      </c>
      <c r="I307" t="s">
        <v>8221</v>
      </c>
      <c r="J307">
        <v>44</v>
      </c>
    </row>
    <row r="308" spans="6:10" x14ac:dyDescent="0.55000000000000004">
      <c r="F308" t="s">
        <v>8219</v>
      </c>
      <c r="G308">
        <v>23</v>
      </c>
      <c r="I308" t="s">
        <v>8221</v>
      </c>
      <c r="J308">
        <v>0</v>
      </c>
    </row>
    <row r="309" spans="6:10" x14ac:dyDescent="0.55000000000000004">
      <c r="F309" t="s">
        <v>8219</v>
      </c>
      <c r="G309">
        <v>158</v>
      </c>
      <c r="I309" t="s">
        <v>8221</v>
      </c>
      <c r="J309">
        <v>3</v>
      </c>
    </row>
    <row r="310" spans="6:10" x14ac:dyDescent="0.55000000000000004">
      <c r="F310" t="s">
        <v>8219</v>
      </c>
      <c r="G310">
        <v>30</v>
      </c>
      <c r="I310" t="s">
        <v>8221</v>
      </c>
      <c r="J310">
        <v>0</v>
      </c>
    </row>
    <row r="311" spans="6:10" x14ac:dyDescent="0.55000000000000004">
      <c r="F311" t="s">
        <v>8219</v>
      </c>
      <c r="G311">
        <v>18</v>
      </c>
      <c r="I311" t="s">
        <v>8221</v>
      </c>
      <c r="J311">
        <v>52</v>
      </c>
    </row>
    <row r="312" spans="6:10" x14ac:dyDescent="0.55000000000000004">
      <c r="F312" t="s">
        <v>8219</v>
      </c>
      <c r="G312">
        <v>29</v>
      </c>
      <c r="I312" t="s">
        <v>8221</v>
      </c>
      <c r="J312">
        <v>0</v>
      </c>
    </row>
    <row r="313" spans="6:10" x14ac:dyDescent="0.55000000000000004">
      <c r="F313" t="s">
        <v>8219</v>
      </c>
      <c r="G313">
        <v>31</v>
      </c>
      <c r="I313" t="s">
        <v>8221</v>
      </c>
      <c r="J313">
        <v>1</v>
      </c>
    </row>
    <row r="314" spans="6:10" x14ac:dyDescent="0.55000000000000004">
      <c r="F314" t="s">
        <v>8219</v>
      </c>
      <c r="G314">
        <v>173</v>
      </c>
      <c r="I314" t="s">
        <v>8221</v>
      </c>
      <c r="J314">
        <v>1</v>
      </c>
    </row>
    <row r="315" spans="6:10" x14ac:dyDescent="0.55000000000000004">
      <c r="F315" t="s">
        <v>8219</v>
      </c>
      <c r="G315">
        <v>17</v>
      </c>
      <c r="I315" t="s">
        <v>8221</v>
      </c>
      <c r="J315">
        <v>2</v>
      </c>
    </row>
    <row r="316" spans="6:10" x14ac:dyDescent="0.55000000000000004">
      <c r="F316" t="s">
        <v>8219</v>
      </c>
      <c r="G316">
        <v>48</v>
      </c>
      <c r="I316" t="s">
        <v>8221</v>
      </c>
      <c r="J316">
        <v>9</v>
      </c>
    </row>
    <row r="317" spans="6:10" x14ac:dyDescent="0.55000000000000004">
      <c r="F317" t="s">
        <v>8219</v>
      </c>
      <c r="G317">
        <v>59</v>
      </c>
      <c r="I317" t="s">
        <v>8221</v>
      </c>
      <c r="J317">
        <v>5</v>
      </c>
    </row>
    <row r="318" spans="6:10" x14ac:dyDescent="0.55000000000000004">
      <c r="F318" t="s">
        <v>8219</v>
      </c>
      <c r="G318">
        <v>39</v>
      </c>
      <c r="I318" t="s">
        <v>8221</v>
      </c>
      <c r="J318">
        <v>57</v>
      </c>
    </row>
    <row r="319" spans="6:10" x14ac:dyDescent="0.55000000000000004">
      <c r="F319" t="s">
        <v>8219</v>
      </c>
      <c r="G319">
        <v>59</v>
      </c>
      <c r="I319" t="s">
        <v>8221</v>
      </c>
      <c r="J319">
        <v>3</v>
      </c>
    </row>
    <row r="320" spans="6:10" x14ac:dyDescent="0.55000000000000004">
      <c r="F320" t="s">
        <v>8219</v>
      </c>
      <c r="G320">
        <v>60</v>
      </c>
      <c r="I320" t="s">
        <v>8221</v>
      </c>
      <c r="J320">
        <v>1</v>
      </c>
    </row>
    <row r="321" spans="6:10" x14ac:dyDescent="0.55000000000000004">
      <c r="F321" t="s">
        <v>8219</v>
      </c>
      <c r="G321">
        <v>20</v>
      </c>
      <c r="I321" t="s">
        <v>8221</v>
      </c>
      <c r="J321">
        <v>6</v>
      </c>
    </row>
    <row r="322" spans="6:10" x14ac:dyDescent="0.55000000000000004">
      <c r="F322" t="s">
        <v>8219</v>
      </c>
      <c r="G322">
        <v>2</v>
      </c>
      <c r="I322" t="s">
        <v>8221</v>
      </c>
      <c r="J322">
        <v>48</v>
      </c>
    </row>
    <row r="323" spans="6:10" x14ac:dyDescent="0.55000000000000004">
      <c r="F323" t="s">
        <v>8219</v>
      </c>
      <c r="G323">
        <v>315</v>
      </c>
      <c r="I323" t="s">
        <v>8221</v>
      </c>
      <c r="J323">
        <v>2</v>
      </c>
    </row>
    <row r="324" spans="6:10" x14ac:dyDescent="0.55000000000000004">
      <c r="F324" t="s">
        <v>8219</v>
      </c>
      <c r="G324">
        <v>2174</v>
      </c>
      <c r="I324" t="s">
        <v>8221</v>
      </c>
      <c r="J324">
        <v>4</v>
      </c>
    </row>
    <row r="325" spans="6:10" x14ac:dyDescent="0.55000000000000004">
      <c r="F325" t="s">
        <v>8219</v>
      </c>
      <c r="G325">
        <v>152</v>
      </c>
      <c r="I325" t="s">
        <v>8221</v>
      </c>
      <c r="J325">
        <v>5</v>
      </c>
    </row>
    <row r="326" spans="6:10" x14ac:dyDescent="0.55000000000000004">
      <c r="F326" t="s">
        <v>8219</v>
      </c>
      <c r="G326">
        <v>1021</v>
      </c>
      <c r="I326" t="s">
        <v>8221</v>
      </c>
      <c r="J326">
        <v>79</v>
      </c>
    </row>
    <row r="327" spans="6:10" x14ac:dyDescent="0.55000000000000004">
      <c r="F327" t="s">
        <v>8219</v>
      </c>
      <c r="G327">
        <v>237</v>
      </c>
      <c r="I327" t="s">
        <v>8221</v>
      </c>
      <c r="J327">
        <v>2</v>
      </c>
    </row>
    <row r="328" spans="6:10" x14ac:dyDescent="0.55000000000000004">
      <c r="F328" t="s">
        <v>8219</v>
      </c>
      <c r="G328">
        <v>27</v>
      </c>
      <c r="I328" t="s">
        <v>8221</v>
      </c>
      <c r="J328">
        <v>11</v>
      </c>
    </row>
    <row r="329" spans="6:10" x14ac:dyDescent="0.55000000000000004">
      <c r="F329" t="s">
        <v>8219</v>
      </c>
      <c r="G329">
        <v>17</v>
      </c>
      <c r="I329" t="s">
        <v>8221</v>
      </c>
      <c r="J329">
        <v>11</v>
      </c>
    </row>
    <row r="330" spans="6:10" x14ac:dyDescent="0.55000000000000004">
      <c r="F330" t="s">
        <v>8219</v>
      </c>
      <c r="G330">
        <v>27</v>
      </c>
      <c r="I330" t="s">
        <v>8221</v>
      </c>
      <c r="J330">
        <v>1</v>
      </c>
    </row>
    <row r="331" spans="6:10" x14ac:dyDescent="0.55000000000000004">
      <c r="F331" t="s">
        <v>8219</v>
      </c>
      <c r="G331">
        <v>82</v>
      </c>
      <c r="I331" t="s">
        <v>8221</v>
      </c>
      <c r="J331">
        <v>3</v>
      </c>
    </row>
    <row r="332" spans="6:10" x14ac:dyDescent="0.55000000000000004">
      <c r="F332" t="s">
        <v>8219</v>
      </c>
      <c r="G332">
        <v>48</v>
      </c>
      <c r="I332" t="s">
        <v>8221</v>
      </c>
      <c r="J332">
        <v>5</v>
      </c>
    </row>
    <row r="333" spans="6:10" x14ac:dyDescent="0.55000000000000004">
      <c r="F333" t="s">
        <v>8219</v>
      </c>
      <c r="G333">
        <v>105</v>
      </c>
      <c r="I333" t="s">
        <v>8221</v>
      </c>
      <c r="J333">
        <v>12</v>
      </c>
    </row>
    <row r="334" spans="6:10" x14ac:dyDescent="0.55000000000000004">
      <c r="F334" t="s">
        <v>8219</v>
      </c>
      <c r="G334">
        <v>28</v>
      </c>
      <c r="I334" t="s">
        <v>8221</v>
      </c>
      <c r="J334">
        <v>2</v>
      </c>
    </row>
    <row r="335" spans="6:10" x14ac:dyDescent="0.55000000000000004">
      <c r="F335" t="s">
        <v>8219</v>
      </c>
      <c r="G335">
        <v>1107</v>
      </c>
      <c r="I335" t="s">
        <v>8221</v>
      </c>
      <c r="J335">
        <v>5</v>
      </c>
    </row>
    <row r="336" spans="6:10" x14ac:dyDescent="0.55000000000000004">
      <c r="F336" t="s">
        <v>8219</v>
      </c>
      <c r="G336">
        <v>1013</v>
      </c>
      <c r="I336" t="s">
        <v>8221</v>
      </c>
      <c r="J336">
        <v>21</v>
      </c>
    </row>
    <row r="337" spans="6:10" x14ac:dyDescent="0.55000000000000004">
      <c r="F337" t="s">
        <v>8219</v>
      </c>
      <c r="G337">
        <v>274</v>
      </c>
      <c r="I337" t="s">
        <v>8221</v>
      </c>
      <c r="J337">
        <v>0</v>
      </c>
    </row>
    <row r="338" spans="6:10" x14ac:dyDescent="0.55000000000000004">
      <c r="F338" t="s">
        <v>8219</v>
      </c>
      <c r="G338">
        <v>87</v>
      </c>
      <c r="I338" t="s">
        <v>8221</v>
      </c>
      <c r="J338">
        <v>45</v>
      </c>
    </row>
    <row r="339" spans="6:10" x14ac:dyDescent="0.55000000000000004">
      <c r="F339" t="s">
        <v>8219</v>
      </c>
      <c r="G339">
        <v>99</v>
      </c>
      <c r="I339" t="s">
        <v>8221</v>
      </c>
      <c r="J339">
        <v>29</v>
      </c>
    </row>
    <row r="340" spans="6:10" x14ac:dyDescent="0.55000000000000004">
      <c r="F340" t="s">
        <v>8219</v>
      </c>
      <c r="G340">
        <v>276</v>
      </c>
      <c r="I340" t="s">
        <v>8221</v>
      </c>
      <c r="J340">
        <v>2</v>
      </c>
    </row>
    <row r="341" spans="6:10" x14ac:dyDescent="0.55000000000000004">
      <c r="F341" t="s">
        <v>8219</v>
      </c>
      <c r="G341">
        <v>21</v>
      </c>
      <c r="I341" t="s">
        <v>8221</v>
      </c>
      <c r="J341">
        <v>30</v>
      </c>
    </row>
    <row r="342" spans="6:10" x14ac:dyDescent="0.55000000000000004">
      <c r="F342" t="s">
        <v>8219</v>
      </c>
      <c r="G342">
        <v>41</v>
      </c>
      <c r="I342" t="s">
        <v>8221</v>
      </c>
      <c r="J342">
        <v>8</v>
      </c>
    </row>
    <row r="343" spans="6:10" x14ac:dyDescent="0.55000000000000004">
      <c r="F343" t="s">
        <v>8219</v>
      </c>
      <c r="G343">
        <v>119</v>
      </c>
      <c r="I343" t="s">
        <v>8221</v>
      </c>
      <c r="J343">
        <v>1</v>
      </c>
    </row>
    <row r="344" spans="6:10" x14ac:dyDescent="0.55000000000000004">
      <c r="F344" t="s">
        <v>8219</v>
      </c>
      <c r="G344">
        <v>153</v>
      </c>
      <c r="I344" t="s">
        <v>8221</v>
      </c>
      <c r="J344">
        <v>14</v>
      </c>
    </row>
    <row r="345" spans="6:10" x14ac:dyDescent="0.55000000000000004">
      <c r="F345" t="s">
        <v>8219</v>
      </c>
      <c r="G345">
        <v>100</v>
      </c>
      <c r="I345" t="s">
        <v>8221</v>
      </c>
      <c r="J345">
        <v>24</v>
      </c>
    </row>
    <row r="346" spans="6:10" x14ac:dyDescent="0.55000000000000004">
      <c r="F346" t="s">
        <v>8219</v>
      </c>
      <c r="G346">
        <v>143</v>
      </c>
      <c r="I346" t="s">
        <v>8221</v>
      </c>
      <c r="J346">
        <v>2</v>
      </c>
    </row>
    <row r="347" spans="6:10" x14ac:dyDescent="0.55000000000000004">
      <c r="F347" t="s">
        <v>8219</v>
      </c>
      <c r="G347">
        <v>140</v>
      </c>
      <c r="I347" t="s">
        <v>8221</v>
      </c>
      <c r="J347">
        <v>21</v>
      </c>
    </row>
    <row r="348" spans="6:10" x14ac:dyDescent="0.55000000000000004">
      <c r="F348" t="s">
        <v>8219</v>
      </c>
      <c r="G348">
        <v>35</v>
      </c>
      <c r="I348" t="s">
        <v>8221</v>
      </c>
      <c r="J348">
        <v>7</v>
      </c>
    </row>
    <row r="349" spans="6:10" x14ac:dyDescent="0.55000000000000004">
      <c r="F349" t="s">
        <v>8219</v>
      </c>
      <c r="G349">
        <v>149</v>
      </c>
      <c r="I349" t="s">
        <v>8221</v>
      </c>
      <c r="J349">
        <v>0</v>
      </c>
    </row>
    <row r="350" spans="6:10" x14ac:dyDescent="0.55000000000000004">
      <c r="F350" t="s">
        <v>8219</v>
      </c>
      <c r="G350">
        <v>130</v>
      </c>
      <c r="I350" t="s">
        <v>8221</v>
      </c>
      <c r="J350">
        <v>4</v>
      </c>
    </row>
    <row r="351" spans="6:10" x14ac:dyDescent="0.55000000000000004">
      <c r="F351" t="s">
        <v>8219</v>
      </c>
      <c r="G351">
        <v>120</v>
      </c>
      <c r="I351" t="s">
        <v>8221</v>
      </c>
      <c r="J351">
        <v>32</v>
      </c>
    </row>
    <row r="352" spans="6:10" x14ac:dyDescent="0.55000000000000004">
      <c r="F352" t="s">
        <v>8219</v>
      </c>
      <c r="G352">
        <v>265</v>
      </c>
      <c r="I352" t="s">
        <v>8221</v>
      </c>
      <c r="J352">
        <v>4</v>
      </c>
    </row>
    <row r="353" spans="6:10" x14ac:dyDescent="0.55000000000000004">
      <c r="F353" t="s">
        <v>8219</v>
      </c>
      <c r="G353">
        <v>71</v>
      </c>
      <c r="I353" t="s">
        <v>8221</v>
      </c>
      <c r="J353">
        <v>9</v>
      </c>
    </row>
    <row r="354" spans="6:10" x14ac:dyDescent="0.55000000000000004">
      <c r="F354" t="s">
        <v>8219</v>
      </c>
      <c r="G354">
        <v>13</v>
      </c>
      <c r="I354" t="s">
        <v>8221</v>
      </c>
      <c r="J354">
        <v>17</v>
      </c>
    </row>
    <row r="355" spans="6:10" x14ac:dyDescent="0.55000000000000004">
      <c r="F355" t="s">
        <v>8219</v>
      </c>
      <c r="G355">
        <v>169</v>
      </c>
      <c r="I355" t="s">
        <v>8221</v>
      </c>
      <c r="J355">
        <v>5</v>
      </c>
    </row>
    <row r="356" spans="6:10" x14ac:dyDescent="0.55000000000000004">
      <c r="F356" t="s">
        <v>8219</v>
      </c>
      <c r="G356">
        <v>57</v>
      </c>
      <c r="I356" t="s">
        <v>8221</v>
      </c>
      <c r="J356">
        <v>53</v>
      </c>
    </row>
    <row r="357" spans="6:10" x14ac:dyDescent="0.55000000000000004">
      <c r="F357" t="s">
        <v>8219</v>
      </c>
      <c r="G357">
        <v>229</v>
      </c>
      <c r="I357" t="s">
        <v>8221</v>
      </c>
      <c r="J357">
        <v>7</v>
      </c>
    </row>
    <row r="358" spans="6:10" x14ac:dyDescent="0.55000000000000004">
      <c r="F358" t="s">
        <v>8219</v>
      </c>
      <c r="G358">
        <v>108</v>
      </c>
      <c r="I358" t="s">
        <v>8221</v>
      </c>
      <c r="J358">
        <v>72</v>
      </c>
    </row>
    <row r="359" spans="6:10" x14ac:dyDescent="0.55000000000000004">
      <c r="F359" t="s">
        <v>8219</v>
      </c>
      <c r="G359">
        <v>108</v>
      </c>
      <c r="I359" t="s">
        <v>8221</v>
      </c>
      <c r="J359">
        <v>0</v>
      </c>
    </row>
    <row r="360" spans="6:10" x14ac:dyDescent="0.55000000000000004">
      <c r="F360" t="s">
        <v>8219</v>
      </c>
      <c r="G360">
        <v>41</v>
      </c>
      <c r="I360" t="s">
        <v>8221</v>
      </c>
      <c r="J360">
        <v>2</v>
      </c>
    </row>
    <row r="361" spans="6:10" x14ac:dyDescent="0.55000000000000004">
      <c r="F361" t="s">
        <v>8219</v>
      </c>
      <c r="G361">
        <v>139</v>
      </c>
      <c r="I361" t="s">
        <v>8221</v>
      </c>
      <c r="J361">
        <v>8</v>
      </c>
    </row>
    <row r="362" spans="6:10" x14ac:dyDescent="0.55000000000000004">
      <c r="F362" t="s">
        <v>8219</v>
      </c>
      <c r="G362">
        <v>19</v>
      </c>
      <c r="I362" t="s">
        <v>8221</v>
      </c>
      <c r="J362">
        <v>2</v>
      </c>
    </row>
    <row r="363" spans="6:10" x14ac:dyDescent="0.55000000000000004">
      <c r="F363" t="s">
        <v>8219</v>
      </c>
      <c r="G363">
        <v>94</v>
      </c>
      <c r="I363" t="s">
        <v>8221</v>
      </c>
      <c r="J363">
        <v>0</v>
      </c>
    </row>
    <row r="364" spans="6:10" x14ac:dyDescent="0.55000000000000004">
      <c r="F364" t="s">
        <v>8219</v>
      </c>
      <c r="G364">
        <v>23</v>
      </c>
      <c r="I364" t="s">
        <v>8221</v>
      </c>
      <c r="J364">
        <v>3</v>
      </c>
    </row>
    <row r="365" spans="6:10" x14ac:dyDescent="0.55000000000000004">
      <c r="F365" t="s">
        <v>8219</v>
      </c>
      <c r="G365">
        <v>15</v>
      </c>
      <c r="I365" t="s">
        <v>8221</v>
      </c>
      <c r="J365">
        <v>4</v>
      </c>
    </row>
    <row r="366" spans="6:10" x14ac:dyDescent="0.55000000000000004">
      <c r="F366" t="s">
        <v>8219</v>
      </c>
      <c r="G366">
        <v>62</v>
      </c>
      <c r="I366" t="s">
        <v>8221</v>
      </c>
      <c r="J366">
        <v>3</v>
      </c>
    </row>
    <row r="367" spans="6:10" x14ac:dyDescent="0.55000000000000004">
      <c r="F367" t="s">
        <v>8219</v>
      </c>
      <c r="G367">
        <v>74</v>
      </c>
      <c r="I367" t="s">
        <v>8221</v>
      </c>
      <c r="J367">
        <v>6</v>
      </c>
    </row>
    <row r="368" spans="6:10" x14ac:dyDescent="0.55000000000000004">
      <c r="F368" t="s">
        <v>8219</v>
      </c>
      <c r="G368">
        <v>97</v>
      </c>
      <c r="I368" t="s">
        <v>8221</v>
      </c>
      <c r="J368">
        <v>0</v>
      </c>
    </row>
    <row r="369" spans="6:10" x14ac:dyDescent="0.55000000000000004">
      <c r="F369" t="s">
        <v>8219</v>
      </c>
      <c r="G369">
        <v>55</v>
      </c>
      <c r="I369" t="s">
        <v>8221</v>
      </c>
      <c r="J369">
        <v>0</v>
      </c>
    </row>
    <row r="370" spans="6:10" x14ac:dyDescent="0.55000000000000004">
      <c r="F370" t="s">
        <v>8219</v>
      </c>
      <c r="G370">
        <v>44</v>
      </c>
      <c r="I370" t="s">
        <v>8221</v>
      </c>
      <c r="J370">
        <v>0</v>
      </c>
    </row>
    <row r="371" spans="6:10" x14ac:dyDescent="0.55000000000000004">
      <c r="F371" t="s">
        <v>8219</v>
      </c>
      <c r="G371">
        <v>110</v>
      </c>
      <c r="I371" t="s">
        <v>8221</v>
      </c>
      <c r="J371">
        <v>8</v>
      </c>
    </row>
    <row r="372" spans="6:10" x14ac:dyDescent="0.55000000000000004">
      <c r="F372" t="s">
        <v>8219</v>
      </c>
      <c r="G372">
        <v>59</v>
      </c>
      <c r="I372" t="s">
        <v>8221</v>
      </c>
      <c r="J372">
        <v>5</v>
      </c>
    </row>
    <row r="373" spans="6:10" x14ac:dyDescent="0.55000000000000004">
      <c r="F373" t="s">
        <v>8219</v>
      </c>
      <c r="G373">
        <v>62</v>
      </c>
      <c r="I373" t="s">
        <v>8221</v>
      </c>
      <c r="J373">
        <v>0</v>
      </c>
    </row>
    <row r="374" spans="6:10" x14ac:dyDescent="0.55000000000000004">
      <c r="F374" t="s">
        <v>8219</v>
      </c>
      <c r="G374">
        <v>105</v>
      </c>
      <c r="I374" t="s">
        <v>8221</v>
      </c>
      <c r="J374">
        <v>2</v>
      </c>
    </row>
    <row r="375" spans="6:10" x14ac:dyDescent="0.55000000000000004">
      <c r="F375" t="s">
        <v>8219</v>
      </c>
      <c r="G375">
        <v>26</v>
      </c>
      <c r="I375" t="s">
        <v>8221</v>
      </c>
      <c r="J375">
        <v>24</v>
      </c>
    </row>
    <row r="376" spans="6:10" x14ac:dyDescent="0.55000000000000004">
      <c r="F376" t="s">
        <v>8219</v>
      </c>
      <c r="G376">
        <v>49</v>
      </c>
      <c r="I376" t="s">
        <v>8221</v>
      </c>
      <c r="J376">
        <v>0</v>
      </c>
    </row>
    <row r="377" spans="6:10" x14ac:dyDescent="0.55000000000000004">
      <c r="F377" t="s">
        <v>8219</v>
      </c>
      <c r="G377">
        <v>68</v>
      </c>
      <c r="I377" t="s">
        <v>8221</v>
      </c>
      <c r="J377">
        <v>9</v>
      </c>
    </row>
    <row r="378" spans="6:10" x14ac:dyDescent="0.55000000000000004">
      <c r="F378" t="s">
        <v>8219</v>
      </c>
      <c r="G378">
        <v>22</v>
      </c>
      <c r="I378" t="s">
        <v>8221</v>
      </c>
      <c r="J378">
        <v>0</v>
      </c>
    </row>
    <row r="379" spans="6:10" x14ac:dyDescent="0.55000000000000004">
      <c r="F379" t="s">
        <v>8219</v>
      </c>
      <c r="G379">
        <v>18</v>
      </c>
      <c r="I379" t="s">
        <v>8221</v>
      </c>
      <c r="J379">
        <v>1</v>
      </c>
    </row>
    <row r="380" spans="6:10" x14ac:dyDescent="0.55000000000000004">
      <c r="F380" t="s">
        <v>8219</v>
      </c>
      <c r="G380">
        <v>19</v>
      </c>
      <c r="I380" t="s">
        <v>8221</v>
      </c>
      <c r="J380">
        <v>10</v>
      </c>
    </row>
    <row r="381" spans="6:10" x14ac:dyDescent="0.55000000000000004">
      <c r="F381" t="s">
        <v>8219</v>
      </c>
      <c r="G381">
        <v>99</v>
      </c>
      <c r="I381" t="s">
        <v>8221</v>
      </c>
      <c r="J381">
        <v>1</v>
      </c>
    </row>
    <row r="382" spans="6:10" x14ac:dyDescent="0.55000000000000004">
      <c r="F382" t="s">
        <v>8219</v>
      </c>
      <c r="G382">
        <v>27</v>
      </c>
      <c r="I382" t="s">
        <v>8221</v>
      </c>
      <c r="J382">
        <v>0</v>
      </c>
    </row>
    <row r="383" spans="6:10" x14ac:dyDescent="0.55000000000000004">
      <c r="F383" t="s">
        <v>8219</v>
      </c>
      <c r="G383">
        <v>25</v>
      </c>
      <c r="I383" t="s">
        <v>8221</v>
      </c>
      <c r="J383">
        <v>20</v>
      </c>
    </row>
    <row r="384" spans="6:10" x14ac:dyDescent="0.55000000000000004">
      <c r="F384" t="s">
        <v>8219</v>
      </c>
      <c r="G384">
        <v>14</v>
      </c>
      <c r="I384" t="s">
        <v>8221</v>
      </c>
      <c r="J384">
        <v>30</v>
      </c>
    </row>
    <row r="385" spans="6:10" x14ac:dyDescent="0.55000000000000004">
      <c r="F385" t="s">
        <v>8219</v>
      </c>
      <c r="G385">
        <v>35</v>
      </c>
      <c r="I385" t="s">
        <v>8221</v>
      </c>
      <c r="J385">
        <v>6</v>
      </c>
    </row>
    <row r="386" spans="6:10" x14ac:dyDescent="0.55000000000000004">
      <c r="F386" t="s">
        <v>8219</v>
      </c>
      <c r="G386">
        <v>10</v>
      </c>
      <c r="I386" t="s">
        <v>8221</v>
      </c>
      <c r="J386">
        <v>15</v>
      </c>
    </row>
    <row r="387" spans="6:10" x14ac:dyDescent="0.55000000000000004">
      <c r="F387" t="s">
        <v>8219</v>
      </c>
      <c r="G387">
        <v>29</v>
      </c>
      <c r="I387" t="s">
        <v>8221</v>
      </c>
      <c r="J387">
        <v>5</v>
      </c>
    </row>
    <row r="388" spans="6:10" x14ac:dyDescent="0.55000000000000004">
      <c r="F388" t="s">
        <v>8219</v>
      </c>
      <c r="G388">
        <v>44</v>
      </c>
      <c r="I388" t="s">
        <v>8221</v>
      </c>
      <c r="J388">
        <v>0</v>
      </c>
    </row>
    <row r="389" spans="6:10" x14ac:dyDescent="0.55000000000000004">
      <c r="F389" t="s">
        <v>8219</v>
      </c>
      <c r="G389">
        <v>17</v>
      </c>
      <c r="I389" t="s">
        <v>8221</v>
      </c>
      <c r="J389">
        <v>0</v>
      </c>
    </row>
    <row r="390" spans="6:10" x14ac:dyDescent="0.55000000000000004">
      <c r="F390" t="s">
        <v>8219</v>
      </c>
      <c r="G390">
        <v>34</v>
      </c>
      <c r="I390" t="s">
        <v>8221</v>
      </c>
      <c r="J390">
        <v>28</v>
      </c>
    </row>
    <row r="391" spans="6:10" x14ac:dyDescent="0.55000000000000004">
      <c r="F391" t="s">
        <v>8219</v>
      </c>
      <c r="G391">
        <v>14</v>
      </c>
      <c r="I391" t="s">
        <v>8221</v>
      </c>
      <c r="J391">
        <v>0</v>
      </c>
    </row>
    <row r="392" spans="6:10" x14ac:dyDescent="0.55000000000000004">
      <c r="F392" t="s">
        <v>8219</v>
      </c>
      <c r="G392">
        <v>156</v>
      </c>
      <c r="I392" t="s">
        <v>8221</v>
      </c>
      <c r="J392">
        <v>5</v>
      </c>
    </row>
    <row r="393" spans="6:10" x14ac:dyDescent="0.55000000000000004">
      <c r="F393" t="s">
        <v>8219</v>
      </c>
      <c r="G393">
        <v>128</v>
      </c>
      <c r="I393" t="s">
        <v>8221</v>
      </c>
      <c r="J393">
        <v>7</v>
      </c>
    </row>
    <row r="394" spans="6:10" x14ac:dyDescent="0.55000000000000004">
      <c r="F394" t="s">
        <v>8219</v>
      </c>
      <c r="G394">
        <v>60</v>
      </c>
      <c r="I394" t="s">
        <v>8221</v>
      </c>
      <c r="J394">
        <v>30</v>
      </c>
    </row>
    <row r="395" spans="6:10" x14ac:dyDescent="0.55000000000000004">
      <c r="F395" t="s">
        <v>8219</v>
      </c>
      <c r="G395">
        <v>32</v>
      </c>
      <c r="I395" t="s">
        <v>8221</v>
      </c>
      <c r="J395">
        <v>2</v>
      </c>
    </row>
    <row r="396" spans="6:10" x14ac:dyDescent="0.55000000000000004">
      <c r="F396" t="s">
        <v>8219</v>
      </c>
      <c r="G396">
        <v>53</v>
      </c>
      <c r="I396" t="s">
        <v>8221</v>
      </c>
      <c r="J396">
        <v>30</v>
      </c>
    </row>
    <row r="397" spans="6:10" x14ac:dyDescent="0.55000000000000004">
      <c r="F397" t="s">
        <v>8219</v>
      </c>
      <c r="G397">
        <v>184</v>
      </c>
      <c r="I397" t="s">
        <v>8221</v>
      </c>
      <c r="J397">
        <v>2</v>
      </c>
    </row>
    <row r="398" spans="6:10" x14ac:dyDescent="0.55000000000000004">
      <c r="F398" t="s">
        <v>8219</v>
      </c>
      <c r="G398">
        <v>90</v>
      </c>
      <c r="I398" t="s">
        <v>8221</v>
      </c>
      <c r="J398">
        <v>0</v>
      </c>
    </row>
    <row r="399" spans="6:10" x14ac:dyDescent="0.55000000000000004">
      <c r="F399" t="s">
        <v>8219</v>
      </c>
      <c r="G399">
        <v>71</v>
      </c>
      <c r="I399" t="s">
        <v>8221</v>
      </c>
      <c r="J399">
        <v>2</v>
      </c>
    </row>
    <row r="400" spans="6:10" x14ac:dyDescent="0.55000000000000004">
      <c r="F400" t="s">
        <v>8219</v>
      </c>
      <c r="G400">
        <v>87</v>
      </c>
      <c r="I400" t="s">
        <v>8221</v>
      </c>
      <c r="J400">
        <v>1</v>
      </c>
    </row>
    <row r="401" spans="6:10" x14ac:dyDescent="0.55000000000000004">
      <c r="F401" t="s">
        <v>8219</v>
      </c>
      <c r="G401">
        <v>28</v>
      </c>
      <c r="I401" t="s">
        <v>8221</v>
      </c>
      <c r="J401">
        <v>2</v>
      </c>
    </row>
    <row r="402" spans="6:10" x14ac:dyDescent="0.55000000000000004">
      <c r="F402" t="s">
        <v>8219</v>
      </c>
      <c r="G402">
        <v>56</v>
      </c>
      <c r="I402" t="s">
        <v>8221</v>
      </c>
      <c r="J402">
        <v>14</v>
      </c>
    </row>
    <row r="403" spans="6:10" x14ac:dyDescent="0.55000000000000004">
      <c r="F403" t="s">
        <v>8219</v>
      </c>
      <c r="G403">
        <v>51</v>
      </c>
      <c r="I403" t="s">
        <v>8221</v>
      </c>
      <c r="J403">
        <v>31</v>
      </c>
    </row>
    <row r="404" spans="6:10" x14ac:dyDescent="0.55000000000000004">
      <c r="F404" t="s">
        <v>8219</v>
      </c>
      <c r="G404">
        <v>75</v>
      </c>
      <c r="I404" t="s">
        <v>8221</v>
      </c>
      <c r="J404">
        <v>16</v>
      </c>
    </row>
    <row r="405" spans="6:10" x14ac:dyDescent="0.55000000000000004">
      <c r="F405" t="s">
        <v>8219</v>
      </c>
      <c r="G405">
        <v>38</v>
      </c>
      <c r="I405" t="s">
        <v>8221</v>
      </c>
      <c r="J405">
        <v>12</v>
      </c>
    </row>
    <row r="406" spans="6:10" x14ac:dyDescent="0.55000000000000004">
      <c r="F406" t="s">
        <v>8219</v>
      </c>
      <c r="G406">
        <v>18</v>
      </c>
      <c r="I406" t="s">
        <v>8221</v>
      </c>
      <c r="J406">
        <v>96</v>
      </c>
    </row>
    <row r="407" spans="6:10" x14ac:dyDescent="0.55000000000000004">
      <c r="F407" t="s">
        <v>8219</v>
      </c>
      <c r="G407">
        <v>54</v>
      </c>
      <c r="I407" t="s">
        <v>8221</v>
      </c>
      <c r="J407">
        <v>16</v>
      </c>
    </row>
    <row r="408" spans="6:10" x14ac:dyDescent="0.55000000000000004">
      <c r="F408" t="s">
        <v>8219</v>
      </c>
      <c r="G408">
        <v>71</v>
      </c>
      <c r="I408" t="s">
        <v>8221</v>
      </c>
      <c r="J408">
        <v>5</v>
      </c>
    </row>
    <row r="409" spans="6:10" x14ac:dyDescent="0.55000000000000004">
      <c r="F409" t="s">
        <v>8219</v>
      </c>
      <c r="G409">
        <v>57</v>
      </c>
      <c r="I409" t="s">
        <v>8221</v>
      </c>
      <c r="J409">
        <v>0</v>
      </c>
    </row>
    <row r="410" spans="6:10" x14ac:dyDescent="0.55000000000000004">
      <c r="F410" t="s">
        <v>8219</v>
      </c>
      <c r="G410">
        <v>43</v>
      </c>
      <c r="I410" t="s">
        <v>8221</v>
      </c>
      <c r="J410">
        <v>8</v>
      </c>
    </row>
    <row r="411" spans="6:10" x14ac:dyDescent="0.55000000000000004">
      <c r="F411" t="s">
        <v>8219</v>
      </c>
      <c r="G411">
        <v>52</v>
      </c>
      <c r="I411" t="s">
        <v>8221</v>
      </c>
      <c r="J411">
        <v>7</v>
      </c>
    </row>
    <row r="412" spans="6:10" x14ac:dyDescent="0.55000000000000004">
      <c r="F412" t="s">
        <v>8219</v>
      </c>
      <c r="G412">
        <v>27</v>
      </c>
      <c r="I412" t="s">
        <v>8221</v>
      </c>
      <c r="J412">
        <v>24</v>
      </c>
    </row>
    <row r="413" spans="6:10" x14ac:dyDescent="0.55000000000000004">
      <c r="F413" t="s">
        <v>8219</v>
      </c>
      <c r="G413">
        <v>12</v>
      </c>
      <c r="I413" t="s">
        <v>8221</v>
      </c>
      <c r="J413">
        <v>121</v>
      </c>
    </row>
    <row r="414" spans="6:10" x14ac:dyDescent="0.55000000000000004">
      <c r="F414" t="s">
        <v>8219</v>
      </c>
      <c r="G414">
        <v>33</v>
      </c>
      <c r="I414" t="s">
        <v>8221</v>
      </c>
      <c r="J414">
        <v>196</v>
      </c>
    </row>
    <row r="415" spans="6:10" x14ac:dyDescent="0.55000000000000004">
      <c r="F415" t="s">
        <v>8219</v>
      </c>
      <c r="G415">
        <v>96</v>
      </c>
      <c r="I415" t="s">
        <v>8221</v>
      </c>
      <c r="J415">
        <v>5</v>
      </c>
    </row>
    <row r="416" spans="6:10" x14ac:dyDescent="0.55000000000000004">
      <c r="F416" t="s">
        <v>8219</v>
      </c>
      <c r="G416">
        <v>28</v>
      </c>
      <c r="I416" t="s">
        <v>8221</v>
      </c>
      <c r="J416">
        <v>73</v>
      </c>
    </row>
    <row r="417" spans="6:10" x14ac:dyDescent="0.55000000000000004">
      <c r="F417" t="s">
        <v>8219</v>
      </c>
      <c r="G417">
        <v>43</v>
      </c>
      <c r="I417" t="s">
        <v>8221</v>
      </c>
      <c r="J417">
        <v>93</v>
      </c>
    </row>
    <row r="418" spans="6:10" x14ac:dyDescent="0.55000000000000004">
      <c r="F418" t="s">
        <v>8219</v>
      </c>
      <c r="G418">
        <v>205</v>
      </c>
      <c r="I418" t="s">
        <v>8221</v>
      </c>
      <c r="J418">
        <v>17</v>
      </c>
    </row>
    <row r="419" spans="6:10" x14ac:dyDescent="0.55000000000000004">
      <c r="F419" t="s">
        <v>8219</v>
      </c>
      <c r="G419">
        <v>23</v>
      </c>
      <c r="I419" t="s">
        <v>8221</v>
      </c>
      <c r="J419">
        <v>7</v>
      </c>
    </row>
    <row r="420" spans="6:10" x14ac:dyDescent="0.55000000000000004">
      <c r="F420" t="s">
        <v>8219</v>
      </c>
      <c r="G420">
        <v>19</v>
      </c>
      <c r="I420" t="s">
        <v>8221</v>
      </c>
      <c r="J420">
        <v>17</v>
      </c>
    </row>
    <row r="421" spans="6:10" x14ac:dyDescent="0.55000000000000004">
      <c r="F421" t="s">
        <v>8219</v>
      </c>
      <c r="G421">
        <v>14</v>
      </c>
      <c r="I421" t="s">
        <v>8221</v>
      </c>
      <c r="J421">
        <v>171</v>
      </c>
    </row>
    <row r="422" spans="6:10" x14ac:dyDescent="0.55000000000000004">
      <c r="F422" t="s">
        <v>8219</v>
      </c>
      <c r="G422">
        <v>38</v>
      </c>
      <c r="I422" t="s">
        <v>8221</v>
      </c>
      <c r="J422">
        <v>188</v>
      </c>
    </row>
    <row r="423" spans="6:10" x14ac:dyDescent="0.55000000000000004">
      <c r="F423" t="s">
        <v>8219</v>
      </c>
      <c r="G423">
        <v>78</v>
      </c>
      <c r="I423" t="s">
        <v>8221</v>
      </c>
      <c r="J423">
        <v>110</v>
      </c>
    </row>
    <row r="424" spans="6:10" x14ac:dyDescent="0.55000000000000004">
      <c r="F424" t="s">
        <v>8219</v>
      </c>
      <c r="G424">
        <v>69</v>
      </c>
      <c r="I424" t="s">
        <v>8221</v>
      </c>
      <c r="J424">
        <v>37</v>
      </c>
    </row>
    <row r="425" spans="6:10" x14ac:dyDescent="0.55000000000000004">
      <c r="F425" t="s">
        <v>8219</v>
      </c>
      <c r="G425">
        <v>33</v>
      </c>
      <c r="I425" t="s">
        <v>8221</v>
      </c>
      <c r="J425">
        <v>9</v>
      </c>
    </row>
    <row r="426" spans="6:10" x14ac:dyDescent="0.55000000000000004">
      <c r="F426" t="s">
        <v>8219</v>
      </c>
      <c r="G426">
        <v>54</v>
      </c>
      <c r="I426" t="s">
        <v>8221</v>
      </c>
      <c r="J426">
        <v>29</v>
      </c>
    </row>
    <row r="427" spans="6:10" x14ac:dyDescent="0.55000000000000004">
      <c r="F427" t="s">
        <v>8219</v>
      </c>
      <c r="G427">
        <v>99</v>
      </c>
      <c r="I427" t="s">
        <v>8221</v>
      </c>
      <c r="J427">
        <v>6</v>
      </c>
    </row>
    <row r="428" spans="6:10" x14ac:dyDescent="0.55000000000000004">
      <c r="F428" t="s">
        <v>8219</v>
      </c>
      <c r="G428">
        <v>49</v>
      </c>
      <c r="I428" t="s">
        <v>8221</v>
      </c>
      <c r="J428">
        <v>30</v>
      </c>
    </row>
    <row r="429" spans="6:10" x14ac:dyDescent="0.55000000000000004">
      <c r="F429" t="s">
        <v>8219</v>
      </c>
      <c r="G429">
        <v>11</v>
      </c>
      <c r="I429" t="s">
        <v>8221</v>
      </c>
      <c r="J429">
        <v>81</v>
      </c>
    </row>
    <row r="430" spans="6:10" x14ac:dyDescent="0.55000000000000004">
      <c r="F430" t="s">
        <v>8219</v>
      </c>
      <c r="G430">
        <v>38</v>
      </c>
      <c r="I430" t="s">
        <v>8221</v>
      </c>
      <c r="J430">
        <v>4</v>
      </c>
    </row>
    <row r="431" spans="6:10" x14ac:dyDescent="0.55000000000000004">
      <c r="F431" t="s">
        <v>8219</v>
      </c>
      <c r="G431">
        <v>16</v>
      </c>
      <c r="I431" t="s">
        <v>8221</v>
      </c>
      <c r="J431">
        <v>11</v>
      </c>
    </row>
    <row r="432" spans="6:10" x14ac:dyDescent="0.55000000000000004">
      <c r="F432" t="s">
        <v>8219</v>
      </c>
      <c r="G432">
        <v>32</v>
      </c>
      <c r="I432" t="s">
        <v>8221</v>
      </c>
      <c r="J432">
        <v>14</v>
      </c>
    </row>
    <row r="433" spans="6:10" x14ac:dyDescent="0.55000000000000004">
      <c r="F433" t="s">
        <v>8219</v>
      </c>
      <c r="G433">
        <v>20</v>
      </c>
      <c r="I433" t="s">
        <v>8221</v>
      </c>
      <c r="J433">
        <v>5</v>
      </c>
    </row>
    <row r="434" spans="6:10" x14ac:dyDescent="0.55000000000000004">
      <c r="F434" t="s">
        <v>8219</v>
      </c>
      <c r="G434">
        <v>154</v>
      </c>
      <c r="I434" t="s">
        <v>8221</v>
      </c>
      <c r="J434">
        <v>45</v>
      </c>
    </row>
    <row r="435" spans="6:10" x14ac:dyDescent="0.55000000000000004">
      <c r="F435" t="s">
        <v>8219</v>
      </c>
      <c r="G435">
        <v>41</v>
      </c>
      <c r="I435" t="s">
        <v>8221</v>
      </c>
      <c r="J435">
        <v>8</v>
      </c>
    </row>
    <row r="436" spans="6:10" x14ac:dyDescent="0.55000000000000004">
      <c r="F436" t="s">
        <v>8219</v>
      </c>
      <c r="G436">
        <v>75</v>
      </c>
      <c r="I436" t="s">
        <v>8221</v>
      </c>
      <c r="J436">
        <v>3</v>
      </c>
    </row>
    <row r="437" spans="6:10" x14ac:dyDescent="0.55000000000000004">
      <c r="F437" t="s">
        <v>8219</v>
      </c>
      <c r="G437">
        <v>40</v>
      </c>
      <c r="I437" t="s">
        <v>8221</v>
      </c>
      <c r="J437">
        <v>24</v>
      </c>
    </row>
    <row r="438" spans="6:10" x14ac:dyDescent="0.55000000000000004">
      <c r="F438" t="s">
        <v>8219</v>
      </c>
      <c r="G438">
        <v>46</v>
      </c>
      <c r="I438" t="s">
        <v>8221</v>
      </c>
      <c r="J438">
        <v>18</v>
      </c>
    </row>
    <row r="439" spans="6:10" x14ac:dyDescent="0.55000000000000004">
      <c r="F439" t="s">
        <v>8219</v>
      </c>
      <c r="G439">
        <v>62</v>
      </c>
      <c r="I439" t="s">
        <v>8221</v>
      </c>
      <c r="J439">
        <v>12</v>
      </c>
    </row>
    <row r="440" spans="6:10" x14ac:dyDescent="0.55000000000000004">
      <c r="F440" t="s">
        <v>8219</v>
      </c>
      <c r="G440">
        <v>61</v>
      </c>
      <c r="I440" t="s">
        <v>8221</v>
      </c>
      <c r="J440">
        <v>123</v>
      </c>
    </row>
    <row r="441" spans="6:10" x14ac:dyDescent="0.55000000000000004">
      <c r="F441" t="s">
        <v>8219</v>
      </c>
      <c r="G441">
        <v>96</v>
      </c>
      <c r="I441" t="s">
        <v>8221</v>
      </c>
      <c r="J441">
        <v>96</v>
      </c>
    </row>
    <row r="442" spans="6:10" x14ac:dyDescent="0.55000000000000004">
      <c r="F442" t="s">
        <v>8219</v>
      </c>
      <c r="G442">
        <v>190</v>
      </c>
      <c r="I442" t="s">
        <v>8221</v>
      </c>
      <c r="J442">
        <v>31</v>
      </c>
    </row>
    <row r="443" spans="6:10" x14ac:dyDescent="0.55000000000000004">
      <c r="F443" t="s">
        <v>8219</v>
      </c>
      <c r="G443">
        <v>94</v>
      </c>
      <c r="I443" t="s">
        <v>8221</v>
      </c>
      <c r="J443">
        <v>4</v>
      </c>
    </row>
    <row r="444" spans="6:10" x14ac:dyDescent="0.55000000000000004">
      <c r="F444" t="s">
        <v>8219</v>
      </c>
      <c r="G444">
        <v>39</v>
      </c>
      <c r="I444" t="s">
        <v>8221</v>
      </c>
      <c r="J444">
        <v>3</v>
      </c>
    </row>
    <row r="445" spans="6:10" x14ac:dyDescent="0.55000000000000004">
      <c r="F445" t="s">
        <v>8219</v>
      </c>
      <c r="G445">
        <v>127</v>
      </c>
      <c r="I445" t="s">
        <v>8221</v>
      </c>
      <c r="J445">
        <v>179</v>
      </c>
    </row>
    <row r="446" spans="6:10" x14ac:dyDescent="0.55000000000000004">
      <c r="F446" t="s">
        <v>8219</v>
      </c>
      <c r="G446">
        <v>159</v>
      </c>
      <c r="I446" t="s">
        <v>8221</v>
      </c>
      <c r="J446">
        <v>3</v>
      </c>
    </row>
    <row r="447" spans="6:10" x14ac:dyDescent="0.55000000000000004">
      <c r="F447" t="s">
        <v>8219</v>
      </c>
      <c r="G447">
        <v>177</v>
      </c>
      <c r="I447" t="s">
        <v>8221</v>
      </c>
      <c r="J447">
        <v>23</v>
      </c>
    </row>
    <row r="448" spans="6:10" x14ac:dyDescent="0.55000000000000004">
      <c r="F448" t="s">
        <v>8219</v>
      </c>
      <c r="G448">
        <v>47</v>
      </c>
      <c r="I448" t="s">
        <v>8221</v>
      </c>
      <c r="J448">
        <v>23</v>
      </c>
    </row>
    <row r="449" spans="6:10" x14ac:dyDescent="0.55000000000000004">
      <c r="F449" t="s">
        <v>8219</v>
      </c>
      <c r="G449">
        <v>1</v>
      </c>
      <c r="I449" t="s">
        <v>8221</v>
      </c>
      <c r="J449">
        <v>41</v>
      </c>
    </row>
    <row r="450" spans="6:10" x14ac:dyDescent="0.55000000000000004">
      <c r="F450" t="s">
        <v>8219</v>
      </c>
      <c r="G450">
        <v>16</v>
      </c>
      <c r="I450" t="s">
        <v>8221</v>
      </c>
      <c r="J450">
        <v>0</v>
      </c>
    </row>
    <row r="451" spans="6:10" x14ac:dyDescent="0.55000000000000004">
      <c r="F451" t="s">
        <v>8219</v>
      </c>
      <c r="G451">
        <v>115</v>
      </c>
      <c r="I451" t="s">
        <v>8221</v>
      </c>
      <c r="J451">
        <v>32</v>
      </c>
    </row>
    <row r="452" spans="6:10" x14ac:dyDescent="0.55000000000000004">
      <c r="F452" t="s">
        <v>8219</v>
      </c>
      <c r="G452">
        <v>133</v>
      </c>
      <c r="I452" t="s">
        <v>8221</v>
      </c>
      <c r="J452">
        <v>2</v>
      </c>
    </row>
    <row r="453" spans="6:10" x14ac:dyDescent="0.55000000000000004">
      <c r="F453" t="s">
        <v>8219</v>
      </c>
      <c r="G453">
        <v>70</v>
      </c>
      <c r="I453" t="s">
        <v>8221</v>
      </c>
      <c r="J453">
        <v>7</v>
      </c>
    </row>
    <row r="454" spans="6:10" x14ac:dyDescent="0.55000000000000004">
      <c r="F454" t="s">
        <v>8219</v>
      </c>
      <c r="G454">
        <v>62</v>
      </c>
      <c r="I454" t="s">
        <v>8221</v>
      </c>
      <c r="J454">
        <v>4</v>
      </c>
    </row>
    <row r="455" spans="6:10" x14ac:dyDescent="0.55000000000000004">
      <c r="F455" t="s">
        <v>8219</v>
      </c>
      <c r="G455">
        <v>10</v>
      </c>
      <c r="I455" t="s">
        <v>8221</v>
      </c>
      <c r="J455">
        <v>196</v>
      </c>
    </row>
    <row r="456" spans="6:10" x14ac:dyDescent="0.55000000000000004">
      <c r="F456" t="s">
        <v>8219</v>
      </c>
      <c r="G456">
        <v>499</v>
      </c>
      <c r="I456" t="s">
        <v>8221</v>
      </c>
      <c r="J456">
        <v>11</v>
      </c>
    </row>
    <row r="457" spans="6:10" x14ac:dyDescent="0.55000000000000004">
      <c r="F457" t="s">
        <v>8219</v>
      </c>
      <c r="G457">
        <v>47</v>
      </c>
      <c r="I457" t="s">
        <v>8221</v>
      </c>
      <c r="J457">
        <v>9</v>
      </c>
    </row>
    <row r="458" spans="6:10" x14ac:dyDescent="0.55000000000000004">
      <c r="F458" t="s">
        <v>8219</v>
      </c>
      <c r="G458">
        <v>28</v>
      </c>
      <c r="I458" t="s">
        <v>8221</v>
      </c>
      <c r="J458">
        <v>5</v>
      </c>
    </row>
    <row r="459" spans="6:10" x14ac:dyDescent="0.55000000000000004">
      <c r="F459" t="s">
        <v>8219</v>
      </c>
      <c r="G459">
        <v>24</v>
      </c>
      <c r="I459" t="s">
        <v>8221</v>
      </c>
      <c r="J459">
        <v>8</v>
      </c>
    </row>
    <row r="460" spans="6:10" x14ac:dyDescent="0.55000000000000004">
      <c r="F460" t="s">
        <v>8219</v>
      </c>
      <c r="G460">
        <v>76</v>
      </c>
      <c r="I460" t="s">
        <v>8221</v>
      </c>
      <c r="J460">
        <v>229</v>
      </c>
    </row>
    <row r="461" spans="6:10" x14ac:dyDescent="0.55000000000000004">
      <c r="F461" t="s">
        <v>8219</v>
      </c>
      <c r="G461">
        <v>98</v>
      </c>
      <c r="I461" t="s">
        <v>8221</v>
      </c>
      <c r="J461">
        <v>40</v>
      </c>
    </row>
    <row r="462" spans="6:10" x14ac:dyDescent="0.55000000000000004">
      <c r="F462" t="s">
        <v>8219</v>
      </c>
      <c r="G462">
        <v>30</v>
      </c>
      <c r="I462" t="s">
        <v>8221</v>
      </c>
      <c r="J462">
        <v>123</v>
      </c>
    </row>
    <row r="463" spans="6:10" x14ac:dyDescent="0.55000000000000004">
      <c r="F463" t="s">
        <v>8219</v>
      </c>
      <c r="G463">
        <v>478</v>
      </c>
      <c r="I463" t="s">
        <v>8221</v>
      </c>
      <c r="J463">
        <v>5</v>
      </c>
    </row>
    <row r="464" spans="6:10" x14ac:dyDescent="0.55000000000000004">
      <c r="F464" t="s">
        <v>8219</v>
      </c>
      <c r="G464">
        <v>74</v>
      </c>
      <c r="I464" t="s">
        <v>8221</v>
      </c>
      <c r="J464">
        <v>148</v>
      </c>
    </row>
    <row r="465" spans="6:10" x14ac:dyDescent="0.55000000000000004">
      <c r="F465" t="s">
        <v>8219</v>
      </c>
      <c r="G465">
        <v>131</v>
      </c>
      <c r="I465" t="s">
        <v>8221</v>
      </c>
      <c r="J465">
        <v>10</v>
      </c>
    </row>
    <row r="466" spans="6:10" x14ac:dyDescent="0.55000000000000004">
      <c r="F466" t="s">
        <v>8219</v>
      </c>
      <c r="G466">
        <v>61</v>
      </c>
      <c r="I466" t="s">
        <v>8221</v>
      </c>
      <c r="J466">
        <v>4</v>
      </c>
    </row>
    <row r="467" spans="6:10" x14ac:dyDescent="0.55000000000000004">
      <c r="F467" t="s">
        <v>8219</v>
      </c>
      <c r="G467">
        <v>1071</v>
      </c>
      <c r="I467" t="s">
        <v>8221</v>
      </c>
      <c r="J467">
        <v>21</v>
      </c>
    </row>
    <row r="468" spans="6:10" x14ac:dyDescent="0.55000000000000004">
      <c r="F468" t="s">
        <v>8219</v>
      </c>
      <c r="G468">
        <v>122</v>
      </c>
      <c r="I468" t="s">
        <v>8221</v>
      </c>
      <c r="J468">
        <v>2</v>
      </c>
    </row>
    <row r="469" spans="6:10" x14ac:dyDescent="0.55000000000000004">
      <c r="F469" t="s">
        <v>8219</v>
      </c>
      <c r="G469">
        <v>111</v>
      </c>
      <c r="I469" t="s">
        <v>8221</v>
      </c>
      <c r="J469">
        <v>0</v>
      </c>
    </row>
    <row r="470" spans="6:10" x14ac:dyDescent="0.55000000000000004">
      <c r="F470" t="s">
        <v>8219</v>
      </c>
      <c r="G470">
        <v>255</v>
      </c>
      <c r="I470" t="s">
        <v>8221</v>
      </c>
      <c r="J470">
        <v>4</v>
      </c>
    </row>
    <row r="471" spans="6:10" x14ac:dyDescent="0.55000000000000004">
      <c r="F471" t="s">
        <v>8219</v>
      </c>
      <c r="G471">
        <v>141</v>
      </c>
      <c r="I471" t="s">
        <v>8221</v>
      </c>
      <c r="J471">
        <v>1</v>
      </c>
    </row>
    <row r="472" spans="6:10" x14ac:dyDescent="0.55000000000000004">
      <c r="F472" t="s">
        <v>8219</v>
      </c>
      <c r="G472">
        <v>159</v>
      </c>
      <c r="I472" t="s">
        <v>8221</v>
      </c>
      <c r="J472">
        <v>30</v>
      </c>
    </row>
    <row r="473" spans="6:10" x14ac:dyDescent="0.55000000000000004">
      <c r="F473" t="s">
        <v>8219</v>
      </c>
      <c r="G473">
        <v>99</v>
      </c>
      <c r="I473" t="s">
        <v>8221</v>
      </c>
      <c r="J473">
        <v>3</v>
      </c>
    </row>
    <row r="474" spans="6:10" x14ac:dyDescent="0.55000000000000004">
      <c r="F474" t="s">
        <v>8219</v>
      </c>
      <c r="G474">
        <v>96</v>
      </c>
      <c r="I474" t="s">
        <v>8221</v>
      </c>
      <c r="J474">
        <v>975</v>
      </c>
    </row>
    <row r="475" spans="6:10" x14ac:dyDescent="0.55000000000000004">
      <c r="F475" t="s">
        <v>8219</v>
      </c>
      <c r="G475">
        <v>27</v>
      </c>
      <c r="I475" t="s">
        <v>8221</v>
      </c>
      <c r="J475">
        <v>167</v>
      </c>
    </row>
    <row r="476" spans="6:10" x14ac:dyDescent="0.55000000000000004">
      <c r="F476" t="s">
        <v>8219</v>
      </c>
      <c r="G476">
        <v>166</v>
      </c>
      <c r="I476" t="s">
        <v>8221</v>
      </c>
      <c r="J476">
        <v>5</v>
      </c>
    </row>
    <row r="477" spans="6:10" x14ac:dyDescent="0.55000000000000004">
      <c r="F477" t="s">
        <v>8219</v>
      </c>
      <c r="G477">
        <v>76</v>
      </c>
      <c r="I477" t="s">
        <v>8221</v>
      </c>
      <c r="J477">
        <v>18</v>
      </c>
    </row>
    <row r="478" spans="6:10" x14ac:dyDescent="0.55000000000000004">
      <c r="F478" t="s">
        <v>8219</v>
      </c>
      <c r="G478">
        <v>211</v>
      </c>
      <c r="I478" t="s">
        <v>8221</v>
      </c>
      <c r="J478">
        <v>98</v>
      </c>
    </row>
    <row r="479" spans="6:10" x14ac:dyDescent="0.55000000000000004">
      <c r="F479" t="s">
        <v>8219</v>
      </c>
      <c r="G479">
        <v>21</v>
      </c>
      <c r="I479" t="s">
        <v>8221</v>
      </c>
      <c r="J479">
        <v>4</v>
      </c>
    </row>
    <row r="480" spans="6:10" x14ac:dyDescent="0.55000000000000004">
      <c r="F480" t="s">
        <v>8219</v>
      </c>
      <c r="G480">
        <v>61</v>
      </c>
      <c r="I480" t="s">
        <v>8221</v>
      </c>
      <c r="J480">
        <v>3</v>
      </c>
    </row>
    <row r="481" spans="6:10" x14ac:dyDescent="0.55000000000000004">
      <c r="F481" t="s">
        <v>8219</v>
      </c>
      <c r="G481">
        <v>30</v>
      </c>
      <c r="I481" t="s">
        <v>8221</v>
      </c>
      <c r="J481">
        <v>1</v>
      </c>
    </row>
    <row r="482" spans="6:10" x14ac:dyDescent="0.55000000000000004">
      <c r="F482" t="s">
        <v>8219</v>
      </c>
      <c r="G482">
        <v>375</v>
      </c>
      <c r="I482" t="s">
        <v>8221</v>
      </c>
      <c r="J482">
        <v>0</v>
      </c>
    </row>
    <row r="483" spans="6:10" x14ac:dyDescent="0.55000000000000004">
      <c r="F483" t="s">
        <v>8219</v>
      </c>
      <c r="G483">
        <v>111</v>
      </c>
      <c r="I483" t="s">
        <v>8221</v>
      </c>
      <c r="J483">
        <v>9</v>
      </c>
    </row>
    <row r="484" spans="6:10" x14ac:dyDescent="0.55000000000000004">
      <c r="F484" t="s">
        <v>8219</v>
      </c>
      <c r="G484">
        <v>123</v>
      </c>
      <c r="I484" t="s">
        <v>8221</v>
      </c>
      <c r="J484">
        <v>2</v>
      </c>
    </row>
    <row r="485" spans="6:10" x14ac:dyDescent="0.55000000000000004">
      <c r="F485" t="s">
        <v>8219</v>
      </c>
      <c r="G485">
        <v>70</v>
      </c>
      <c r="I485" t="s">
        <v>8221</v>
      </c>
      <c r="J485">
        <v>0</v>
      </c>
    </row>
    <row r="486" spans="6:10" x14ac:dyDescent="0.55000000000000004">
      <c r="F486" t="s">
        <v>8219</v>
      </c>
      <c r="G486">
        <v>85</v>
      </c>
      <c r="I486" t="s">
        <v>8221</v>
      </c>
      <c r="J486">
        <v>147</v>
      </c>
    </row>
    <row r="487" spans="6:10" x14ac:dyDescent="0.55000000000000004">
      <c r="F487" t="s">
        <v>8219</v>
      </c>
      <c r="G487">
        <v>86</v>
      </c>
      <c r="I487" t="s">
        <v>8221</v>
      </c>
      <c r="J487">
        <v>49</v>
      </c>
    </row>
    <row r="488" spans="6:10" x14ac:dyDescent="0.55000000000000004">
      <c r="F488" t="s">
        <v>8219</v>
      </c>
      <c r="G488">
        <v>13</v>
      </c>
      <c r="I488" t="s">
        <v>8221</v>
      </c>
      <c r="J488">
        <v>1</v>
      </c>
    </row>
    <row r="489" spans="6:10" x14ac:dyDescent="0.55000000000000004">
      <c r="F489" t="s">
        <v>8219</v>
      </c>
      <c r="G489">
        <v>33</v>
      </c>
      <c r="I489" t="s">
        <v>8221</v>
      </c>
      <c r="J489">
        <v>2</v>
      </c>
    </row>
    <row r="490" spans="6:10" x14ac:dyDescent="0.55000000000000004">
      <c r="F490" t="s">
        <v>8219</v>
      </c>
      <c r="G490">
        <v>15</v>
      </c>
      <c r="I490" t="s">
        <v>8221</v>
      </c>
      <c r="J490">
        <v>7</v>
      </c>
    </row>
    <row r="491" spans="6:10" x14ac:dyDescent="0.55000000000000004">
      <c r="F491" t="s">
        <v>8219</v>
      </c>
      <c r="G491">
        <v>273</v>
      </c>
      <c r="I491" t="s">
        <v>8221</v>
      </c>
      <c r="J491">
        <v>4</v>
      </c>
    </row>
    <row r="492" spans="6:10" x14ac:dyDescent="0.55000000000000004">
      <c r="F492" t="s">
        <v>8219</v>
      </c>
      <c r="G492">
        <v>714</v>
      </c>
      <c r="I492" t="s">
        <v>8221</v>
      </c>
      <c r="J492">
        <v>27</v>
      </c>
    </row>
    <row r="493" spans="6:10" x14ac:dyDescent="0.55000000000000004">
      <c r="F493" t="s">
        <v>8219</v>
      </c>
      <c r="G493">
        <v>170</v>
      </c>
      <c r="I493" t="s">
        <v>8221</v>
      </c>
      <c r="J493">
        <v>94</v>
      </c>
    </row>
    <row r="494" spans="6:10" x14ac:dyDescent="0.55000000000000004">
      <c r="F494" t="s">
        <v>8219</v>
      </c>
      <c r="G494">
        <v>512</v>
      </c>
      <c r="I494" t="s">
        <v>8221</v>
      </c>
      <c r="J494">
        <v>29</v>
      </c>
    </row>
    <row r="495" spans="6:10" x14ac:dyDescent="0.55000000000000004">
      <c r="F495" t="s">
        <v>8219</v>
      </c>
      <c r="G495">
        <v>314</v>
      </c>
      <c r="I495" t="s">
        <v>8221</v>
      </c>
      <c r="J495">
        <v>7</v>
      </c>
    </row>
    <row r="496" spans="6:10" x14ac:dyDescent="0.55000000000000004">
      <c r="F496" t="s">
        <v>8219</v>
      </c>
      <c r="G496">
        <v>167</v>
      </c>
      <c r="I496" t="s">
        <v>8221</v>
      </c>
      <c r="J496">
        <v>22</v>
      </c>
    </row>
    <row r="497" spans="6:10" x14ac:dyDescent="0.55000000000000004">
      <c r="F497" t="s">
        <v>8219</v>
      </c>
      <c r="G497">
        <v>9</v>
      </c>
      <c r="I497" t="s">
        <v>8221</v>
      </c>
      <c r="J497">
        <v>1</v>
      </c>
    </row>
    <row r="498" spans="6:10" x14ac:dyDescent="0.55000000000000004">
      <c r="F498" t="s">
        <v>8219</v>
      </c>
      <c r="G498">
        <v>103</v>
      </c>
      <c r="I498" t="s">
        <v>8221</v>
      </c>
      <c r="J498">
        <v>10</v>
      </c>
    </row>
    <row r="499" spans="6:10" x14ac:dyDescent="0.55000000000000004">
      <c r="F499" t="s">
        <v>8219</v>
      </c>
      <c r="G499">
        <v>111</v>
      </c>
      <c r="I499" t="s">
        <v>8221</v>
      </c>
      <c r="J499">
        <v>6</v>
      </c>
    </row>
    <row r="500" spans="6:10" x14ac:dyDescent="0.55000000000000004">
      <c r="F500" t="s">
        <v>8219</v>
      </c>
      <c r="G500">
        <v>271</v>
      </c>
      <c r="I500" t="s">
        <v>8221</v>
      </c>
      <c r="J500">
        <v>24</v>
      </c>
    </row>
    <row r="501" spans="6:10" x14ac:dyDescent="0.55000000000000004">
      <c r="F501" t="s">
        <v>8219</v>
      </c>
      <c r="G501">
        <v>101</v>
      </c>
      <c r="I501" t="s">
        <v>8221</v>
      </c>
      <c r="J501">
        <v>15</v>
      </c>
    </row>
    <row r="502" spans="6:10" x14ac:dyDescent="0.55000000000000004">
      <c r="F502" t="s">
        <v>8219</v>
      </c>
      <c r="G502">
        <v>57</v>
      </c>
      <c r="I502" t="s">
        <v>8221</v>
      </c>
      <c r="J502">
        <v>37</v>
      </c>
    </row>
    <row r="503" spans="6:10" x14ac:dyDescent="0.55000000000000004">
      <c r="F503" t="s">
        <v>8219</v>
      </c>
      <c r="G503">
        <v>62</v>
      </c>
      <c r="I503" t="s">
        <v>8221</v>
      </c>
      <c r="J503">
        <v>20</v>
      </c>
    </row>
    <row r="504" spans="6:10" x14ac:dyDescent="0.55000000000000004">
      <c r="F504" t="s">
        <v>8219</v>
      </c>
      <c r="G504">
        <v>32</v>
      </c>
      <c r="I504" t="s">
        <v>8221</v>
      </c>
      <c r="J504">
        <v>7</v>
      </c>
    </row>
    <row r="505" spans="6:10" x14ac:dyDescent="0.55000000000000004">
      <c r="F505" t="s">
        <v>8219</v>
      </c>
      <c r="G505">
        <v>141</v>
      </c>
      <c r="I505" t="s">
        <v>8221</v>
      </c>
      <c r="J505">
        <v>0</v>
      </c>
    </row>
    <row r="506" spans="6:10" x14ac:dyDescent="0.55000000000000004">
      <c r="F506" t="s">
        <v>8219</v>
      </c>
      <c r="G506">
        <v>75</v>
      </c>
      <c r="I506" t="s">
        <v>8221</v>
      </c>
      <c r="J506">
        <v>21</v>
      </c>
    </row>
    <row r="507" spans="6:10" x14ac:dyDescent="0.55000000000000004">
      <c r="F507" t="s">
        <v>8219</v>
      </c>
      <c r="G507">
        <v>46</v>
      </c>
      <c r="I507" t="s">
        <v>8221</v>
      </c>
      <c r="J507">
        <v>3</v>
      </c>
    </row>
    <row r="508" spans="6:10" x14ac:dyDescent="0.55000000000000004">
      <c r="F508" t="s">
        <v>8219</v>
      </c>
      <c r="G508">
        <v>103</v>
      </c>
      <c r="I508" t="s">
        <v>8221</v>
      </c>
      <c r="J508">
        <v>11</v>
      </c>
    </row>
    <row r="509" spans="6:10" x14ac:dyDescent="0.55000000000000004">
      <c r="F509" t="s">
        <v>8219</v>
      </c>
      <c r="G509">
        <v>6</v>
      </c>
      <c r="I509" t="s">
        <v>8221</v>
      </c>
      <c r="J509">
        <v>1</v>
      </c>
    </row>
    <row r="510" spans="6:10" x14ac:dyDescent="0.55000000000000004">
      <c r="F510" t="s">
        <v>8219</v>
      </c>
      <c r="G510">
        <v>83</v>
      </c>
      <c r="I510" t="s">
        <v>8221</v>
      </c>
      <c r="J510">
        <v>312</v>
      </c>
    </row>
    <row r="511" spans="6:10" x14ac:dyDescent="0.55000000000000004">
      <c r="F511" t="s">
        <v>8219</v>
      </c>
      <c r="G511">
        <v>108</v>
      </c>
      <c r="I511" t="s">
        <v>8221</v>
      </c>
      <c r="J511">
        <v>1</v>
      </c>
    </row>
    <row r="512" spans="6:10" x14ac:dyDescent="0.55000000000000004">
      <c r="F512" t="s">
        <v>8219</v>
      </c>
      <c r="G512">
        <v>25</v>
      </c>
      <c r="I512" t="s">
        <v>8221</v>
      </c>
      <c r="J512">
        <v>3</v>
      </c>
    </row>
    <row r="513" spans="6:10" x14ac:dyDescent="0.55000000000000004">
      <c r="F513" t="s">
        <v>8219</v>
      </c>
      <c r="G513">
        <v>549</v>
      </c>
      <c r="I513" t="s">
        <v>8221</v>
      </c>
      <c r="J513">
        <v>4</v>
      </c>
    </row>
    <row r="514" spans="6:10" x14ac:dyDescent="0.55000000000000004">
      <c r="F514" t="s">
        <v>8219</v>
      </c>
      <c r="G514">
        <v>222</v>
      </c>
      <c r="I514" t="s">
        <v>8221</v>
      </c>
      <c r="J514">
        <v>10</v>
      </c>
    </row>
    <row r="515" spans="6:10" x14ac:dyDescent="0.55000000000000004">
      <c r="F515" t="s">
        <v>8219</v>
      </c>
      <c r="G515">
        <v>183</v>
      </c>
      <c r="I515" t="s">
        <v>8221</v>
      </c>
      <c r="J515">
        <v>8</v>
      </c>
    </row>
    <row r="516" spans="6:10" x14ac:dyDescent="0.55000000000000004">
      <c r="F516" t="s">
        <v>8219</v>
      </c>
      <c r="G516">
        <v>89</v>
      </c>
      <c r="I516" t="s">
        <v>8221</v>
      </c>
      <c r="J516">
        <v>3</v>
      </c>
    </row>
    <row r="517" spans="6:10" x14ac:dyDescent="0.55000000000000004">
      <c r="F517" t="s">
        <v>8219</v>
      </c>
      <c r="G517">
        <v>253</v>
      </c>
      <c r="I517" t="s">
        <v>8221</v>
      </c>
      <c r="J517">
        <v>1</v>
      </c>
    </row>
    <row r="518" spans="6:10" x14ac:dyDescent="0.55000000000000004">
      <c r="F518" t="s">
        <v>8219</v>
      </c>
      <c r="G518">
        <v>140</v>
      </c>
      <c r="I518" t="s">
        <v>8221</v>
      </c>
      <c r="J518">
        <v>0</v>
      </c>
    </row>
    <row r="519" spans="6:10" x14ac:dyDescent="0.55000000000000004">
      <c r="F519" t="s">
        <v>8219</v>
      </c>
      <c r="G519">
        <v>103</v>
      </c>
      <c r="I519" t="s">
        <v>8221</v>
      </c>
      <c r="J519">
        <v>5</v>
      </c>
    </row>
    <row r="520" spans="6:10" x14ac:dyDescent="0.55000000000000004">
      <c r="F520" t="s">
        <v>8219</v>
      </c>
      <c r="G520">
        <v>138</v>
      </c>
      <c r="I520" t="s">
        <v>8221</v>
      </c>
      <c r="J520">
        <v>0</v>
      </c>
    </row>
    <row r="521" spans="6:10" x14ac:dyDescent="0.55000000000000004">
      <c r="F521" t="s">
        <v>8219</v>
      </c>
      <c r="G521">
        <v>191</v>
      </c>
      <c r="I521" t="s">
        <v>8221</v>
      </c>
      <c r="J521">
        <v>3</v>
      </c>
    </row>
    <row r="522" spans="6:10" x14ac:dyDescent="0.55000000000000004">
      <c r="F522" t="s">
        <v>8219</v>
      </c>
      <c r="G522">
        <v>45</v>
      </c>
      <c r="I522" t="s">
        <v>8221</v>
      </c>
      <c r="J522">
        <v>7</v>
      </c>
    </row>
    <row r="523" spans="6:10" x14ac:dyDescent="0.55000000000000004">
      <c r="F523" t="s">
        <v>8219</v>
      </c>
      <c r="G523">
        <v>17</v>
      </c>
      <c r="I523" t="s">
        <v>8221</v>
      </c>
      <c r="J523">
        <v>0</v>
      </c>
    </row>
    <row r="524" spans="6:10" x14ac:dyDescent="0.55000000000000004">
      <c r="F524" t="s">
        <v>8219</v>
      </c>
      <c r="G524">
        <v>31</v>
      </c>
      <c r="I524" t="s">
        <v>8221</v>
      </c>
      <c r="J524">
        <v>2</v>
      </c>
    </row>
    <row r="525" spans="6:10" x14ac:dyDescent="0.55000000000000004">
      <c r="F525" t="s">
        <v>8219</v>
      </c>
      <c r="G525">
        <v>50</v>
      </c>
      <c r="I525" t="s">
        <v>8221</v>
      </c>
      <c r="J525">
        <v>23</v>
      </c>
    </row>
    <row r="526" spans="6:10" x14ac:dyDescent="0.55000000000000004">
      <c r="F526" t="s">
        <v>8219</v>
      </c>
      <c r="G526">
        <v>59</v>
      </c>
      <c r="I526" t="s">
        <v>8221</v>
      </c>
      <c r="J526">
        <v>1</v>
      </c>
    </row>
    <row r="527" spans="6:10" x14ac:dyDescent="0.55000000000000004">
      <c r="F527" t="s">
        <v>8219</v>
      </c>
      <c r="G527">
        <v>81</v>
      </c>
      <c r="I527" t="s">
        <v>8221</v>
      </c>
      <c r="J527">
        <v>2</v>
      </c>
    </row>
    <row r="528" spans="6:10" x14ac:dyDescent="0.55000000000000004">
      <c r="F528" t="s">
        <v>8219</v>
      </c>
      <c r="G528">
        <v>508</v>
      </c>
      <c r="I528" t="s">
        <v>8221</v>
      </c>
      <c r="J528">
        <v>3</v>
      </c>
    </row>
    <row r="529" spans="6:10" x14ac:dyDescent="0.55000000000000004">
      <c r="F529" t="s">
        <v>8219</v>
      </c>
      <c r="G529">
        <v>74</v>
      </c>
      <c r="I529" t="s">
        <v>8221</v>
      </c>
      <c r="J529">
        <v>0</v>
      </c>
    </row>
    <row r="530" spans="6:10" x14ac:dyDescent="0.55000000000000004">
      <c r="F530" t="s">
        <v>8219</v>
      </c>
      <c r="G530">
        <v>141</v>
      </c>
      <c r="I530" t="s">
        <v>8221</v>
      </c>
      <c r="J530">
        <v>13</v>
      </c>
    </row>
    <row r="531" spans="6:10" x14ac:dyDescent="0.55000000000000004">
      <c r="F531" t="s">
        <v>8219</v>
      </c>
      <c r="G531">
        <v>711</v>
      </c>
      <c r="I531" t="s">
        <v>8221</v>
      </c>
      <c r="J531">
        <v>1</v>
      </c>
    </row>
    <row r="532" spans="6:10" x14ac:dyDescent="0.55000000000000004">
      <c r="F532" t="s">
        <v>8219</v>
      </c>
      <c r="G532">
        <v>141</v>
      </c>
      <c r="I532" t="s">
        <v>8221</v>
      </c>
      <c r="J532">
        <v>1</v>
      </c>
    </row>
    <row r="533" spans="6:10" x14ac:dyDescent="0.55000000000000004">
      <c r="F533" t="s">
        <v>8219</v>
      </c>
      <c r="G533">
        <v>109</v>
      </c>
      <c r="I533" t="s">
        <v>8221</v>
      </c>
      <c r="J533">
        <v>1</v>
      </c>
    </row>
    <row r="534" spans="6:10" x14ac:dyDescent="0.55000000000000004">
      <c r="F534" t="s">
        <v>8219</v>
      </c>
      <c r="G534">
        <v>361</v>
      </c>
      <c r="I534" t="s">
        <v>8221</v>
      </c>
      <c r="J534">
        <v>6</v>
      </c>
    </row>
    <row r="535" spans="6:10" x14ac:dyDescent="0.55000000000000004">
      <c r="F535" t="s">
        <v>8219</v>
      </c>
      <c r="G535">
        <v>176</v>
      </c>
      <c r="I535" t="s">
        <v>8221</v>
      </c>
      <c r="J535">
        <v>39</v>
      </c>
    </row>
    <row r="536" spans="6:10" x14ac:dyDescent="0.55000000000000004">
      <c r="F536" t="s">
        <v>8219</v>
      </c>
      <c r="G536">
        <v>670</v>
      </c>
      <c r="I536" t="s">
        <v>8221</v>
      </c>
      <c r="J536">
        <v>4</v>
      </c>
    </row>
    <row r="537" spans="6:10" x14ac:dyDescent="0.55000000000000004">
      <c r="F537" t="s">
        <v>8219</v>
      </c>
      <c r="G537">
        <v>96</v>
      </c>
      <c r="I537" t="s">
        <v>8221</v>
      </c>
      <c r="J537">
        <v>1</v>
      </c>
    </row>
    <row r="538" spans="6:10" x14ac:dyDescent="0.55000000000000004">
      <c r="F538" t="s">
        <v>8219</v>
      </c>
      <c r="G538">
        <v>74</v>
      </c>
      <c r="I538" t="s">
        <v>8221</v>
      </c>
      <c r="J538">
        <v>0</v>
      </c>
    </row>
    <row r="539" spans="6:10" x14ac:dyDescent="0.55000000000000004">
      <c r="F539" t="s">
        <v>8219</v>
      </c>
      <c r="G539">
        <v>52</v>
      </c>
      <c r="I539" t="s">
        <v>8221</v>
      </c>
      <c r="J539">
        <v>0</v>
      </c>
    </row>
    <row r="540" spans="6:10" x14ac:dyDescent="0.55000000000000004">
      <c r="F540" t="s">
        <v>8219</v>
      </c>
      <c r="G540">
        <v>105</v>
      </c>
      <c r="I540" t="s">
        <v>8221</v>
      </c>
      <c r="J540">
        <v>0</v>
      </c>
    </row>
    <row r="541" spans="6:10" x14ac:dyDescent="0.55000000000000004">
      <c r="F541" t="s">
        <v>8219</v>
      </c>
      <c r="G541">
        <v>41</v>
      </c>
      <c r="I541" t="s">
        <v>8221</v>
      </c>
      <c r="J541">
        <v>8</v>
      </c>
    </row>
    <row r="542" spans="6:10" x14ac:dyDescent="0.55000000000000004">
      <c r="F542" t="s">
        <v>8219</v>
      </c>
      <c r="G542">
        <v>34</v>
      </c>
      <c r="I542" t="s">
        <v>8221</v>
      </c>
      <c r="J542">
        <v>0</v>
      </c>
    </row>
    <row r="543" spans="6:10" x14ac:dyDescent="0.55000000000000004">
      <c r="F543" t="s">
        <v>8219</v>
      </c>
      <c r="G543">
        <v>66</v>
      </c>
      <c r="I543" t="s">
        <v>8221</v>
      </c>
      <c r="J543">
        <v>1</v>
      </c>
    </row>
    <row r="544" spans="6:10" x14ac:dyDescent="0.55000000000000004">
      <c r="F544" t="s">
        <v>8219</v>
      </c>
      <c r="G544">
        <v>50</v>
      </c>
      <c r="I544" t="s">
        <v>8221</v>
      </c>
      <c r="J544">
        <v>12</v>
      </c>
    </row>
    <row r="545" spans="6:10" x14ac:dyDescent="0.55000000000000004">
      <c r="F545" t="s">
        <v>8219</v>
      </c>
      <c r="G545">
        <v>159</v>
      </c>
      <c r="I545" t="s">
        <v>8221</v>
      </c>
      <c r="J545">
        <v>0</v>
      </c>
    </row>
    <row r="546" spans="6:10" x14ac:dyDescent="0.55000000000000004">
      <c r="F546" t="s">
        <v>8219</v>
      </c>
      <c r="G546">
        <v>182</v>
      </c>
      <c r="I546" t="s">
        <v>8221</v>
      </c>
      <c r="J546">
        <v>3</v>
      </c>
    </row>
    <row r="547" spans="6:10" x14ac:dyDescent="0.55000000000000004">
      <c r="F547" t="s">
        <v>8219</v>
      </c>
      <c r="G547">
        <v>206</v>
      </c>
      <c r="I547" t="s">
        <v>8221</v>
      </c>
      <c r="J547">
        <v>2</v>
      </c>
    </row>
    <row r="548" spans="6:10" x14ac:dyDescent="0.55000000000000004">
      <c r="F548" t="s">
        <v>8219</v>
      </c>
      <c r="G548">
        <v>169</v>
      </c>
      <c r="I548" t="s">
        <v>8221</v>
      </c>
      <c r="J548">
        <v>6</v>
      </c>
    </row>
    <row r="549" spans="6:10" x14ac:dyDescent="0.55000000000000004">
      <c r="F549" t="s">
        <v>8219</v>
      </c>
      <c r="G549">
        <v>31</v>
      </c>
      <c r="I549" t="s">
        <v>8221</v>
      </c>
      <c r="J549">
        <v>0</v>
      </c>
    </row>
    <row r="550" spans="6:10" x14ac:dyDescent="0.55000000000000004">
      <c r="F550" t="s">
        <v>8219</v>
      </c>
      <c r="G550">
        <v>28</v>
      </c>
      <c r="I550" t="s">
        <v>8221</v>
      </c>
      <c r="J550">
        <v>15</v>
      </c>
    </row>
    <row r="551" spans="6:10" x14ac:dyDescent="0.55000000000000004">
      <c r="F551" t="s">
        <v>8219</v>
      </c>
      <c r="G551">
        <v>54</v>
      </c>
      <c r="I551" t="s">
        <v>8221</v>
      </c>
      <c r="J551">
        <v>1</v>
      </c>
    </row>
    <row r="552" spans="6:10" x14ac:dyDescent="0.55000000000000004">
      <c r="F552" t="s">
        <v>8219</v>
      </c>
      <c r="G552">
        <v>467</v>
      </c>
      <c r="I552" t="s">
        <v>8221</v>
      </c>
      <c r="J552">
        <v>3</v>
      </c>
    </row>
    <row r="553" spans="6:10" x14ac:dyDescent="0.55000000000000004">
      <c r="F553" t="s">
        <v>8219</v>
      </c>
      <c r="G553">
        <v>389</v>
      </c>
      <c r="I553" t="s">
        <v>8221</v>
      </c>
      <c r="J553">
        <v>8</v>
      </c>
    </row>
    <row r="554" spans="6:10" x14ac:dyDescent="0.55000000000000004">
      <c r="F554" t="s">
        <v>8219</v>
      </c>
      <c r="G554">
        <v>68</v>
      </c>
      <c r="I554" t="s">
        <v>8221</v>
      </c>
      <c r="J554">
        <v>0</v>
      </c>
    </row>
    <row r="555" spans="6:10" x14ac:dyDescent="0.55000000000000004">
      <c r="F555" t="s">
        <v>8219</v>
      </c>
      <c r="G555">
        <v>413</v>
      </c>
      <c r="I555" t="s">
        <v>8221</v>
      </c>
      <c r="J555">
        <v>3</v>
      </c>
    </row>
    <row r="556" spans="6:10" x14ac:dyDescent="0.55000000000000004">
      <c r="F556" t="s">
        <v>8219</v>
      </c>
      <c r="G556">
        <v>190</v>
      </c>
      <c r="I556" t="s">
        <v>8221</v>
      </c>
      <c r="J556">
        <v>3</v>
      </c>
    </row>
    <row r="557" spans="6:10" x14ac:dyDescent="0.55000000000000004">
      <c r="F557" t="s">
        <v>8219</v>
      </c>
      <c r="G557">
        <v>189</v>
      </c>
      <c r="I557" t="s">
        <v>8221</v>
      </c>
      <c r="J557">
        <v>0</v>
      </c>
    </row>
    <row r="558" spans="6:10" x14ac:dyDescent="0.55000000000000004">
      <c r="F558" t="s">
        <v>8219</v>
      </c>
      <c r="G558">
        <v>130</v>
      </c>
      <c r="I558" t="s">
        <v>8221</v>
      </c>
      <c r="J558">
        <v>19</v>
      </c>
    </row>
    <row r="559" spans="6:10" x14ac:dyDescent="0.55000000000000004">
      <c r="F559" t="s">
        <v>8219</v>
      </c>
      <c r="G559">
        <v>74</v>
      </c>
      <c r="I559" t="s">
        <v>8221</v>
      </c>
      <c r="J559">
        <v>0</v>
      </c>
    </row>
    <row r="560" spans="6:10" x14ac:dyDescent="0.55000000000000004">
      <c r="F560" t="s">
        <v>8219</v>
      </c>
      <c r="G560">
        <v>274</v>
      </c>
      <c r="I560" t="s">
        <v>8221</v>
      </c>
      <c r="J560">
        <v>2</v>
      </c>
    </row>
    <row r="561" spans="6:10" x14ac:dyDescent="0.55000000000000004">
      <c r="F561" t="s">
        <v>8219</v>
      </c>
      <c r="G561">
        <v>22</v>
      </c>
      <c r="I561" t="s">
        <v>8221</v>
      </c>
      <c r="J561">
        <v>0</v>
      </c>
    </row>
    <row r="562" spans="6:10" x14ac:dyDescent="0.55000000000000004">
      <c r="F562" t="s">
        <v>8219</v>
      </c>
      <c r="G562">
        <v>31</v>
      </c>
      <c r="I562" t="s">
        <v>8221</v>
      </c>
      <c r="J562">
        <v>0</v>
      </c>
    </row>
    <row r="563" spans="6:10" x14ac:dyDescent="0.55000000000000004">
      <c r="F563" t="s">
        <v>8219</v>
      </c>
      <c r="G563">
        <v>63</v>
      </c>
      <c r="I563" t="s">
        <v>8221</v>
      </c>
      <c r="J563">
        <v>25</v>
      </c>
    </row>
    <row r="564" spans="6:10" x14ac:dyDescent="0.55000000000000004">
      <c r="F564" t="s">
        <v>8219</v>
      </c>
      <c r="G564">
        <v>20</v>
      </c>
      <c r="I564" t="s">
        <v>8221</v>
      </c>
      <c r="J564">
        <v>8</v>
      </c>
    </row>
    <row r="565" spans="6:10" x14ac:dyDescent="0.55000000000000004">
      <c r="F565" t="s">
        <v>8219</v>
      </c>
      <c r="G565">
        <v>25</v>
      </c>
      <c r="I565" t="s">
        <v>8221</v>
      </c>
      <c r="J565">
        <v>16</v>
      </c>
    </row>
    <row r="566" spans="6:10" x14ac:dyDescent="0.55000000000000004">
      <c r="F566" t="s">
        <v>8219</v>
      </c>
      <c r="G566">
        <v>61</v>
      </c>
      <c r="I566" t="s">
        <v>8221</v>
      </c>
      <c r="J566">
        <v>3</v>
      </c>
    </row>
    <row r="567" spans="6:10" x14ac:dyDescent="0.55000000000000004">
      <c r="F567" t="s">
        <v>8219</v>
      </c>
      <c r="G567">
        <v>52</v>
      </c>
      <c r="I567" t="s">
        <v>8221</v>
      </c>
      <c r="J567">
        <v>3</v>
      </c>
    </row>
    <row r="568" spans="6:10" x14ac:dyDescent="0.55000000000000004">
      <c r="F568" t="s">
        <v>8219</v>
      </c>
      <c r="G568">
        <v>86</v>
      </c>
      <c r="I568" t="s">
        <v>8221</v>
      </c>
      <c r="J568">
        <v>2</v>
      </c>
    </row>
    <row r="569" spans="6:10" x14ac:dyDescent="0.55000000000000004">
      <c r="F569" t="s">
        <v>8219</v>
      </c>
      <c r="G569">
        <v>42</v>
      </c>
      <c r="I569" t="s">
        <v>8221</v>
      </c>
      <c r="J569">
        <v>1</v>
      </c>
    </row>
    <row r="570" spans="6:10" x14ac:dyDescent="0.55000000000000004">
      <c r="F570" t="s">
        <v>8219</v>
      </c>
      <c r="G570">
        <v>52</v>
      </c>
      <c r="I570" t="s">
        <v>8221</v>
      </c>
      <c r="J570">
        <v>0</v>
      </c>
    </row>
    <row r="571" spans="6:10" x14ac:dyDescent="0.55000000000000004">
      <c r="F571" t="s">
        <v>8219</v>
      </c>
      <c r="G571">
        <v>120</v>
      </c>
      <c r="I571" t="s">
        <v>8221</v>
      </c>
      <c r="J571">
        <v>1</v>
      </c>
    </row>
    <row r="572" spans="6:10" x14ac:dyDescent="0.55000000000000004">
      <c r="F572" t="s">
        <v>8219</v>
      </c>
      <c r="G572">
        <v>22</v>
      </c>
      <c r="I572" t="s">
        <v>8221</v>
      </c>
      <c r="J572">
        <v>19</v>
      </c>
    </row>
    <row r="573" spans="6:10" x14ac:dyDescent="0.55000000000000004">
      <c r="F573" t="s">
        <v>8219</v>
      </c>
      <c r="G573">
        <v>64</v>
      </c>
      <c r="I573" t="s">
        <v>8221</v>
      </c>
      <c r="J573">
        <v>9</v>
      </c>
    </row>
    <row r="574" spans="6:10" x14ac:dyDescent="0.55000000000000004">
      <c r="F574" t="s">
        <v>8219</v>
      </c>
      <c r="G574">
        <v>23</v>
      </c>
      <c r="I574" t="s">
        <v>8221</v>
      </c>
      <c r="J574">
        <v>1</v>
      </c>
    </row>
    <row r="575" spans="6:10" x14ac:dyDescent="0.55000000000000004">
      <c r="F575" t="s">
        <v>8219</v>
      </c>
      <c r="G575">
        <v>238</v>
      </c>
      <c r="I575" t="s">
        <v>8221</v>
      </c>
      <c r="J575">
        <v>0</v>
      </c>
    </row>
    <row r="576" spans="6:10" x14ac:dyDescent="0.55000000000000004">
      <c r="F576" t="s">
        <v>8219</v>
      </c>
      <c r="G576">
        <v>33</v>
      </c>
      <c r="I576" t="s">
        <v>8221</v>
      </c>
      <c r="J576">
        <v>1</v>
      </c>
    </row>
    <row r="577" spans="6:10" x14ac:dyDescent="0.55000000000000004">
      <c r="F577" t="s">
        <v>8219</v>
      </c>
      <c r="G577">
        <v>32</v>
      </c>
      <c r="I577" t="s">
        <v>8221</v>
      </c>
      <c r="J577">
        <v>5</v>
      </c>
    </row>
    <row r="578" spans="6:10" x14ac:dyDescent="0.55000000000000004">
      <c r="F578" t="s">
        <v>8219</v>
      </c>
      <c r="G578">
        <v>24</v>
      </c>
      <c r="I578" t="s">
        <v>8221</v>
      </c>
      <c r="J578">
        <v>85</v>
      </c>
    </row>
    <row r="579" spans="6:10" x14ac:dyDescent="0.55000000000000004">
      <c r="F579" t="s">
        <v>8219</v>
      </c>
      <c r="G579">
        <v>29</v>
      </c>
      <c r="I579" t="s">
        <v>8221</v>
      </c>
      <c r="J579">
        <v>3</v>
      </c>
    </row>
    <row r="580" spans="6:10" x14ac:dyDescent="0.55000000000000004">
      <c r="F580" t="s">
        <v>8219</v>
      </c>
      <c r="G580">
        <v>50</v>
      </c>
      <c r="I580" t="s">
        <v>8221</v>
      </c>
      <c r="J580">
        <v>4</v>
      </c>
    </row>
    <row r="581" spans="6:10" x14ac:dyDescent="0.55000000000000004">
      <c r="F581" t="s">
        <v>8219</v>
      </c>
      <c r="G581">
        <v>108</v>
      </c>
      <c r="I581" t="s">
        <v>8221</v>
      </c>
      <c r="J581">
        <v>3</v>
      </c>
    </row>
    <row r="582" spans="6:10" x14ac:dyDescent="0.55000000000000004">
      <c r="F582" t="s">
        <v>8219</v>
      </c>
      <c r="G582">
        <v>139</v>
      </c>
      <c r="I582" t="s">
        <v>8221</v>
      </c>
      <c r="J582">
        <v>5</v>
      </c>
    </row>
    <row r="583" spans="6:10" x14ac:dyDescent="0.55000000000000004">
      <c r="F583" t="s">
        <v>8219</v>
      </c>
      <c r="G583">
        <v>7</v>
      </c>
      <c r="I583" t="s">
        <v>8221</v>
      </c>
      <c r="J583">
        <v>17</v>
      </c>
    </row>
    <row r="584" spans="6:10" x14ac:dyDescent="0.55000000000000004">
      <c r="F584" t="s">
        <v>8219</v>
      </c>
      <c r="G584">
        <v>149</v>
      </c>
      <c r="I584" t="s">
        <v>8221</v>
      </c>
      <c r="J584">
        <v>3</v>
      </c>
    </row>
    <row r="585" spans="6:10" x14ac:dyDescent="0.55000000000000004">
      <c r="F585" t="s">
        <v>8219</v>
      </c>
      <c r="G585">
        <v>31</v>
      </c>
      <c r="I585" t="s">
        <v>8221</v>
      </c>
      <c r="J585">
        <v>2</v>
      </c>
    </row>
    <row r="586" spans="6:10" x14ac:dyDescent="0.55000000000000004">
      <c r="F586" t="s">
        <v>8219</v>
      </c>
      <c r="G586">
        <v>26</v>
      </c>
      <c r="I586" t="s">
        <v>8221</v>
      </c>
      <c r="J586">
        <v>6</v>
      </c>
    </row>
    <row r="587" spans="6:10" x14ac:dyDescent="0.55000000000000004">
      <c r="F587" t="s">
        <v>8219</v>
      </c>
      <c r="G587">
        <v>172</v>
      </c>
      <c r="I587" t="s">
        <v>8221</v>
      </c>
      <c r="J587">
        <v>0</v>
      </c>
    </row>
    <row r="588" spans="6:10" x14ac:dyDescent="0.55000000000000004">
      <c r="F588" t="s">
        <v>8219</v>
      </c>
      <c r="G588">
        <v>78</v>
      </c>
      <c r="I588" t="s">
        <v>8221</v>
      </c>
      <c r="J588">
        <v>1</v>
      </c>
    </row>
    <row r="589" spans="6:10" x14ac:dyDescent="0.55000000000000004">
      <c r="F589" t="s">
        <v>8219</v>
      </c>
      <c r="G589">
        <v>120</v>
      </c>
      <c r="I589" t="s">
        <v>8221</v>
      </c>
      <c r="J589">
        <v>3</v>
      </c>
    </row>
    <row r="590" spans="6:10" x14ac:dyDescent="0.55000000000000004">
      <c r="F590" t="s">
        <v>8219</v>
      </c>
      <c r="G590">
        <v>227</v>
      </c>
      <c r="I590" t="s">
        <v>8221</v>
      </c>
      <c r="J590">
        <v>13</v>
      </c>
    </row>
    <row r="591" spans="6:10" x14ac:dyDescent="0.55000000000000004">
      <c r="F591" t="s">
        <v>8219</v>
      </c>
      <c r="G591">
        <v>42</v>
      </c>
      <c r="I591" t="s">
        <v>8221</v>
      </c>
      <c r="J591">
        <v>1</v>
      </c>
    </row>
    <row r="592" spans="6:10" x14ac:dyDescent="0.55000000000000004">
      <c r="F592" t="s">
        <v>8219</v>
      </c>
      <c r="G592">
        <v>64</v>
      </c>
      <c r="I592" t="s">
        <v>8221</v>
      </c>
      <c r="J592">
        <v>1</v>
      </c>
    </row>
    <row r="593" spans="6:10" x14ac:dyDescent="0.55000000000000004">
      <c r="F593" t="s">
        <v>8219</v>
      </c>
      <c r="G593">
        <v>121</v>
      </c>
      <c r="I593" t="s">
        <v>8221</v>
      </c>
      <c r="J593">
        <v>9</v>
      </c>
    </row>
    <row r="594" spans="6:10" x14ac:dyDescent="0.55000000000000004">
      <c r="F594" t="s">
        <v>8219</v>
      </c>
      <c r="G594">
        <v>87</v>
      </c>
      <c r="I594" t="s">
        <v>8221</v>
      </c>
      <c r="J594">
        <v>0</v>
      </c>
    </row>
    <row r="595" spans="6:10" x14ac:dyDescent="0.55000000000000004">
      <c r="F595" t="s">
        <v>8219</v>
      </c>
      <c r="G595">
        <v>65</v>
      </c>
      <c r="I595" t="s">
        <v>8221</v>
      </c>
      <c r="J595">
        <v>2</v>
      </c>
    </row>
    <row r="596" spans="6:10" x14ac:dyDescent="0.55000000000000004">
      <c r="F596" t="s">
        <v>8219</v>
      </c>
      <c r="G596">
        <v>49</v>
      </c>
      <c r="I596" t="s">
        <v>8221</v>
      </c>
      <c r="J596">
        <v>1</v>
      </c>
    </row>
    <row r="597" spans="6:10" x14ac:dyDescent="0.55000000000000004">
      <c r="F597" t="s">
        <v>8219</v>
      </c>
      <c r="G597">
        <v>19</v>
      </c>
      <c r="I597" t="s">
        <v>8221</v>
      </c>
      <c r="J597">
        <v>10</v>
      </c>
    </row>
    <row r="598" spans="6:10" x14ac:dyDescent="0.55000000000000004">
      <c r="F598" t="s">
        <v>8219</v>
      </c>
      <c r="G598">
        <v>81</v>
      </c>
      <c r="I598" t="s">
        <v>8221</v>
      </c>
      <c r="J598">
        <v>3</v>
      </c>
    </row>
    <row r="599" spans="6:10" x14ac:dyDescent="0.55000000000000004">
      <c r="F599" t="s">
        <v>8219</v>
      </c>
      <c r="G599">
        <v>264</v>
      </c>
      <c r="I599" t="s">
        <v>8221</v>
      </c>
      <c r="J599">
        <v>2</v>
      </c>
    </row>
    <row r="600" spans="6:10" x14ac:dyDescent="0.55000000000000004">
      <c r="F600" t="s">
        <v>8219</v>
      </c>
      <c r="G600">
        <v>25</v>
      </c>
      <c r="I600" t="s">
        <v>8221</v>
      </c>
      <c r="J600">
        <v>2</v>
      </c>
    </row>
    <row r="601" spans="6:10" x14ac:dyDescent="0.55000000000000004">
      <c r="F601" t="s">
        <v>8219</v>
      </c>
      <c r="G601">
        <v>5</v>
      </c>
      <c r="I601" t="s">
        <v>8221</v>
      </c>
      <c r="J601">
        <v>1</v>
      </c>
    </row>
    <row r="602" spans="6:10" x14ac:dyDescent="0.55000000000000004">
      <c r="F602" t="s">
        <v>8219</v>
      </c>
      <c r="G602">
        <v>144</v>
      </c>
      <c r="I602" t="s">
        <v>8221</v>
      </c>
      <c r="J602">
        <v>14</v>
      </c>
    </row>
    <row r="603" spans="6:10" x14ac:dyDescent="0.55000000000000004">
      <c r="F603" t="s">
        <v>8219</v>
      </c>
      <c r="G603">
        <v>92</v>
      </c>
      <c r="I603" t="s">
        <v>8221</v>
      </c>
      <c r="J603">
        <v>0</v>
      </c>
    </row>
    <row r="604" spans="6:10" x14ac:dyDescent="0.55000000000000004">
      <c r="F604" t="s">
        <v>8219</v>
      </c>
      <c r="G604">
        <v>147</v>
      </c>
      <c r="I604" t="s">
        <v>8221</v>
      </c>
      <c r="J604">
        <v>0</v>
      </c>
    </row>
    <row r="605" spans="6:10" x14ac:dyDescent="0.55000000000000004">
      <c r="F605" t="s">
        <v>8219</v>
      </c>
      <c r="G605">
        <v>90</v>
      </c>
      <c r="I605" t="s">
        <v>8221</v>
      </c>
      <c r="J605">
        <v>4</v>
      </c>
    </row>
    <row r="606" spans="6:10" x14ac:dyDescent="0.55000000000000004">
      <c r="F606" t="s">
        <v>8219</v>
      </c>
      <c r="G606">
        <v>87</v>
      </c>
      <c r="I606" t="s">
        <v>8221</v>
      </c>
      <c r="J606">
        <v>3</v>
      </c>
    </row>
    <row r="607" spans="6:10" x14ac:dyDescent="0.55000000000000004">
      <c r="F607" t="s">
        <v>8219</v>
      </c>
      <c r="G607">
        <v>406</v>
      </c>
      <c r="I607" t="s">
        <v>8221</v>
      </c>
      <c r="J607">
        <v>0</v>
      </c>
    </row>
    <row r="608" spans="6:10" x14ac:dyDescent="0.55000000000000004">
      <c r="F608" t="s">
        <v>8219</v>
      </c>
      <c r="G608">
        <v>20</v>
      </c>
      <c r="I608" t="s">
        <v>8221</v>
      </c>
      <c r="J608">
        <v>5</v>
      </c>
    </row>
    <row r="609" spans="6:10" x14ac:dyDescent="0.55000000000000004">
      <c r="F609" t="s">
        <v>8219</v>
      </c>
      <c r="G609">
        <v>70</v>
      </c>
      <c r="I609" t="s">
        <v>8221</v>
      </c>
      <c r="J609">
        <v>47</v>
      </c>
    </row>
    <row r="610" spans="6:10" x14ac:dyDescent="0.55000000000000004">
      <c r="F610" t="s">
        <v>8219</v>
      </c>
      <c r="G610">
        <v>16</v>
      </c>
      <c r="I610" t="s">
        <v>8221</v>
      </c>
      <c r="J610">
        <v>0</v>
      </c>
    </row>
    <row r="611" spans="6:10" x14ac:dyDescent="0.55000000000000004">
      <c r="F611" t="s">
        <v>8219</v>
      </c>
      <c r="G611">
        <v>52</v>
      </c>
      <c r="I611" t="s">
        <v>8221</v>
      </c>
      <c r="J611">
        <v>10</v>
      </c>
    </row>
    <row r="612" spans="6:10" x14ac:dyDescent="0.55000000000000004">
      <c r="F612" t="s">
        <v>8219</v>
      </c>
      <c r="G612">
        <v>66</v>
      </c>
      <c r="I612" t="s">
        <v>8221</v>
      </c>
      <c r="J612">
        <v>11</v>
      </c>
    </row>
    <row r="613" spans="6:10" x14ac:dyDescent="0.55000000000000004">
      <c r="F613" t="s">
        <v>8219</v>
      </c>
      <c r="G613">
        <v>109</v>
      </c>
      <c r="I613" t="s">
        <v>8221</v>
      </c>
      <c r="J613">
        <v>2</v>
      </c>
    </row>
    <row r="614" spans="6:10" x14ac:dyDescent="0.55000000000000004">
      <c r="F614" t="s">
        <v>8219</v>
      </c>
      <c r="G614">
        <v>168</v>
      </c>
      <c r="I614" t="s">
        <v>8221</v>
      </c>
      <c r="J614">
        <v>2</v>
      </c>
    </row>
    <row r="615" spans="6:10" x14ac:dyDescent="0.55000000000000004">
      <c r="F615" t="s">
        <v>8219</v>
      </c>
      <c r="G615">
        <v>31</v>
      </c>
      <c r="I615" t="s">
        <v>8221</v>
      </c>
      <c r="J615">
        <v>22</v>
      </c>
    </row>
    <row r="616" spans="6:10" x14ac:dyDescent="0.55000000000000004">
      <c r="F616" t="s">
        <v>8219</v>
      </c>
      <c r="G616">
        <v>133</v>
      </c>
      <c r="I616" t="s">
        <v>8221</v>
      </c>
      <c r="J616">
        <v>8</v>
      </c>
    </row>
    <row r="617" spans="6:10" x14ac:dyDescent="0.55000000000000004">
      <c r="F617" t="s">
        <v>8219</v>
      </c>
      <c r="G617">
        <v>151</v>
      </c>
      <c r="I617" t="s">
        <v>8221</v>
      </c>
      <c r="J617">
        <v>6</v>
      </c>
    </row>
    <row r="618" spans="6:10" x14ac:dyDescent="0.55000000000000004">
      <c r="F618" t="s">
        <v>8219</v>
      </c>
      <c r="G618">
        <v>5</v>
      </c>
      <c r="I618" t="s">
        <v>8221</v>
      </c>
      <c r="J618">
        <v>1</v>
      </c>
    </row>
    <row r="619" spans="6:10" x14ac:dyDescent="0.55000000000000004">
      <c r="F619" t="s">
        <v>8219</v>
      </c>
      <c r="G619">
        <v>73</v>
      </c>
      <c r="I619" t="s">
        <v>8221</v>
      </c>
      <c r="J619">
        <v>3</v>
      </c>
    </row>
    <row r="620" spans="6:10" x14ac:dyDescent="0.55000000000000004">
      <c r="F620" t="s">
        <v>8219</v>
      </c>
      <c r="G620">
        <v>148</v>
      </c>
      <c r="I620" t="s">
        <v>8221</v>
      </c>
      <c r="J620">
        <v>0</v>
      </c>
    </row>
    <row r="621" spans="6:10" x14ac:dyDescent="0.55000000000000004">
      <c r="F621" t="s">
        <v>8219</v>
      </c>
      <c r="G621">
        <v>93</v>
      </c>
      <c r="I621" t="s">
        <v>8221</v>
      </c>
      <c r="J621">
        <v>0</v>
      </c>
    </row>
    <row r="622" spans="6:10" x14ac:dyDescent="0.55000000000000004">
      <c r="F622" t="s">
        <v>8219</v>
      </c>
      <c r="G622">
        <v>63</v>
      </c>
      <c r="I622" t="s">
        <v>8221</v>
      </c>
      <c r="J622">
        <v>0</v>
      </c>
    </row>
    <row r="623" spans="6:10" x14ac:dyDescent="0.55000000000000004">
      <c r="F623" t="s">
        <v>8219</v>
      </c>
      <c r="G623">
        <v>134</v>
      </c>
      <c r="I623" t="s">
        <v>8221</v>
      </c>
      <c r="J623">
        <v>0</v>
      </c>
    </row>
    <row r="624" spans="6:10" x14ac:dyDescent="0.55000000000000004">
      <c r="F624" t="s">
        <v>8219</v>
      </c>
      <c r="G624">
        <v>14</v>
      </c>
      <c r="I624" t="s">
        <v>8221</v>
      </c>
      <c r="J624">
        <v>0</v>
      </c>
    </row>
    <row r="625" spans="6:10" x14ac:dyDescent="0.55000000000000004">
      <c r="F625" t="s">
        <v>8219</v>
      </c>
      <c r="G625">
        <v>78</v>
      </c>
      <c r="I625" t="s">
        <v>8221</v>
      </c>
      <c r="J625">
        <v>3</v>
      </c>
    </row>
    <row r="626" spans="6:10" x14ac:dyDescent="0.55000000000000004">
      <c r="F626" t="s">
        <v>8219</v>
      </c>
      <c r="G626">
        <v>112</v>
      </c>
      <c r="I626" t="s">
        <v>8221</v>
      </c>
      <c r="J626">
        <v>0</v>
      </c>
    </row>
    <row r="627" spans="6:10" x14ac:dyDescent="0.55000000000000004">
      <c r="F627" t="s">
        <v>8219</v>
      </c>
      <c r="G627">
        <v>34</v>
      </c>
      <c r="I627" t="s">
        <v>8221</v>
      </c>
      <c r="J627">
        <v>0</v>
      </c>
    </row>
    <row r="628" spans="6:10" x14ac:dyDescent="0.55000000000000004">
      <c r="F628" t="s">
        <v>8219</v>
      </c>
      <c r="G628">
        <v>19</v>
      </c>
      <c r="I628" t="s">
        <v>8221</v>
      </c>
      <c r="J628">
        <v>1</v>
      </c>
    </row>
    <row r="629" spans="6:10" x14ac:dyDescent="0.55000000000000004">
      <c r="F629" t="s">
        <v>8219</v>
      </c>
      <c r="G629">
        <v>13</v>
      </c>
      <c r="I629" t="s">
        <v>8221</v>
      </c>
      <c r="J629">
        <v>6</v>
      </c>
    </row>
    <row r="630" spans="6:10" x14ac:dyDescent="0.55000000000000004">
      <c r="F630" t="s">
        <v>8219</v>
      </c>
      <c r="G630">
        <v>104</v>
      </c>
      <c r="I630" t="s">
        <v>8221</v>
      </c>
      <c r="J630">
        <v>1</v>
      </c>
    </row>
    <row r="631" spans="6:10" x14ac:dyDescent="0.55000000000000004">
      <c r="F631" t="s">
        <v>8219</v>
      </c>
      <c r="G631">
        <v>52</v>
      </c>
      <c r="I631" t="s">
        <v>8221</v>
      </c>
      <c r="J631">
        <v>2</v>
      </c>
    </row>
    <row r="632" spans="6:10" x14ac:dyDescent="0.55000000000000004">
      <c r="F632" t="s">
        <v>8219</v>
      </c>
      <c r="G632">
        <v>17</v>
      </c>
      <c r="I632" t="s">
        <v>8221</v>
      </c>
      <c r="J632">
        <v>0</v>
      </c>
    </row>
    <row r="633" spans="6:10" x14ac:dyDescent="0.55000000000000004">
      <c r="F633" t="s">
        <v>8219</v>
      </c>
      <c r="G633">
        <v>82</v>
      </c>
      <c r="I633" t="s">
        <v>8221</v>
      </c>
      <c r="J633">
        <v>3</v>
      </c>
    </row>
    <row r="634" spans="6:10" x14ac:dyDescent="0.55000000000000004">
      <c r="F634" t="s">
        <v>8219</v>
      </c>
      <c r="G634">
        <v>73</v>
      </c>
      <c r="I634" t="s">
        <v>8221</v>
      </c>
      <c r="J634">
        <v>3</v>
      </c>
    </row>
    <row r="635" spans="6:10" x14ac:dyDescent="0.55000000000000004">
      <c r="F635" t="s">
        <v>8219</v>
      </c>
      <c r="G635">
        <v>158</v>
      </c>
      <c r="I635" t="s">
        <v>8221</v>
      </c>
      <c r="J635">
        <v>0</v>
      </c>
    </row>
    <row r="636" spans="6:10" x14ac:dyDescent="0.55000000000000004">
      <c r="F636" t="s">
        <v>8219</v>
      </c>
      <c r="G636">
        <v>65</v>
      </c>
      <c r="I636" t="s">
        <v>8221</v>
      </c>
      <c r="J636">
        <v>6</v>
      </c>
    </row>
    <row r="637" spans="6:10" x14ac:dyDescent="0.55000000000000004">
      <c r="F637" t="s">
        <v>8219</v>
      </c>
      <c r="G637">
        <v>184</v>
      </c>
      <c r="I637" t="s">
        <v>8221</v>
      </c>
      <c r="J637">
        <v>0</v>
      </c>
    </row>
    <row r="638" spans="6:10" x14ac:dyDescent="0.55000000000000004">
      <c r="F638" t="s">
        <v>8219</v>
      </c>
      <c r="G638">
        <v>34</v>
      </c>
      <c r="I638" t="s">
        <v>8221</v>
      </c>
      <c r="J638">
        <v>19</v>
      </c>
    </row>
    <row r="639" spans="6:10" x14ac:dyDescent="0.55000000000000004">
      <c r="F639" t="s">
        <v>8219</v>
      </c>
      <c r="G639">
        <v>240</v>
      </c>
      <c r="I639" t="s">
        <v>8221</v>
      </c>
      <c r="J639">
        <v>1</v>
      </c>
    </row>
    <row r="640" spans="6:10" x14ac:dyDescent="0.55000000000000004">
      <c r="F640" t="s">
        <v>8219</v>
      </c>
      <c r="G640">
        <v>113</v>
      </c>
      <c r="I640" t="s">
        <v>8221</v>
      </c>
      <c r="J640">
        <v>2</v>
      </c>
    </row>
    <row r="641" spans="6:10" x14ac:dyDescent="0.55000000000000004">
      <c r="F641" t="s">
        <v>8219</v>
      </c>
      <c r="G641">
        <v>66</v>
      </c>
      <c r="I641" t="s">
        <v>8221</v>
      </c>
      <c r="J641">
        <v>0</v>
      </c>
    </row>
    <row r="642" spans="6:10" x14ac:dyDescent="0.55000000000000004">
      <c r="F642" t="s">
        <v>8219</v>
      </c>
      <c r="G642">
        <v>340</v>
      </c>
      <c r="I642" t="s">
        <v>8221</v>
      </c>
      <c r="J642">
        <v>11</v>
      </c>
    </row>
    <row r="643" spans="6:10" x14ac:dyDescent="0.55000000000000004">
      <c r="F643" t="s">
        <v>8219</v>
      </c>
      <c r="G643">
        <v>150</v>
      </c>
      <c r="I643" t="s">
        <v>8221</v>
      </c>
      <c r="J643">
        <v>0</v>
      </c>
    </row>
    <row r="644" spans="6:10" x14ac:dyDescent="0.55000000000000004">
      <c r="F644" t="s">
        <v>8219</v>
      </c>
      <c r="G644">
        <v>25</v>
      </c>
      <c r="I644" t="s">
        <v>8221</v>
      </c>
      <c r="J644">
        <v>0</v>
      </c>
    </row>
    <row r="645" spans="6:10" x14ac:dyDescent="0.55000000000000004">
      <c r="F645" t="s">
        <v>8219</v>
      </c>
      <c r="G645">
        <v>234</v>
      </c>
      <c r="I645" t="s">
        <v>8221</v>
      </c>
      <c r="J645">
        <v>1</v>
      </c>
    </row>
    <row r="646" spans="6:10" x14ac:dyDescent="0.55000000000000004">
      <c r="F646" t="s">
        <v>8219</v>
      </c>
      <c r="G646">
        <v>2602</v>
      </c>
      <c r="I646" t="s">
        <v>8221</v>
      </c>
      <c r="J646">
        <v>3</v>
      </c>
    </row>
    <row r="647" spans="6:10" x14ac:dyDescent="0.55000000000000004">
      <c r="F647" t="s">
        <v>8219</v>
      </c>
      <c r="G647">
        <v>248</v>
      </c>
      <c r="I647" t="s">
        <v>8221</v>
      </c>
      <c r="J647">
        <v>1</v>
      </c>
    </row>
    <row r="648" spans="6:10" x14ac:dyDescent="0.55000000000000004">
      <c r="F648" t="s">
        <v>8219</v>
      </c>
      <c r="G648">
        <v>600</v>
      </c>
      <c r="I648" t="s">
        <v>8221</v>
      </c>
      <c r="J648">
        <v>15</v>
      </c>
    </row>
    <row r="649" spans="6:10" x14ac:dyDescent="0.55000000000000004">
      <c r="F649" t="s">
        <v>8219</v>
      </c>
      <c r="G649">
        <v>293</v>
      </c>
      <c r="I649" t="s">
        <v>8221</v>
      </c>
      <c r="J649">
        <v>2</v>
      </c>
    </row>
    <row r="650" spans="6:10" x14ac:dyDescent="0.55000000000000004">
      <c r="F650" t="s">
        <v>8219</v>
      </c>
      <c r="G650">
        <v>321</v>
      </c>
      <c r="I650" t="s">
        <v>8221</v>
      </c>
      <c r="J650">
        <v>1</v>
      </c>
    </row>
    <row r="651" spans="6:10" x14ac:dyDescent="0.55000000000000004">
      <c r="F651" t="s">
        <v>8219</v>
      </c>
      <c r="G651">
        <v>81</v>
      </c>
      <c r="I651" t="s">
        <v>8221</v>
      </c>
      <c r="J651">
        <v>1</v>
      </c>
    </row>
    <row r="652" spans="6:10" x14ac:dyDescent="0.55000000000000004">
      <c r="F652" t="s">
        <v>8219</v>
      </c>
      <c r="G652">
        <v>343</v>
      </c>
      <c r="I652" t="s">
        <v>8221</v>
      </c>
      <c r="J652">
        <v>0</v>
      </c>
    </row>
    <row r="653" spans="6:10" x14ac:dyDescent="0.55000000000000004">
      <c r="F653" t="s">
        <v>8219</v>
      </c>
      <c r="G653">
        <v>336</v>
      </c>
      <c r="I653" t="s">
        <v>8221</v>
      </c>
      <c r="J653">
        <v>1</v>
      </c>
    </row>
    <row r="654" spans="6:10" x14ac:dyDescent="0.55000000000000004">
      <c r="F654" t="s">
        <v>8219</v>
      </c>
      <c r="G654">
        <v>47</v>
      </c>
      <c r="I654" t="s">
        <v>8221</v>
      </c>
      <c r="J654">
        <v>11</v>
      </c>
    </row>
    <row r="655" spans="6:10" x14ac:dyDescent="0.55000000000000004">
      <c r="F655" t="s">
        <v>8219</v>
      </c>
      <c r="G655">
        <v>76</v>
      </c>
      <c r="I655" t="s">
        <v>8221</v>
      </c>
      <c r="J655">
        <v>0</v>
      </c>
    </row>
    <row r="656" spans="6:10" x14ac:dyDescent="0.55000000000000004">
      <c r="F656" t="s">
        <v>8219</v>
      </c>
      <c r="G656">
        <v>441</v>
      </c>
      <c r="I656" t="s">
        <v>8221</v>
      </c>
      <c r="J656">
        <v>1</v>
      </c>
    </row>
    <row r="657" spans="6:10" x14ac:dyDescent="0.55000000000000004">
      <c r="F657" t="s">
        <v>8219</v>
      </c>
      <c r="G657">
        <v>916</v>
      </c>
      <c r="I657" t="s">
        <v>8221</v>
      </c>
      <c r="J657">
        <v>6</v>
      </c>
    </row>
    <row r="658" spans="6:10" x14ac:dyDescent="0.55000000000000004">
      <c r="F658" t="s">
        <v>8219</v>
      </c>
      <c r="G658">
        <v>369</v>
      </c>
      <c r="I658" t="s">
        <v>8221</v>
      </c>
      <c r="J658">
        <v>7</v>
      </c>
    </row>
    <row r="659" spans="6:10" x14ac:dyDescent="0.55000000000000004">
      <c r="F659" t="s">
        <v>8219</v>
      </c>
      <c r="G659">
        <v>20242</v>
      </c>
      <c r="I659" t="s">
        <v>8221</v>
      </c>
      <c r="J659">
        <v>0</v>
      </c>
    </row>
    <row r="660" spans="6:10" x14ac:dyDescent="0.55000000000000004">
      <c r="F660" t="s">
        <v>8219</v>
      </c>
      <c r="G660">
        <v>71</v>
      </c>
      <c r="I660" t="s">
        <v>8221</v>
      </c>
      <c r="J660">
        <v>16</v>
      </c>
    </row>
    <row r="661" spans="6:10" x14ac:dyDescent="0.55000000000000004">
      <c r="F661" t="s">
        <v>8219</v>
      </c>
      <c r="G661">
        <v>635</v>
      </c>
      <c r="I661" t="s">
        <v>8221</v>
      </c>
      <c r="J661">
        <v>0</v>
      </c>
    </row>
    <row r="662" spans="6:10" x14ac:dyDescent="0.55000000000000004">
      <c r="F662" t="s">
        <v>8219</v>
      </c>
      <c r="G662">
        <v>885</v>
      </c>
      <c r="I662" t="s">
        <v>8221</v>
      </c>
      <c r="J662">
        <v>0</v>
      </c>
    </row>
    <row r="663" spans="6:10" x14ac:dyDescent="0.55000000000000004">
      <c r="F663" t="s">
        <v>8219</v>
      </c>
      <c r="G663">
        <v>329</v>
      </c>
      <c r="I663" t="s">
        <v>8221</v>
      </c>
      <c r="J663">
        <v>0</v>
      </c>
    </row>
    <row r="664" spans="6:10" x14ac:dyDescent="0.55000000000000004">
      <c r="F664" t="s">
        <v>8219</v>
      </c>
      <c r="G664">
        <v>71</v>
      </c>
      <c r="I664" t="s">
        <v>8221</v>
      </c>
      <c r="J664">
        <v>12</v>
      </c>
    </row>
    <row r="665" spans="6:10" x14ac:dyDescent="0.55000000000000004">
      <c r="F665" t="s">
        <v>8219</v>
      </c>
      <c r="G665">
        <v>269</v>
      </c>
      <c r="I665" t="s">
        <v>8221</v>
      </c>
      <c r="J665">
        <v>1</v>
      </c>
    </row>
    <row r="666" spans="6:10" x14ac:dyDescent="0.55000000000000004">
      <c r="F666" t="s">
        <v>8219</v>
      </c>
      <c r="G666">
        <v>345</v>
      </c>
      <c r="I666" t="s">
        <v>8221</v>
      </c>
      <c r="J666">
        <v>3</v>
      </c>
    </row>
    <row r="667" spans="6:10" x14ac:dyDescent="0.55000000000000004">
      <c r="F667" t="s">
        <v>8219</v>
      </c>
      <c r="G667">
        <v>43</v>
      </c>
      <c r="I667" t="s">
        <v>8221</v>
      </c>
      <c r="J667">
        <v>1</v>
      </c>
    </row>
    <row r="668" spans="6:10" x14ac:dyDescent="0.55000000000000004">
      <c r="F668" t="s">
        <v>8219</v>
      </c>
      <c r="G668">
        <v>33</v>
      </c>
      <c r="I668" t="s">
        <v>8221</v>
      </c>
      <c r="J668">
        <v>4</v>
      </c>
    </row>
    <row r="669" spans="6:10" x14ac:dyDescent="0.55000000000000004">
      <c r="F669" t="s">
        <v>8219</v>
      </c>
      <c r="G669">
        <v>211</v>
      </c>
      <c r="I669" t="s">
        <v>8221</v>
      </c>
      <c r="J669">
        <v>1</v>
      </c>
    </row>
    <row r="670" spans="6:10" x14ac:dyDescent="0.55000000000000004">
      <c r="F670" t="s">
        <v>8219</v>
      </c>
      <c r="G670">
        <v>196</v>
      </c>
      <c r="I670" t="s">
        <v>8221</v>
      </c>
      <c r="J670">
        <v>3</v>
      </c>
    </row>
    <row r="671" spans="6:10" x14ac:dyDescent="0.55000000000000004">
      <c r="F671" t="s">
        <v>8219</v>
      </c>
      <c r="G671">
        <v>405</v>
      </c>
      <c r="I671" t="s">
        <v>8221</v>
      </c>
      <c r="J671">
        <v>1</v>
      </c>
    </row>
    <row r="672" spans="6:10" x14ac:dyDescent="0.55000000000000004">
      <c r="F672" t="s">
        <v>8219</v>
      </c>
      <c r="G672">
        <v>206</v>
      </c>
      <c r="I672" t="s">
        <v>8221</v>
      </c>
      <c r="J672">
        <v>0</v>
      </c>
    </row>
    <row r="673" spans="6:10" x14ac:dyDescent="0.55000000000000004">
      <c r="F673" t="s">
        <v>8219</v>
      </c>
      <c r="G673">
        <v>335</v>
      </c>
      <c r="I673" t="s">
        <v>8221</v>
      </c>
      <c r="J673">
        <v>12</v>
      </c>
    </row>
    <row r="674" spans="6:10" x14ac:dyDescent="0.55000000000000004">
      <c r="F674" t="s">
        <v>8219</v>
      </c>
      <c r="G674">
        <v>215</v>
      </c>
      <c r="I674" t="s">
        <v>8221</v>
      </c>
      <c r="J674">
        <v>0</v>
      </c>
    </row>
    <row r="675" spans="6:10" x14ac:dyDescent="0.55000000000000004">
      <c r="F675" t="s">
        <v>8219</v>
      </c>
      <c r="G675">
        <v>176</v>
      </c>
      <c r="I675" t="s">
        <v>8221</v>
      </c>
      <c r="J675">
        <v>1</v>
      </c>
    </row>
    <row r="676" spans="6:10" x14ac:dyDescent="0.55000000000000004">
      <c r="F676" t="s">
        <v>8219</v>
      </c>
      <c r="G676">
        <v>555</v>
      </c>
      <c r="I676" t="s">
        <v>8221</v>
      </c>
      <c r="J676">
        <v>0</v>
      </c>
    </row>
    <row r="677" spans="6:10" x14ac:dyDescent="0.55000000000000004">
      <c r="F677" t="s">
        <v>8219</v>
      </c>
      <c r="G677">
        <v>116</v>
      </c>
      <c r="I677" t="s">
        <v>8221</v>
      </c>
      <c r="J677">
        <v>0</v>
      </c>
    </row>
    <row r="678" spans="6:10" x14ac:dyDescent="0.55000000000000004">
      <c r="F678" t="s">
        <v>8219</v>
      </c>
      <c r="G678">
        <v>615</v>
      </c>
      <c r="I678" t="s">
        <v>8221</v>
      </c>
      <c r="J678">
        <v>2</v>
      </c>
    </row>
    <row r="679" spans="6:10" x14ac:dyDescent="0.55000000000000004">
      <c r="F679" t="s">
        <v>8219</v>
      </c>
      <c r="G679">
        <v>236</v>
      </c>
      <c r="I679" t="s">
        <v>8221</v>
      </c>
      <c r="J679">
        <v>92</v>
      </c>
    </row>
    <row r="680" spans="6:10" x14ac:dyDescent="0.55000000000000004">
      <c r="F680" t="s">
        <v>8219</v>
      </c>
      <c r="G680">
        <v>145</v>
      </c>
      <c r="I680" t="s">
        <v>8221</v>
      </c>
      <c r="J680">
        <v>0</v>
      </c>
    </row>
    <row r="681" spans="6:10" x14ac:dyDescent="0.55000000000000004">
      <c r="F681" t="s">
        <v>8219</v>
      </c>
      <c r="G681">
        <v>167</v>
      </c>
      <c r="I681" t="s">
        <v>8221</v>
      </c>
      <c r="J681">
        <v>3</v>
      </c>
    </row>
    <row r="682" spans="6:10" x14ac:dyDescent="0.55000000000000004">
      <c r="F682" t="s">
        <v>8219</v>
      </c>
      <c r="G682">
        <v>235</v>
      </c>
      <c r="I682" t="s">
        <v>8221</v>
      </c>
      <c r="J682">
        <v>10</v>
      </c>
    </row>
    <row r="683" spans="6:10" x14ac:dyDescent="0.55000000000000004">
      <c r="F683" t="s">
        <v>8219</v>
      </c>
      <c r="G683">
        <v>452</v>
      </c>
      <c r="I683" t="s">
        <v>8221</v>
      </c>
      <c r="J683">
        <v>7</v>
      </c>
    </row>
    <row r="684" spans="6:10" x14ac:dyDescent="0.55000000000000004">
      <c r="F684" t="s">
        <v>8219</v>
      </c>
      <c r="G684">
        <v>241</v>
      </c>
      <c r="I684" t="s">
        <v>8221</v>
      </c>
      <c r="J684">
        <v>3</v>
      </c>
    </row>
    <row r="685" spans="6:10" x14ac:dyDescent="0.55000000000000004">
      <c r="F685" t="s">
        <v>8219</v>
      </c>
      <c r="G685">
        <v>28</v>
      </c>
      <c r="I685" t="s">
        <v>8221</v>
      </c>
      <c r="J685">
        <v>0</v>
      </c>
    </row>
    <row r="686" spans="6:10" x14ac:dyDescent="0.55000000000000004">
      <c r="F686" t="s">
        <v>8219</v>
      </c>
      <c r="G686">
        <v>140</v>
      </c>
      <c r="I686" t="s">
        <v>8221</v>
      </c>
      <c r="J686">
        <v>1</v>
      </c>
    </row>
    <row r="687" spans="6:10" x14ac:dyDescent="0.55000000000000004">
      <c r="F687" t="s">
        <v>8219</v>
      </c>
      <c r="G687">
        <v>280</v>
      </c>
      <c r="I687" t="s">
        <v>8221</v>
      </c>
      <c r="J687">
        <v>0</v>
      </c>
    </row>
    <row r="688" spans="6:10" x14ac:dyDescent="0.55000000000000004">
      <c r="F688" t="s">
        <v>8219</v>
      </c>
      <c r="G688">
        <v>70</v>
      </c>
      <c r="I688" t="s">
        <v>8221</v>
      </c>
      <c r="J688">
        <v>9</v>
      </c>
    </row>
    <row r="689" spans="6:10" x14ac:dyDescent="0.55000000000000004">
      <c r="F689" t="s">
        <v>8219</v>
      </c>
      <c r="G689">
        <v>160</v>
      </c>
      <c r="I689" t="s">
        <v>8221</v>
      </c>
      <c r="J689">
        <v>2</v>
      </c>
    </row>
    <row r="690" spans="6:10" x14ac:dyDescent="0.55000000000000004">
      <c r="F690" t="s">
        <v>8219</v>
      </c>
      <c r="G690">
        <v>141</v>
      </c>
      <c r="I690" t="s">
        <v>8221</v>
      </c>
      <c r="J690">
        <v>1</v>
      </c>
    </row>
    <row r="691" spans="6:10" x14ac:dyDescent="0.55000000000000004">
      <c r="F691" t="s">
        <v>8219</v>
      </c>
      <c r="G691">
        <v>874</v>
      </c>
      <c r="I691" t="s">
        <v>8221</v>
      </c>
      <c r="J691">
        <v>2</v>
      </c>
    </row>
    <row r="692" spans="6:10" x14ac:dyDescent="0.55000000000000004">
      <c r="F692" t="s">
        <v>8219</v>
      </c>
      <c r="G692">
        <v>73</v>
      </c>
      <c r="I692" t="s">
        <v>8221</v>
      </c>
      <c r="J692">
        <v>11</v>
      </c>
    </row>
    <row r="693" spans="6:10" x14ac:dyDescent="0.55000000000000004">
      <c r="F693" t="s">
        <v>8219</v>
      </c>
      <c r="G693">
        <v>294</v>
      </c>
      <c r="I693" t="s">
        <v>8221</v>
      </c>
      <c r="J693">
        <v>0</v>
      </c>
    </row>
    <row r="694" spans="6:10" x14ac:dyDescent="0.55000000000000004">
      <c r="F694" t="s">
        <v>8219</v>
      </c>
      <c r="G694">
        <v>740</v>
      </c>
      <c r="I694" t="s">
        <v>8221</v>
      </c>
      <c r="J694">
        <v>0</v>
      </c>
    </row>
    <row r="695" spans="6:10" x14ac:dyDescent="0.55000000000000004">
      <c r="F695" t="s">
        <v>8219</v>
      </c>
      <c r="G695">
        <v>369</v>
      </c>
      <c r="I695" t="s">
        <v>8221</v>
      </c>
      <c r="J695">
        <v>9</v>
      </c>
    </row>
    <row r="696" spans="6:10" x14ac:dyDescent="0.55000000000000004">
      <c r="F696" t="s">
        <v>8219</v>
      </c>
      <c r="G696">
        <v>110</v>
      </c>
      <c r="I696" t="s">
        <v>8221</v>
      </c>
      <c r="J696">
        <v>0</v>
      </c>
    </row>
    <row r="697" spans="6:10" x14ac:dyDescent="0.55000000000000004">
      <c r="F697" t="s">
        <v>8219</v>
      </c>
      <c r="G697">
        <v>455</v>
      </c>
      <c r="I697" t="s">
        <v>8221</v>
      </c>
      <c r="J697">
        <v>4</v>
      </c>
    </row>
    <row r="698" spans="6:10" x14ac:dyDescent="0.55000000000000004">
      <c r="F698" t="s">
        <v>8219</v>
      </c>
      <c r="G698">
        <v>224</v>
      </c>
      <c r="I698" t="s">
        <v>8221</v>
      </c>
      <c r="J698">
        <v>1</v>
      </c>
    </row>
    <row r="699" spans="6:10" x14ac:dyDescent="0.55000000000000004">
      <c r="F699" t="s">
        <v>8219</v>
      </c>
      <c r="G699">
        <v>46</v>
      </c>
      <c r="I699" t="s">
        <v>8221</v>
      </c>
      <c r="J699">
        <v>2</v>
      </c>
    </row>
    <row r="700" spans="6:10" x14ac:dyDescent="0.55000000000000004">
      <c r="F700" t="s">
        <v>8219</v>
      </c>
      <c r="G700">
        <v>284</v>
      </c>
      <c r="I700" t="s">
        <v>8221</v>
      </c>
      <c r="J700">
        <v>0</v>
      </c>
    </row>
    <row r="701" spans="6:10" x14ac:dyDescent="0.55000000000000004">
      <c r="F701" t="s">
        <v>8219</v>
      </c>
      <c r="G701">
        <v>98</v>
      </c>
      <c r="I701" t="s">
        <v>8221</v>
      </c>
      <c r="J701">
        <v>1</v>
      </c>
    </row>
    <row r="702" spans="6:10" x14ac:dyDescent="0.55000000000000004">
      <c r="F702" t="s">
        <v>8219</v>
      </c>
      <c r="G702">
        <v>56</v>
      </c>
      <c r="I702" t="s">
        <v>8221</v>
      </c>
      <c r="J702">
        <v>17</v>
      </c>
    </row>
    <row r="703" spans="6:10" x14ac:dyDescent="0.55000000000000004">
      <c r="F703" t="s">
        <v>8219</v>
      </c>
      <c r="G703">
        <v>32</v>
      </c>
      <c r="I703" t="s">
        <v>8221</v>
      </c>
      <c r="J703">
        <v>2</v>
      </c>
    </row>
    <row r="704" spans="6:10" x14ac:dyDescent="0.55000000000000004">
      <c r="F704" t="s">
        <v>8219</v>
      </c>
      <c r="G704">
        <v>30</v>
      </c>
      <c r="I704" t="s">
        <v>8221</v>
      </c>
      <c r="J704">
        <v>3</v>
      </c>
    </row>
    <row r="705" spans="6:10" x14ac:dyDescent="0.55000000000000004">
      <c r="F705" t="s">
        <v>8219</v>
      </c>
      <c r="G705">
        <v>70</v>
      </c>
      <c r="I705" t="s">
        <v>8221</v>
      </c>
      <c r="J705">
        <v>41</v>
      </c>
    </row>
    <row r="706" spans="6:10" x14ac:dyDescent="0.55000000000000004">
      <c r="F706" t="s">
        <v>8219</v>
      </c>
      <c r="G706">
        <v>44</v>
      </c>
      <c r="I706" t="s">
        <v>8221</v>
      </c>
      <c r="J706">
        <v>2</v>
      </c>
    </row>
    <row r="707" spans="6:10" x14ac:dyDescent="0.55000000000000004">
      <c r="F707" t="s">
        <v>8219</v>
      </c>
      <c r="G707">
        <v>92</v>
      </c>
      <c r="I707" t="s">
        <v>8221</v>
      </c>
      <c r="J707">
        <v>3</v>
      </c>
    </row>
    <row r="708" spans="6:10" x14ac:dyDescent="0.55000000000000004">
      <c r="F708" t="s">
        <v>8219</v>
      </c>
      <c r="G708">
        <v>205</v>
      </c>
      <c r="I708" t="s">
        <v>8221</v>
      </c>
      <c r="J708">
        <v>8</v>
      </c>
    </row>
    <row r="709" spans="6:10" x14ac:dyDescent="0.55000000000000004">
      <c r="F709" t="s">
        <v>8219</v>
      </c>
      <c r="G709">
        <v>23</v>
      </c>
      <c r="I709" t="s">
        <v>8221</v>
      </c>
      <c r="J709">
        <v>0</v>
      </c>
    </row>
    <row r="710" spans="6:10" x14ac:dyDescent="0.55000000000000004">
      <c r="F710" t="s">
        <v>8219</v>
      </c>
      <c r="G710">
        <v>4</v>
      </c>
      <c r="I710" t="s">
        <v>8221</v>
      </c>
      <c r="J710">
        <v>1</v>
      </c>
    </row>
    <row r="711" spans="6:10" x14ac:dyDescent="0.55000000000000004">
      <c r="F711" t="s">
        <v>8219</v>
      </c>
      <c r="G711">
        <v>112</v>
      </c>
      <c r="I711" t="s">
        <v>8221</v>
      </c>
      <c r="J711">
        <v>3</v>
      </c>
    </row>
    <row r="712" spans="6:10" x14ac:dyDescent="0.55000000000000004">
      <c r="F712" t="s">
        <v>8219</v>
      </c>
      <c r="G712">
        <v>27</v>
      </c>
      <c r="I712" t="s">
        <v>8221</v>
      </c>
      <c r="J712">
        <v>4</v>
      </c>
    </row>
    <row r="713" spans="6:10" x14ac:dyDescent="0.55000000000000004">
      <c r="F713" t="s">
        <v>8219</v>
      </c>
      <c r="G713">
        <v>11</v>
      </c>
      <c r="I713" t="s">
        <v>8221</v>
      </c>
      <c r="J713">
        <v>9</v>
      </c>
    </row>
    <row r="714" spans="6:10" x14ac:dyDescent="0.55000000000000004">
      <c r="F714" t="s">
        <v>8219</v>
      </c>
      <c r="G714">
        <v>26</v>
      </c>
      <c r="I714" t="s">
        <v>8221</v>
      </c>
      <c r="J714">
        <v>16</v>
      </c>
    </row>
    <row r="715" spans="6:10" x14ac:dyDescent="0.55000000000000004">
      <c r="F715" t="s">
        <v>8219</v>
      </c>
      <c r="G715">
        <v>77</v>
      </c>
      <c r="I715" t="s">
        <v>8221</v>
      </c>
      <c r="J715">
        <v>1</v>
      </c>
    </row>
    <row r="716" spans="6:10" x14ac:dyDescent="0.55000000000000004">
      <c r="F716" t="s">
        <v>8219</v>
      </c>
      <c r="G716">
        <v>136</v>
      </c>
      <c r="I716" t="s">
        <v>8221</v>
      </c>
      <c r="J716">
        <v>7</v>
      </c>
    </row>
    <row r="717" spans="6:10" x14ac:dyDescent="0.55000000000000004">
      <c r="F717" t="s">
        <v>8219</v>
      </c>
      <c r="G717">
        <v>157</v>
      </c>
      <c r="I717" t="s">
        <v>8221</v>
      </c>
      <c r="J717">
        <v>0</v>
      </c>
    </row>
    <row r="718" spans="6:10" x14ac:dyDescent="0.55000000000000004">
      <c r="F718" t="s">
        <v>8219</v>
      </c>
      <c r="G718">
        <v>158</v>
      </c>
      <c r="I718" t="s">
        <v>8221</v>
      </c>
      <c r="J718">
        <v>0</v>
      </c>
    </row>
    <row r="719" spans="6:10" x14ac:dyDescent="0.55000000000000004">
      <c r="F719" t="s">
        <v>8219</v>
      </c>
      <c r="G719">
        <v>27</v>
      </c>
      <c r="I719" t="s">
        <v>8221</v>
      </c>
      <c r="J719">
        <v>0</v>
      </c>
    </row>
    <row r="720" spans="6:10" x14ac:dyDescent="0.55000000000000004">
      <c r="F720" t="s">
        <v>8219</v>
      </c>
      <c r="G720">
        <v>23</v>
      </c>
      <c r="I720" t="s">
        <v>8221</v>
      </c>
      <c r="J720">
        <v>0</v>
      </c>
    </row>
    <row r="721" spans="6:10" x14ac:dyDescent="0.55000000000000004">
      <c r="F721" t="s">
        <v>8219</v>
      </c>
      <c r="G721">
        <v>17</v>
      </c>
      <c r="I721" t="s">
        <v>8221</v>
      </c>
      <c r="J721">
        <v>0</v>
      </c>
    </row>
    <row r="722" spans="6:10" x14ac:dyDescent="0.55000000000000004">
      <c r="F722" t="s">
        <v>8219</v>
      </c>
      <c r="G722">
        <v>37</v>
      </c>
      <c r="I722" t="s">
        <v>8221</v>
      </c>
      <c r="J722">
        <v>1</v>
      </c>
    </row>
    <row r="723" spans="6:10" x14ac:dyDescent="0.55000000000000004">
      <c r="F723" t="s">
        <v>8219</v>
      </c>
      <c r="G723">
        <v>65</v>
      </c>
      <c r="I723" t="s">
        <v>8221</v>
      </c>
      <c r="J723">
        <v>2</v>
      </c>
    </row>
    <row r="724" spans="6:10" x14ac:dyDescent="0.55000000000000004">
      <c r="F724" t="s">
        <v>8219</v>
      </c>
      <c r="G724">
        <v>18</v>
      </c>
      <c r="I724" t="s">
        <v>8221</v>
      </c>
      <c r="J724">
        <v>1</v>
      </c>
    </row>
    <row r="725" spans="6:10" x14ac:dyDescent="0.55000000000000004">
      <c r="F725" t="s">
        <v>8219</v>
      </c>
      <c r="G725">
        <v>25</v>
      </c>
      <c r="I725" t="s">
        <v>8221</v>
      </c>
      <c r="J725">
        <v>15</v>
      </c>
    </row>
    <row r="726" spans="6:10" x14ac:dyDescent="0.55000000000000004">
      <c r="F726" t="s">
        <v>8219</v>
      </c>
      <c r="G726">
        <v>104</v>
      </c>
      <c r="I726" t="s">
        <v>8221</v>
      </c>
      <c r="J726">
        <v>1</v>
      </c>
    </row>
    <row r="727" spans="6:10" x14ac:dyDescent="0.55000000000000004">
      <c r="F727" t="s">
        <v>8219</v>
      </c>
      <c r="G727">
        <v>108</v>
      </c>
      <c r="I727" t="s">
        <v>8221</v>
      </c>
      <c r="J727">
        <v>1</v>
      </c>
    </row>
    <row r="728" spans="6:10" x14ac:dyDescent="0.55000000000000004">
      <c r="F728" t="s">
        <v>8219</v>
      </c>
      <c r="G728">
        <v>38</v>
      </c>
      <c r="I728" t="s">
        <v>8221</v>
      </c>
      <c r="J728">
        <v>0</v>
      </c>
    </row>
    <row r="729" spans="6:10" x14ac:dyDescent="0.55000000000000004">
      <c r="F729" t="s">
        <v>8219</v>
      </c>
      <c r="G729">
        <v>88</v>
      </c>
      <c r="I729" t="s">
        <v>8221</v>
      </c>
      <c r="J729">
        <v>39</v>
      </c>
    </row>
    <row r="730" spans="6:10" x14ac:dyDescent="0.55000000000000004">
      <c r="F730" t="s">
        <v>8219</v>
      </c>
      <c r="G730">
        <v>82</v>
      </c>
      <c r="I730" t="s">
        <v>8221</v>
      </c>
      <c r="J730">
        <v>103</v>
      </c>
    </row>
    <row r="731" spans="6:10" x14ac:dyDescent="0.55000000000000004">
      <c r="F731" t="s">
        <v>8219</v>
      </c>
      <c r="G731">
        <v>126</v>
      </c>
      <c r="I731" t="s">
        <v>8221</v>
      </c>
      <c r="J731">
        <v>0</v>
      </c>
    </row>
    <row r="732" spans="6:10" x14ac:dyDescent="0.55000000000000004">
      <c r="F732" t="s">
        <v>8219</v>
      </c>
      <c r="G732">
        <v>133</v>
      </c>
      <c r="I732" t="s">
        <v>8221</v>
      </c>
      <c r="J732">
        <v>39</v>
      </c>
    </row>
    <row r="733" spans="6:10" x14ac:dyDescent="0.55000000000000004">
      <c r="F733" t="s">
        <v>8219</v>
      </c>
      <c r="G733">
        <v>47</v>
      </c>
      <c r="I733" t="s">
        <v>8221</v>
      </c>
      <c r="J733">
        <v>15</v>
      </c>
    </row>
    <row r="734" spans="6:10" x14ac:dyDescent="0.55000000000000004">
      <c r="F734" t="s">
        <v>8219</v>
      </c>
      <c r="G734">
        <v>58</v>
      </c>
      <c r="I734" t="s">
        <v>8221</v>
      </c>
      <c r="J734">
        <v>22</v>
      </c>
    </row>
    <row r="735" spans="6:10" x14ac:dyDescent="0.55000000000000004">
      <c r="F735" t="s">
        <v>8219</v>
      </c>
      <c r="G735">
        <v>32</v>
      </c>
      <c r="I735" t="s">
        <v>8221</v>
      </c>
      <c r="J735">
        <v>92</v>
      </c>
    </row>
    <row r="736" spans="6:10" x14ac:dyDescent="0.55000000000000004">
      <c r="F736" t="s">
        <v>8219</v>
      </c>
      <c r="G736">
        <v>37</v>
      </c>
      <c r="I736" t="s">
        <v>8221</v>
      </c>
      <c r="J736">
        <v>25</v>
      </c>
    </row>
    <row r="737" spans="6:10" x14ac:dyDescent="0.55000000000000004">
      <c r="F737" t="s">
        <v>8219</v>
      </c>
      <c r="G737">
        <v>87</v>
      </c>
      <c r="I737" t="s">
        <v>8221</v>
      </c>
      <c r="J737">
        <v>19</v>
      </c>
    </row>
    <row r="738" spans="6:10" x14ac:dyDescent="0.55000000000000004">
      <c r="F738" t="s">
        <v>8219</v>
      </c>
      <c r="G738">
        <v>15</v>
      </c>
      <c r="I738" t="s">
        <v>8221</v>
      </c>
      <c r="J738">
        <v>19</v>
      </c>
    </row>
    <row r="739" spans="6:10" x14ac:dyDescent="0.55000000000000004">
      <c r="F739" t="s">
        <v>8219</v>
      </c>
      <c r="G739">
        <v>27</v>
      </c>
      <c r="I739" t="s">
        <v>8221</v>
      </c>
      <c r="J739">
        <v>13</v>
      </c>
    </row>
    <row r="740" spans="6:10" x14ac:dyDescent="0.55000000000000004">
      <c r="F740" t="s">
        <v>8219</v>
      </c>
      <c r="G740">
        <v>19</v>
      </c>
      <c r="I740" t="s">
        <v>8221</v>
      </c>
      <c r="J740">
        <v>124</v>
      </c>
    </row>
    <row r="741" spans="6:10" x14ac:dyDescent="0.55000000000000004">
      <c r="F741" t="s">
        <v>8219</v>
      </c>
      <c r="G741">
        <v>17</v>
      </c>
      <c r="I741" t="s">
        <v>8221</v>
      </c>
      <c r="J741">
        <v>4</v>
      </c>
    </row>
    <row r="742" spans="6:10" x14ac:dyDescent="0.55000000000000004">
      <c r="F742" t="s">
        <v>8219</v>
      </c>
      <c r="G742">
        <v>26</v>
      </c>
      <c r="I742" t="s">
        <v>8221</v>
      </c>
      <c r="J742">
        <v>10</v>
      </c>
    </row>
    <row r="743" spans="6:10" x14ac:dyDescent="0.55000000000000004">
      <c r="F743" t="s">
        <v>8219</v>
      </c>
      <c r="G743">
        <v>28</v>
      </c>
      <c r="I743" t="s">
        <v>8221</v>
      </c>
      <c r="J743">
        <v>15</v>
      </c>
    </row>
    <row r="744" spans="6:10" x14ac:dyDescent="0.55000000000000004">
      <c r="F744" t="s">
        <v>8219</v>
      </c>
      <c r="G744">
        <v>37</v>
      </c>
      <c r="I744" t="s">
        <v>8221</v>
      </c>
      <c r="J744">
        <v>38</v>
      </c>
    </row>
    <row r="745" spans="6:10" x14ac:dyDescent="0.55000000000000004">
      <c r="F745" t="s">
        <v>8219</v>
      </c>
      <c r="G745">
        <v>128</v>
      </c>
      <c r="I745" t="s">
        <v>8221</v>
      </c>
      <c r="J745">
        <v>152</v>
      </c>
    </row>
    <row r="746" spans="6:10" x14ac:dyDescent="0.55000000000000004">
      <c r="F746" t="s">
        <v>8219</v>
      </c>
      <c r="G746">
        <v>10</v>
      </c>
      <c r="I746" t="s">
        <v>8221</v>
      </c>
      <c r="J746">
        <v>24</v>
      </c>
    </row>
    <row r="747" spans="6:10" x14ac:dyDescent="0.55000000000000004">
      <c r="F747" t="s">
        <v>8219</v>
      </c>
      <c r="G747">
        <v>83</v>
      </c>
      <c r="I747" t="s">
        <v>8221</v>
      </c>
      <c r="J747">
        <v>76</v>
      </c>
    </row>
    <row r="748" spans="6:10" x14ac:dyDescent="0.55000000000000004">
      <c r="F748" t="s">
        <v>8219</v>
      </c>
      <c r="G748">
        <v>46</v>
      </c>
      <c r="I748" t="s">
        <v>8221</v>
      </c>
      <c r="J748">
        <v>185</v>
      </c>
    </row>
    <row r="749" spans="6:10" x14ac:dyDescent="0.55000000000000004">
      <c r="F749" t="s">
        <v>8219</v>
      </c>
      <c r="G749">
        <v>90</v>
      </c>
      <c r="I749" t="s">
        <v>8221</v>
      </c>
      <c r="J749">
        <v>33</v>
      </c>
    </row>
    <row r="750" spans="6:10" x14ac:dyDescent="0.55000000000000004">
      <c r="F750" t="s">
        <v>8219</v>
      </c>
      <c r="G750">
        <v>81</v>
      </c>
      <c r="I750" t="s">
        <v>8221</v>
      </c>
      <c r="J750">
        <v>108</v>
      </c>
    </row>
    <row r="751" spans="6:10" x14ac:dyDescent="0.55000000000000004">
      <c r="F751" t="s">
        <v>8219</v>
      </c>
      <c r="G751">
        <v>32</v>
      </c>
      <c r="I751" t="s">
        <v>8221</v>
      </c>
      <c r="J751">
        <v>29</v>
      </c>
    </row>
    <row r="752" spans="6:10" x14ac:dyDescent="0.55000000000000004">
      <c r="F752" t="s">
        <v>8219</v>
      </c>
      <c r="G752">
        <v>20</v>
      </c>
      <c r="I752" t="s">
        <v>8221</v>
      </c>
      <c r="J752">
        <v>24</v>
      </c>
    </row>
    <row r="753" spans="6:10" x14ac:dyDescent="0.55000000000000004">
      <c r="F753" t="s">
        <v>8219</v>
      </c>
      <c r="G753">
        <v>70</v>
      </c>
      <c r="I753" t="s">
        <v>8221</v>
      </c>
      <c r="J753">
        <v>4</v>
      </c>
    </row>
    <row r="754" spans="6:10" x14ac:dyDescent="0.55000000000000004">
      <c r="F754" t="s">
        <v>8219</v>
      </c>
      <c r="G754">
        <v>168</v>
      </c>
      <c r="I754" t="s">
        <v>8221</v>
      </c>
      <c r="J754">
        <v>4</v>
      </c>
    </row>
    <row r="755" spans="6:10" x14ac:dyDescent="0.55000000000000004">
      <c r="F755" t="s">
        <v>8219</v>
      </c>
      <c r="G755">
        <v>34</v>
      </c>
      <c r="I755" t="s">
        <v>8221</v>
      </c>
      <c r="J755">
        <v>15</v>
      </c>
    </row>
    <row r="756" spans="6:10" x14ac:dyDescent="0.55000000000000004">
      <c r="F756" t="s">
        <v>8219</v>
      </c>
      <c r="G756">
        <v>48</v>
      </c>
      <c r="I756" t="s">
        <v>8221</v>
      </c>
      <c r="J756">
        <v>4</v>
      </c>
    </row>
    <row r="757" spans="6:10" x14ac:dyDescent="0.55000000000000004">
      <c r="F757" t="s">
        <v>8219</v>
      </c>
      <c r="G757">
        <v>48</v>
      </c>
      <c r="I757" t="s">
        <v>8221</v>
      </c>
      <c r="J757">
        <v>139</v>
      </c>
    </row>
    <row r="758" spans="6:10" x14ac:dyDescent="0.55000000000000004">
      <c r="F758" t="s">
        <v>8219</v>
      </c>
      <c r="G758">
        <v>221</v>
      </c>
      <c r="I758" t="s">
        <v>8221</v>
      </c>
      <c r="J758">
        <v>2</v>
      </c>
    </row>
    <row r="759" spans="6:10" x14ac:dyDescent="0.55000000000000004">
      <c r="F759" t="s">
        <v>8219</v>
      </c>
      <c r="G759">
        <v>107</v>
      </c>
      <c r="I759" t="s">
        <v>8221</v>
      </c>
      <c r="J759">
        <v>18</v>
      </c>
    </row>
    <row r="760" spans="6:10" x14ac:dyDescent="0.55000000000000004">
      <c r="F760" t="s">
        <v>8219</v>
      </c>
      <c r="G760">
        <v>45</v>
      </c>
      <c r="I760" t="s">
        <v>8221</v>
      </c>
      <c r="J760">
        <v>81</v>
      </c>
    </row>
    <row r="761" spans="6:10" x14ac:dyDescent="0.55000000000000004">
      <c r="F761" t="s">
        <v>8219</v>
      </c>
      <c r="G761">
        <v>36</v>
      </c>
      <c r="I761" t="s">
        <v>8221</v>
      </c>
      <c r="J761">
        <v>86</v>
      </c>
    </row>
    <row r="762" spans="6:10" x14ac:dyDescent="0.55000000000000004">
      <c r="F762" t="s">
        <v>8219</v>
      </c>
      <c r="G762">
        <v>101</v>
      </c>
      <c r="I762" t="s">
        <v>8221</v>
      </c>
      <c r="J762">
        <v>140</v>
      </c>
    </row>
    <row r="763" spans="6:10" x14ac:dyDescent="0.55000000000000004">
      <c r="F763" t="s">
        <v>8219</v>
      </c>
      <c r="G763">
        <v>62</v>
      </c>
      <c r="I763" t="s">
        <v>8221</v>
      </c>
      <c r="J763">
        <v>37</v>
      </c>
    </row>
    <row r="764" spans="6:10" x14ac:dyDescent="0.55000000000000004">
      <c r="F764" t="s">
        <v>8219</v>
      </c>
      <c r="G764">
        <v>32</v>
      </c>
      <c r="I764" t="s">
        <v>8221</v>
      </c>
      <c r="J764">
        <v>6</v>
      </c>
    </row>
    <row r="765" spans="6:10" x14ac:dyDescent="0.55000000000000004">
      <c r="F765" t="s">
        <v>8219</v>
      </c>
      <c r="G765">
        <v>89</v>
      </c>
      <c r="I765" t="s">
        <v>8221</v>
      </c>
      <c r="J765">
        <v>113</v>
      </c>
    </row>
    <row r="766" spans="6:10" x14ac:dyDescent="0.55000000000000004">
      <c r="F766" t="s">
        <v>8219</v>
      </c>
      <c r="G766">
        <v>93</v>
      </c>
      <c r="I766" t="s">
        <v>8221</v>
      </c>
      <c r="J766">
        <v>37</v>
      </c>
    </row>
    <row r="767" spans="6:10" x14ac:dyDescent="0.55000000000000004">
      <c r="F767" t="s">
        <v>8219</v>
      </c>
      <c r="G767">
        <v>98</v>
      </c>
      <c r="I767" t="s">
        <v>8221</v>
      </c>
      <c r="J767">
        <v>18</v>
      </c>
    </row>
    <row r="768" spans="6:10" x14ac:dyDescent="0.55000000000000004">
      <c r="F768" t="s">
        <v>8219</v>
      </c>
      <c r="G768">
        <v>82</v>
      </c>
      <c r="I768" t="s">
        <v>8221</v>
      </c>
      <c r="J768">
        <v>75</v>
      </c>
    </row>
    <row r="769" spans="6:10" x14ac:dyDescent="0.55000000000000004">
      <c r="F769" t="s">
        <v>8219</v>
      </c>
      <c r="G769">
        <v>116</v>
      </c>
      <c r="I769" t="s">
        <v>8221</v>
      </c>
      <c r="J769">
        <v>52</v>
      </c>
    </row>
    <row r="770" spans="6:10" x14ac:dyDescent="0.55000000000000004">
      <c r="F770" t="s">
        <v>8219</v>
      </c>
      <c r="G770">
        <v>52</v>
      </c>
      <c r="I770" t="s">
        <v>8221</v>
      </c>
      <c r="J770">
        <v>122</v>
      </c>
    </row>
    <row r="771" spans="6:10" x14ac:dyDescent="0.55000000000000004">
      <c r="F771" t="s">
        <v>8219</v>
      </c>
      <c r="G771">
        <v>23</v>
      </c>
      <c r="I771" t="s">
        <v>8221</v>
      </c>
      <c r="J771">
        <v>8</v>
      </c>
    </row>
    <row r="772" spans="6:10" x14ac:dyDescent="0.55000000000000004">
      <c r="F772" t="s">
        <v>8219</v>
      </c>
      <c r="G772">
        <v>77</v>
      </c>
      <c r="I772" t="s">
        <v>8221</v>
      </c>
      <c r="J772">
        <v>8</v>
      </c>
    </row>
    <row r="773" spans="6:10" x14ac:dyDescent="0.55000000000000004">
      <c r="F773" t="s">
        <v>8219</v>
      </c>
      <c r="G773">
        <v>49</v>
      </c>
      <c r="I773" t="s">
        <v>8221</v>
      </c>
      <c r="J773">
        <v>96</v>
      </c>
    </row>
    <row r="774" spans="6:10" x14ac:dyDescent="0.55000000000000004">
      <c r="F774" t="s">
        <v>8219</v>
      </c>
      <c r="G774">
        <v>59</v>
      </c>
      <c r="I774" t="s">
        <v>8221</v>
      </c>
      <c r="J774">
        <v>9</v>
      </c>
    </row>
    <row r="775" spans="6:10" x14ac:dyDescent="0.55000000000000004">
      <c r="F775" t="s">
        <v>8219</v>
      </c>
      <c r="G775">
        <v>113</v>
      </c>
      <c r="I775" t="s">
        <v>8221</v>
      </c>
      <c r="J775">
        <v>2</v>
      </c>
    </row>
    <row r="776" spans="6:10" x14ac:dyDescent="0.55000000000000004">
      <c r="F776" t="s">
        <v>8219</v>
      </c>
      <c r="G776">
        <v>34</v>
      </c>
      <c r="I776" t="s">
        <v>8221</v>
      </c>
      <c r="J776">
        <v>26</v>
      </c>
    </row>
    <row r="777" spans="6:10" x14ac:dyDescent="0.55000000000000004">
      <c r="F777" t="s">
        <v>8219</v>
      </c>
      <c r="G777">
        <v>42</v>
      </c>
      <c r="I777" t="s">
        <v>8221</v>
      </c>
      <c r="J777">
        <v>23</v>
      </c>
    </row>
    <row r="778" spans="6:10" x14ac:dyDescent="0.55000000000000004">
      <c r="F778" t="s">
        <v>8219</v>
      </c>
      <c r="G778">
        <v>42</v>
      </c>
      <c r="I778" t="s">
        <v>8221</v>
      </c>
      <c r="J778">
        <v>0</v>
      </c>
    </row>
    <row r="779" spans="6:10" x14ac:dyDescent="0.55000000000000004">
      <c r="F779" t="s">
        <v>8219</v>
      </c>
      <c r="G779">
        <v>49</v>
      </c>
      <c r="I779" t="s">
        <v>8221</v>
      </c>
      <c r="J779">
        <v>140</v>
      </c>
    </row>
    <row r="780" spans="6:10" x14ac:dyDescent="0.55000000000000004">
      <c r="F780" t="s">
        <v>8219</v>
      </c>
      <c r="G780">
        <v>56</v>
      </c>
      <c r="I780" t="s">
        <v>8221</v>
      </c>
      <c r="J780">
        <v>0</v>
      </c>
    </row>
    <row r="781" spans="6:10" x14ac:dyDescent="0.55000000000000004">
      <c r="F781" t="s">
        <v>8219</v>
      </c>
      <c r="G781">
        <v>25</v>
      </c>
      <c r="I781" t="s">
        <v>8221</v>
      </c>
      <c r="J781">
        <v>6</v>
      </c>
    </row>
    <row r="782" spans="6:10" x14ac:dyDescent="0.55000000000000004">
      <c r="F782" t="s">
        <v>8219</v>
      </c>
      <c r="G782">
        <v>52</v>
      </c>
      <c r="I782" t="s">
        <v>8221</v>
      </c>
      <c r="J782">
        <v>100</v>
      </c>
    </row>
    <row r="783" spans="6:10" x14ac:dyDescent="0.55000000000000004">
      <c r="F783" t="s">
        <v>8219</v>
      </c>
      <c r="G783">
        <v>34</v>
      </c>
      <c r="I783" t="s">
        <v>8221</v>
      </c>
      <c r="J783">
        <v>0</v>
      </c>
    </row>
    <row r="784" spans="6:10" x14ac:dyDescent="0.55000000000000004">
      <c r="F784" t="s">
        <v>8219</v>
      </c>
      <c r="G784">
        <v>67</v>
      </c>
      <c r="I784" t="s">
        <v>8221</v>
      </c>
      <c r="J784">
        <v>4</v>
      </c>
    </row>
    <row r="785" spans="6:10" x14ac:dyDescent="0.55000000000000004">
      <c r="F785" t="s">
        <v>8219</v>
      </c>
      <c r="G785">
        <v>70</v>
      </c>
      <c r="I785" t="s">
        <v>8221</v>
      </c>
      <c r="J785">
        <v>8</v>
      </c>
    </row>
    <row r="786" spans="6:10" x14ac:dyDescent="0.55000000000000004">
      <c r="F786" t="s">
        <v>8219</v>
      </c>
      <c r="G786">
        <v>89</v>
      </c>
      <c r="I786" t="s">
        <v>8221</v>
      </c>
      <c r="J786">
        <v>0</v>
      </c>
    </row>
    <row r="787" spans="6:10" x14ac:dyDescent="0.55000000000000004">
      <c r="F787" t="s">
        <v>8219</v>
      </c>
      <c r="G787">
        <v>107</v>
      </c>
      <c r="I787" t="s">
        <v>8221</v>
      </c>
      <c r="J787">
        <v>16</v>
      </c>
    </row>
    <row r="788" spans="6:10" x14ac:dyDescent="0.55000000000000004">
      <c r="F788" t="s">
        <v>8219</v>
      </c>
      <c r="G788">
        <v>159</v>
      </c>
      <c r="I788" t="s">
        <v>8221</v>
      </c>
      <c r="J788">
        <v>2</v>
      </c>
    </row>
    <row r="789" spans="6:10" x14ac:dyDescent="0.55000000000000004">
      <c r="F789" t="s">
        <v>8219</v>
      </c>
      <c r="G789">
        <v>181</v>
      </c>
      <c r="I789" t="s">
        <v>8221</v>
      </c>
      <c r="J789">
        <v>48</v>
      </c>
    </row>
    <row r="790" spans="6:10" x14ac:dyDescent="0.55000000000000004">
      <c r="F790" t="s">
        <v>8219</v>
      </c>
      <c r="G790">
        <v>131</v>
      </c>
      <c r="I790" t="s">
        <v>8221</v>
      </c>
      <c r="J790">
        <v>2</v>
      </c>
    </row>
    <row r="791" spans="6:10" x14ac:dyDescent="0.55000000000000004">
      <c r="F791" t="s">
        <v>8219</v>
      </c>
      <c r="G791">
        <v>125</v>
      </c>
      <c r="I791" t="s">
        <v>8221</v>
      </c>
      <c r="J791">
        <v>2</v>
      </c>
    </row>
    <row r="792" spans="6:10" x14ac:dyDescent="0.55000000000000004">
      <c r="F792" t="s">
        <v>8219</v>
      </c>
      <c r="G792">
        <v>61</v>
      </c>
      <c r="I792" t="s">
        <v>8221</v>
      </c>
      <c r="J792">
        <v>1</v>
      </c>
    </row>
    <row r="793" spans="6:10" x14ac:dyDescent="0.55000000000000004">
      <c r="F793" t="s">
        <v>8219</v>
      </c>
      <c r="G793">
        <v>90</v>
      </c>
      <c r="I793" t="s">
        <v>8221</v>
      </c>
      <c r="J793">
        <v>17</v>
      </c>
    </row>
    <row r="794" spans="6:10" x14ac:dyDescent="0.55000000000000004">
      <c r="F794" t="s">
        <v>8219</v>
      </c>
      <c r="G794">
        <v>35</v>
      </c>
      <c r="I794" t="s">
        <v>8221</v>
      </c>
      <c r="J794">
        <v>0</v>
      </c>
    </row>
    <row r="795" spans="6:10" x14ac:dyDescent="0.55000000000000004">
      <c r="F795" t="s">
        <v>8219</v>
      </c>
      <c r="G795">
        <v>90</v>
      </c>
      <c r="I795" t="s">
        <v>8221</v>
      </c>
      <c r="J795">
        <v>11</v>
      </c>
    </row>
    <row r="796" spans="6:10" x14ac:dyDescent="0.55000000000000004">
      <c r="F796" t="s">
        <v>8219</v>
      </c>
      <c r="G796">
        <v>4</v>
      </c>
      <c r="I796" t="s">
        <v>8221</v>
      </c>
      <c r="J796">
        <v>95</v>
      </c>
    </row>
    <row r="797" spans="6:10" x14ac:dyDescent="0.55000000000000004">
      <c r="F797" t="s">
        <v>8219</v>
      </c>
      <c r="G797">
        <v>120</v>
      </c>
      <c r="I797" t="s">
        <v>8221</v>
      </c>
      <c r="J797">
        <v>13</v>
      </c>
    </row>
    <row r="798" spans="6:10" x14ac:dyDescent="0.55000000000000004">
      <c r="F798" t="s">
        <v>8219</v>
      </c>
      <c r="G798">
        <v>14</v>
      </c>
      <c r="I798" t="s">
        <v>8221</v>
      </c>
      <c r="J798">
        <v>2</v>
      </c>
    </row>
    <row r="799" spans="6:10" x14ac:dyDescent="0.55000000000000004">
      <c r="F799" t="s">
        <v>8219</v>
      </c>
      <c r="G799">
        <v>27</v>
      </c>
      <c r="I799" t="s">
        <v>8221</v>
      </c>
      <c r="J799">
        <v>2</v>
      </c>
    </row>
    <row r="800" spans="6:10" x14ac:dyDescent="0.55000000000000004">
      <c r="F800" t="s">
        <v>8219</v>
      </c>
      <c r="G800">
        <v>49</v>
      </c>
      <c r="I800" t="s">
        <v>8221</v>
      </c>
      <c r="J800">
        <v>3</v>
      </c>
    </row>
    <row r="801" spans="6:10" x14ac:dyDescent="0.55000000000000004">
      <c r="F801" t="s">
        <v>8219</v>
      </c>
      <c r="G801">
        <v>102</v>
      </c>
      <c r="I801" t="s">
        <v>8221</v>
      </c>
      <c r="J801">
        <v>0</v>
      </c>
    </row>
    <row r="802" spans="6:10" x14ac:dyDescent="0.55000000000000004">
      <c r="F802" t="s">
        <v>8219</v>
      </c>
      <c r="G802">
        <v>3</v>
      </c>
      <c r="I802" t="s">
        <v>8221</v>
      </c>
      <c r="J802">
        <v>0</v>
      </c>
    </row>
    <row r="803" spans="6:10" x14ac:dyDescent="0.55000000000000004">
      <c r="F803" t="s">
        <v>8219</v>
      </c>
      <c r="G803">
        <v>25</v>
      </c>
      <c r="I803" t="s">
        <v>8221</v>
      </c>
      <c r="J803">
        <v>0</v>
      </c>
    </row>
    <row r="804" spans="6:10" x14ac:dyDescent="0.55000000000000004">
      <c r="F804" t="s">
        <v>8219</v>
      </c>
      <c r="G804">
        <v>118</v>
      </c>
      <c r="I804" t="s">
        <v>8221</v>
      </c>
      <c r="J804">
        <v>2</v>
      </c>
    </row>
    <row r="805" spans="6:10" x14ac:dyDescent="0.55000000000000004">
      <c r="F805" t="s">
        <v>8219</v>
      </c>
      <c r="G805">
        <v>57</v>
      </c>
      <c r="I805" t="s">
        <v>8221</v>
      </c>
      <c r="J805">
        <v>24</v>
      </c>
    </row>
    <row r="806" spans="6:10" x14ac:dyDescent="0.55000000000000004">
      <c r="F806" t="s">
        <v>8219</v>
      </c>
      <c r="G806">
        <v>11</v>
      </c>
      <c r="I806" t="s">
        <v>8221</v>
      </c>
      <c r="J806">
        <v>25</v>
      </c>
    </row>
    <row r="807" spans="6:10" x14ac:dyDescent="0.55000000000000004">
      <c r="F807" t="s">
        <v>8219</v>
      </c>
      <c r="G807">
        <v>33</v>
      </c>
      <c r="I807" t="s">
        <v>8221</v>
      </c>
      <c r="J807">
        <v>3</v>
      </c>
    </row>
    <row r="808" spans="6:10" x14ac:dyDescent="0.55000000000000004">
      <c r="F808" t="s">
        <v>8219</v>
      </c>
      <c r="G808">
        <v>40</v>
      </c>
      <c r="I808" t="s">
        <v>8221</v>
      </c>
      <c r="J808">
        <v>41</v>
      </c>
    </row>
    <row r="809" spans="6:10" x14ac:dyDescent="0.55000000000000004">
      <c r="F809" t="s">
        <v>8219</v>
      </c>
      <c r="G809">
        <v>50</v>
      </c>
      <c r="I809" t="s">
        <v>8221</v>
      </c>
      <c r="J809">
        <v>2</v>
      </c>
    </row>
    <row r="810" spans="6:10" x14ac:dyDescent="0.55000000000000004">
      <c r="F810" t="s">
        <v>8219</v>
      </c>
      <c r="G810">
        <v>38</v>
      </c>
      <c r="I810" t="s">
        <v>8221</v>
      </c>
      <c r="J810">
        <v>4</v>
      </c>
    </row>
    <row r="811" spans="6:10" x14ac:dyDescent="0.55000000000000004">
      <c r="F811" t="s">
        <v>8219</v>
      </c>
      <c r="G811">
        <v>96</v>
      </c>
      <c r="I811" t="s">
        <v>8221</v>
      </c>
      <c r="J811">
        <v>99</v>
      </c>
    </row>
    <row r="812" spans="6:10" x14ac:dyDescent="0.55000000000000004">
      <c r="F812" t="s">
        <v>8219</v>
      </c>
      <c r="G812">
        <v>48</v>
      </c>
      <c r="I812" t="s">
        <v>8221</v>
      </c>
      <c r="J812">
        <v>4</v>
      </c>
    </row>
    <row r="813" spans="6:10" x14ac:dyDescent="0.55000000000000004">
      <c r="F813" t="s">
        <v>8219</v>
      </c>
      <c r="G813">
        <v>33</v>
      </c>
      <c r="I813" t="s">
        <v>8221</v>
      </c>
      <c r="J813">
        <v>4</v>
      </c>
    </row>
    <row r="814" spans="6:10" x14ac:dyDescent="0.55000000000000004">
      <c r="F814" t="s">
        <v>8219</v>
      </c>
      <c r="G814">
        <v>226</v>
      </c>
      <c r="I814" t="s">
        <v>8221</v>
      </c>
      <c r="J814">
        <v>38</v>
      </c>
    </row>
    <row r="815" spans="6:10" x14ac:dyDescent="0.55000000000000004">
      <c r="F815" t="s">
        <v>8219</v>
      </c>
      <c r="G815">
        <v>14</v>
      </c>
      <c r="I815" t="s">
        <v>8221</v>
      </c>
      <c r="J815">
        <v>285</v>
      </c>
    </row>
    <row r="816" spans="6:10" x14ac:dyDescent="0.55000000000000004">
      <c r="F816" t="s">
        <v>8219</v>
      </c>
      <c r="G816">
        <v>20</v>
      </c>
      <c r="I816" t="s">
        <v>8221</v>
      </c>
      <c r="J816">
        <v>1</v>
      </c>
    </row>
    <row r="817" spans="6:10" x14ac:dyDescent="0.55000000000000004">
      <c r="F817" t="s">
        <v>8219</v>
      </c>
      <c r="G817">
        <v>25</v>
      </c>
      <c r="I817" t="s">
        <v>8221</v>
      </c>
      <c r="J817">
        <v>42</v>
      </c>
    </row>
    <row r="818" spans="6:10" x14ac:dyDescent="0.55000000000000004">
      <c r="F818" t="s">
        <v>8219</v>
      </c>
      <c r="G818">
        <v>90</v>
      </c>
      <c r="I818" t="s">
        <v>8221</v>
      </c>
      <c r="J818">
        <v>26</v>
      </c>
    </row>
    <row r="819" spans="6:10" x14ac:dyDescent="0.55000000000000004">
      <c r="F819" t="s">
        <v>8219</v>
      </c>
      <c r="G819">
        <v>11</v>
      </c>
      <c r="I819" t="s">
        <v>8221</v>
      </c>
      <c r="J819">
        <v>2</v>
      </c>
    </row>
    <row r="820" spans="6:10" x14ac:dyDescent="0.55000000000000004">
      <c r="F820" t="s">
        <v>8219</v>
      </c>
      <c r="G820">
        <v>55</v>
      </c>
      <c r="I820" t="s">
        <v>8221</v>
      </c>
      <c r="J820">
        <v>4</v>
      </c>
    </row>
    <row r="821" spans="6:10" x14ac:dyDescent="0.55000000000000004">
      <c r="F821" t="s">
        <v>8219</v>
      </c>
      <c r="G821">
        <v>30</v>
      </c>
      <c r="I821" t="s">
        <v>8221</v>
      </c>
      <c r="J821">
        <v>6</v>
      </c>
    </row>
    <row r="822" spans="6:10" x14ac:dyDescent="0.55000000000000004">
      <c r="F822" t="s">
        <v>8219</v>
      </c>
      <c r="G822">
        <v>28</v>
      </c>
      <c r="I822" t="s">
        <v>8221</v>
      </c>
      <c r="J822">
        <v>70</v>
      </c>
    </row>
    <row r="823" spans="6:10" x14ac:dyDescent="0.55000000000000004">
      <c r="F823" t="s">
        <v>8219</v>
      </c>
      <c r="G823">
        <v>45</v>
      </c>
      <c r="I823" t="s">
        <v>8221</v>
      </c>
      <c r="J823">
        <v>9</v>
      </c>
    </row>
    <row r="824" spans="6:10" x14ac:dyDescent="0.55000000000000004">
      <c r="F824" t="s">
        <v>8219</v>
      </c>
      <c r="G824">
        <v>13</v>
      </c>
      <c r="I824" t="s">
        <v>8221</v>
      </c>
      <c r="J824">
        <v>8</v>
      </c>
    </row>
    <row r="825" spans="6:10" x14ac:dyDescent="0.55000000000000004">
      <c r="F825" t="s">
        <v>8219</v>
      </c>
      <c r="G825">
        <v>40</v>
      </c>
      <c r="I825" t="s">
        <v>8221</v>
      </c>
      <c r="J825">
        <v>105</v>
      </c>
    </row>
    <row r="826" spans="6:10" x14ac:dyDescent="0.55000000000000004">
      <c r="F826" t="s">
        <v>8219</v>
      </c>
      <c r="G826">
        <v>21</v>
      </c>
      <c r="I826" t="s">
        <v>8221</v>
      </c>
      <c r="J826">
        <v>12</v>
      </c>
    </row>
    <row r="827" spans="6:10" x14ac:dyDescent="0.55000000000000004">
      <c r="F827" t="s">
        <v>8219</v>
      </c>
      <c r="G827">
        <v>134</v>
      </c>
      <c r="I827" t="s">
        <v>8221</v>
      </c>
      <c r="J827">
        <v>0</v>
      </c>
    </row>
    <row r="828" spans="6:10" x14ac:dyDescent="0.55000000000000004">
      <c r="F828" t="s">
        <v>8219</v>
      </c>
      <c r="G828">
        <v>20</v>
      </c>
      <c r="I828" t="s">
        <v>8221</v>
      </c>
      <c r="J828">
        <v>16</v>
      </c>
    </row>
    <row r="829" spans="6:10" x14ac:dyDescent="0.55000000000000004">
      <c r="F829" t="s">
        <v>8219</v>
      </c>
      <c r="G829">
        <v>19</v>
      </c>
      <c r="I829" t="s">
        <v>8221</v>
      </c>
      <c r="J829">
        <v>7</v>
      </c>
    </row>
    <row r="830" spans="6:10" x14ac:dyDescent="0.55000000000000004">
      <c r="F830" t="s">
        <v>8219</v>
      </c>
      <c r="G830">
        <v>209</v>
      </c>
      <c r="I830" t="s">
        <v>8221</v>
      </c>
      <c r="J830">
        <v>4</v>
      </c>
    </row>
    <row r="831" spans="6:10" x14ac:dyDescent="0.55000000000000004">
      <c r="F831" t="s">
        <v>8219</v>
      </c>
      <c r="G831">
        <v>38</v>
      </c>
      <c r="I831" t="s">
        <v>8221</v>
      </c>
      <c r="J831">
        <v>1</v>
      </c>
    </row>
    <row r="832" spans="6:10" x14ac:dyDescent="0.55000000000000004">
      <c r="F832" t="s">
        <v>8219</v>
      </c>
      <c r="G832">
        <v>24</v>
      </c>
      <c r="I832" t="s">
        <v>8221</v>
      </c>
      <c r="J832">
        <v>28</v>
      </c>
    </row>
    <row r="833" spans="6:10" x14ac:dyDescent="0.55000000000000004">
      <c r="F833" t="s">
        <v>8219</v>
      </c>
      <c r="G833">
        <v>8</v>
      </c>
      <c r="I833" t="s">
        <v>8221</v>
      </c>
      <c r="J833">
        <v>1</v>
      </c>
    </row>
    <row r="834" spans="6:10" x14ac:dyDescent="0.55000000000000004">
      <c r="F834" t="s">
        <v>8219</v>
      </c>
      <c r="G834">
        <v>179</v>
      </c>
      <c r="I834" t="s">
        <v>8221</v>
      </c>
      <c r="J834">
        <v>1</v>
      </c>
    </row>
    <row r="835" spans="6:10" x14ac:dyDescent="0.55000000000000004">
      <c r="F835" t="s">
        <v>8219</v>
      </c>
      <c r="G835">
        <v>26</v>
      </c>
      <c r="I835" t="s">
        <v>8221</v>
      </c>
      <c r="J835">
        <v>5</v>
      </c>
    </row>
    <row r="836" spans="6:10" x14ac:dyDescent="0.55000000000000004">
      <c r="F836" t="s">
        <v>8219</v>
      </c>
      <c r="G836">
        <v>131</v>
      </c>
      <c r="I836" t="s">
        <v>8221</v>
      </c>
      <c r="J836">
        <v>3</v>
      </c>
    </row>
    <row r="837" spans="6:10" x14ac:dyDescent="0.55000000000000004">
      <c r="F837" t="s">
        <v>8219</v>
      </c>
      <c r="G837">
        <v>14</v>
      </c>
      <c r="I837" t="s">
        <v>8221</v>
      </c>
      <c r="J837">
        <v>2</v>
      </c>
    </row>
    <row r="838" spans="6:10" x14ac:dyDescent="0.55000000000000004">
      <c r="F838" t="s">
        <v>8219</v>
      </c>
      <c r="G838">
        <v>174</v>
      </c>
      <c r="I838" t="s">
        <v>8221</v>
      </c>
      <c r="J838">
        <v>0</v>
      </c>
    </row>
    <row r="839" spans="6:10" x14ac:dyDescent="0.55000000000000004">
      <c r="F839" t="s">
        <v>8219</v>
      </c>
      <c r="G839">
        <v>191</v>
      </c>
      <c r="I839" t="s">
        <v>8221</v>
      </c>
      <c r="J839">
        <v>0</v>
      </c>
    </row>
    <row r="840" spans="6:10" x14ac:dyDescent="0.55000000000000004">
      <c r="F840" t="s">
        <v>8219</v>
      </c>
      <c r="G840">
        <v>38</v>
      </c>
      <c r="I840" t="s">
        <v>8221</v>
      </c>
      <c r="J840">
        <v>3</v>
      </c>
    </row>
    <row r="841" spans="6:10" x14ac:dyDescent="0.55000000000000004">
      <c r="F841" t="s">
        <v>8219</v>
      </c>
      <c r="G841">
        <v>22</v>
      </c>
      <c r="I841" t="s">
        <v>8221</v>
      </c>
      <c r="J841">
        <v>0</v>
      </c>
    </row>
    <row r="842" spans="6:10" x14ac:dyDescent="0.55000000000000004">
      <c r="F842" t="s">
        <v>8219</v>
      </c>
      <c r="G842">
        <v>149</v>
      </c>
      <c r="I842" t="s">
        <v>8221</v>
      </c>
      <c r="J842">
        <v>0</v>
      </c>
    </row>
    <row r="843" spans="6:10" x14ac:dyDescent="0.55000000000000004">
      <c r="F843" t="s">
        <v>8219</v>
      </c>
      <c r="G843">
        <v>56</v>
      </c>
      <c r="I843" t="s">
        <v>8221</v>
      </c>
      <c r="J843">
        <v>3</v>
      </c>
    </row>
    <row r="844" spans="6:10" x14ac:dyDescent="0.55000000000000004">
      <c r="F844" t="s">
        <v>8219</v>
      </c>
      <c r="G844">
        <v>19</v>
      </c>
      <c r="I844" t="s">
        <v>8221</v>
      </c>
      <c r="J844">
        <v>7</v>
      </c>
    </row>
    <row r="845" spans="6:10" x14ac:dyDescent="0.55000000000000004">
      <c r="F845" t="s">
        <v>8219</v>
      </c>
      <c r="G845">
        <v>70</v>
      </c>
      <c r="I845" t="s">
        <v>8221</v>
      </c>
      <c r="J845">
        <v>25</v>
      </c>
    </row>
    <row r="846" spans="6:10" x14ac:dyDescent="0.55000000000000004">
      <c r="F846" t="s">
        <v>8219</v>
      </c>
      <c r="G846">
        <v>81</v>
      </c>
      <c r="I846" t="s">
        <v>8221</v>
      </c>
      <c r="J846">
        <v>10</v>
      </c>
    </row>
    <row r="847" spans="6:10" x14ac:dyDescent="0.55000000000000004">
      <c r="F847" t="s">
        <v>8219</v>
      </c>
      <c r="G847">
        <v>32</v>
      </c>
      <c r="I847" t="s">
        <v>8221</v>
      </c>
      <c r="J847">
        <v>3</v>
      </c>
    </row>
    <row r="848" spans="6:10" x14ac:dyDescent="0.55000000000000004">
      <c r="F848" t="s">
        <v>8219</v>
      </c>
      <c r="G848">
        <v>26</v>
      </c>
      <c r="I848" t="s">
        <v>8221</v>
      </c>
      <c r="J848">
        <v>5</v>
      </c>
    </row>
    <row r="849" spans="6:10" x14ac:dyDescent="0.55000000000000004">
      <c r="F849" t="s">
        <v>8219</v>
      </c>
      <c r="G849">
        <v>105</v>
      </c>
      <c r="I849" t="s">
        <v>8221</v>
      </c>
      <c r="J849">
        <v>5</v>
      </c>
    </row>
    <row r="850" spans="6:10" x14ac:dyDescent="0.55000000000000004">
      <c r="F850" t="s">
        <v>8219</v>
      </c>
      <c r="G850">
        <v>29</v>
      </c>
      <c r="I850" t="s">
        <v>8221</v>
      </c>
      <c r="J850">
        <v>27</v>
      </c>
    </row>
    <row r="851" spans="6:10" x14ac:dyDescent="0.55000000000000004">
      <c r="F851" t="s">
        <v>8219</v>
      </c>
      <c r="G851">
        <v>8</v>
      </c>
      <c r="I851" t="s">
        <v>8221</v>
      </c>
      <c r="J851">
        <v>2</v>
      </c>
    </row>
    <row r="852" spans="6:10" x14ac:dyDescent="0.55000000000000004">
      <c r="F852" t="s">
        <v>8219</v>
      </c>
      <c r="G852">
        <v>89</v>
      </c>
      <c r="I852" t="s">
        <v>8221</v>
      </c>
      <c r="J852">
        <v>236</v>
      </c>
    </row>
    <row r="853" spans="6:10" x14ac:dyDescent="0.55000000000000004">
      <c r="F853" t="s">
        <v>8219</v>
      </c>
      <c r="G853">
        <v>44</v>
      </c>
      <c r="I853" t="s">
        <v>8221</v>
      </c>
      <c r="J853">
        <v>1</v>
      </c>
    </row>
    <row r="854" spans="6:10" x14ac:dyDescent="0.55000000000000004">
      <c r="F854" t="s">
        <v>8219</v>
      </c>
      <c r="G854">
        <v>246</v>
      </c>
      <c r="I854" t="s">
        <v>8221</v>
      </c>
      <c r="J854">
        <v>12</v>
      </c>
    </row>
    <row r="855" spans="6:10" x14ac:dyDescent="0.55000000000000004">
      <c r="F855" t="s">
        <v>8219</v>
      </c>
      <c r="G855">
        <v>120</v>
      </c>
      <c r="I855" t="s">
        <v>8221</v>
      </c>
      <c r="J855">
        <v>4</v>
      </c>
    </row>
    <row r="856" spans="6:10" x14ac:dyDescent="0.55000000000000004">
      <c r="F856" t="s">
        <v>8219</v>
      </c>
      <c r="G856">
        <v>26</v>
      </c>
      <c r="I856" t="s">
        <v>8221</v>
      </c>
      <c r="J856">
        <v>3</v>
      </c>
    </row>
    <row r="857" spans="6:10" x14ac:dyDescent="0.55000000000000004">
      <c r="F857" t="s">
        <v>8219</v>
      </c>
      <c r="G857">
        <v>45</v>
      </c>
      <c r="I857" t="s">
        <v>8221</v>
      </c>
      <c r="J857">
        <v>99</v>
      </c>
    </row>
    <row r="858" spans="6:10" x14ac:dyDescent="0.55000000000000004">
      <c r="F858" t="s">
        <v>8219</v>
      </c>
      <c r="G858">
        <v>20</v>
      </c>
      <c r="I858" t="s">
        <v>8221</v>
      </c>
      <c r="J858">
        <v>3</v>
      </c>
    </row>
    <row r="859" spans="6:10" x14ac:dyDescent="0.55000000000000004">
      <c r="F859" t="s">
        <v>8219</v>
      </c>
      <c r="G859">
        <v>47</v>
      </c>
      <c r="I859" t="s">
        <v>8221</v>
      </c>
      <c r="J859">
        <v>3</v>
      </c>
    </row>
    <row r="860" spans="6:10" x14ac:dyDescent="0.55000000000000004">
      <c r="F860" t="s">
        <v>8219</v>
      </c>
      <c r="G860">
        <v>13</v>
      </c>
      <c r="I860" t="s">
        <v>8221</v>
      </c>
      <c r="J860">
        <v>22</v>
      </c>
    </row>
    <row r="861" spans="6:10" x14ac:dyDescent="0.55000000000000004">
      <c r="F861" t="s">
        <v>8219</v>
      </c>
      <c r="G861">
        <v>183</v>
      </c>
      <c r="I861" t="s">
        <v>8221</v>
      </c>
      <c r="J861">
        <v>4</v>
      </c>
    </row>
    <row r="862" spans="6:10" x14ac:dyDescent="0.55000000000000004">
      <c r="F862" t="s">
        <v>8219</v>
      </c>
      <c r="G862">
        <v>21</v>
      </c>
      <c r="I862" t="s">
        <v>8221</v>
      </c>
      <c r="J862">
        <v>534</v>
      </c>
    </row>
    <row r="863" spans="6:10" x14ac:dyDescent="0.55000000000000004">
      <c r="F863" t="s">
        <v>8219</v>
      </c>
      <c r="G863">
        <v>42</v>
      </c>
      <c r="I863" t="s">
        <v>8221</v>
      </c>
      <c r="J863">
        <v>12</v>
      </c>
    </row>
    <row r="864" spans="6:10" x14ac:dyDescent="0.55000000000000004">
      <c r="F864" t="s">
        <v>8219</v>
      </c>
      <c r="G864">
        <v>54</v>
      </c>
      <c r="I864" t="s">
        <v>8221</v>
      </c>
      <c r="J864">
        <v>56</v>
      </c>
    </row>
    <row r="865" spans="6:10" x14ac:dyDescent="0.55000000000000004">
      <c r="F865" t="s">
        <v>8219</v>
      </c>
      <c r="G865">
        <v>38</v>
      </c>
      <c r="I865" t="s">
        <v>8221</v>
      </c>
      <c r="J865">
        <v>11</v>
      </c>
    </row>
    <row r="866" spans="6:10" x14ac:dyDescent="0.55000000000000004">
      <c r="F866" t="s">
        <v>8219</v>
      </c>
      <c r="G866">
        <v>64</v>
      </c>
      <c r="I866" t="s">
        <v>8221</v>
      </c>
      <c r="J866">
        <v>0</v>
      </c>
    </row>
    <row r="867" spans="6:10" x14ac:dyDescent="0.55000000000000004">
      <c r="F867" t="s">
        <v>8219</v>
      </c>
      <c r="G867">
        <v>13</v>
      </c>
      <c r="I867" t="s">
        <v>8221</v>
      </c>
      <c r="J867">
        <v>12</v>
      </c>
    </row>
    <row r="868" spans="6:10" x14ac:dyDescent="0.55000000000000004">
      <c r="F868" t="s">
        <v>8219</v>
      </c>
      <c r="G868">
        <v>33</v>
      </c>
      <c r="I868" t="s">
        <v>8221</v>
      </c>
      <c r="J868">
        <v>5</v>
      </c>
    </row>
    <row r="869" spans="6:10" x14ac:dyDescent="0.55000000000000004">
      <c r="F869" t="s">
        <v>8219</v>
      </c>
      <c r="G869">
        <v>52</v>
      </c>
      <c r="I869" t="s">
        <v>8221</v>
      </c>
      <c r="J869">
        <v>24</v>
      </c>
    </row>
    <row r="870" spans="6:10" x14ac:dyDescent="0.55000000000000004">
      <c r="F870" t="s">
        <v>8219</v>
      </c>
      <c r="G870">
        <v>107</v>
      </c>
      <c r="I870" t="s">
        <v>8221</v>
      </c>
      <c r="J870">
        <v>89</v>
      </c>
    </row>
    <row r="871" spans="6:10" x14ac:dyDescent="0.55000000000000004">
      <c r="F871" t="s">
        <v>8219</v>
      </c>
      <c r="G871">
        <v>11</v>
      </c>
      <c r="I871" t="s">
        <v>8221</v>
      </c>
      <c r="J871">
        <v>1</v>
      </c>
    </row>
    <row r="872" spans="6:10" x14ac:dyDescent="0.55000000000000004">
      <c r="F872" t="s">
        <v>8219</v>
      </c>
      <c r="G872">
        <v>34</v>
      </c>
      <c r="I872" t="s">
        <v>8221</v>
      </c>
      <c r="J872">
        <v>55</v>
      </c>
    </row>
    <row r="873" spans="6:10" x14ac:dyDescent="0.55000000000000004">
      <c r="F873" t="s">
        <v>8219</v>
      </c>
      <c r="G873">
        <v>75</v>
      </c>
      <c r="I873" t="s">
        <v>8221</v>
      </c>
      <c r="J873">
        <v>2</v>
      </c>
    </row>
    <row r="874" spans="6:10" x14ac:dyDescent="0.55000000000000004">
      <c r="F874" t="s">
        <v>8219</v>
      </c>
      <c r="G874">
        <v>26</v>
      </c>
      <c r="I874" t="s">
        <v>8221</v>
      </c>
      <c r="J874">
        <v>0</v>
      </c>
    </row>
    <row r="875" spans="6:10" x14ac:dyDescent="0.55000000000000004">
      <c r="F875" t="s">
        <v>8219</v>
      </c>
      <c r="G875">
        <v>50</v>
      </c>
      <c r="I875" t="s">
        <v>8221</v>
      </c>
      <c r="J875">
        <v>4</v>
      </c>
    </row>
    <row r="876" spans="6:10" x14ac:dyDescent="0.55000000000000004">
      <c r="F876" t="s">
        <v>8219</v>
      </c>
      <c r="G876">
        <v>80</v>
      </c>
      <c r="I876" t="s">
        <v>8221</v>
      </c>
      <c r="J876">
        <v>6</v>
      </c>
    </row>
    <row r="877" spans="6:10" x14ac:dyDescent="0.55000000000000004">
      <c r="F877" t="s">
        <v>8219</v>
      </c>
      <c r="G877">
        <v>110</v>
      </c>
      <c r="I877" t="s">
        <v>8221</v>
      </c>
      <c r="J877">
        <v>4</v>
      </c>
    </row>
    <row r="878" spans="6:10" x14ac:dyDescent="0.55000000000000004">
      <c r="F878" t="s">
        <v>8219</v>
      </c>
      <c r="G878">
        <v>77</v>
      </c>
      <c r="I878" t="s">
        <v>8221</v>
      </c>
      <c r="J878">
        <v>4</v>
      </c>
    </row>
    <row r="879" spans="6:10" x14ac:dyDescent="0.55000000000000004">
      <c r="F879" t="s">
        <v>8219</v>
      </c>
      <c r="G879">
        <v>50</v>
      </c>
      <c r="I879" t="s">
        <v>8221</v>
      </c>
      <c r="J879">
        <v>2</v>
      </c>
    </row>
    <row r="880" spans="6:10" x14ac:dyDescent="0.55000000000000004">
      <c r="F880" t="s">
        <v>8219</v>
      </c>
      <c r="G880">
        <v>145</v>
      </c>
      <c r="I880" t="s">
        <v>8221</v>
      </c>
      <c r="J880">
        <v>5</v>
      </c>
    </row>
    <row r="881" spans="6:10" x14ac:dyDescent="0.55000000000000004">
      <c r="F881" t="s">
        <v>8219</v>
      </c>
      <c r="G881">
        <v>29</v>
      </c>
      <c r="I881" t="s">
        <v>8221</v>
      </c>
      <c r="J881">
        <v>83</v>
      </c>
    </row>
    <row r="882" spans="6:10" x14ac:dyDescent="0.55000000000000004">
      <c r="F882" t="s">
        <v>8219</v>
      </c>
      <c r="G882">
        <v>114</v>
      </c>
      <c r="I882" t="s">
        <v>8221</v>
      </c>
      <c r="J882">
        <v>57</v>
      </c>
    </row>
    <row r="883" spans="6:10" x14ac:dyDescent="0.55000000000000004">
      <c r="F883" t="s">
        <v>8219</v>
      </c>
      <c r="G883">
        <v>96</v>
      </c>
      <c r="I883" t="s">
        <v>8221</v>
      </c>
      <c r="J883">
        <v>311</v>
      </c>
    </row>
    <row r="884" spans="6:10" x14ac:dyDescent="0.55000000000000004">
      <c r="F884" t="s">
        <v>8219</v>
      </c>
      <c r="G884">
        <v>31</v>
      </c>
      <c r="I884" t="s">
        <v>8221</v>
      </c>
      <c r="J884">
        <v>2</v>
      </c>
    </row>
    <row r="885" spans="6:10" x14ac:dyDescent="0.55000000000000004">
      <c r="F885" t="s">
        <v>8219</v>
      </c>
      <c r="G885">
        <v>4883</v>
      </c>
      <c r="I885" t="s">
        <v>8221</v>
      </c>
      <c r="J885">
        <v>16</v>
      </c>
    </row>
    <row r="886" spans="6:10" x14ac:dyDescent="0.55000000000000004">
      <c r="F886" t="s">
        <v>8219</v>
      </c>
      <c r="G886">
        <v>95</v>
      </c>
      <c r="I886" t="s">
        <v>8221</v>
      </c>
      <c r="J886">
        <v>9</v>
      </c>
    </row>
    <row r="887" spans="6:10" x14ac:dyDescent="0.55000000000000004">
      <c r="F887" t="s">
        <v>8219</v>
      </c>
      <c r="G887">
        <v>2478</v>
      </c>
      <c r="I887" t="s">
        <v>8221</v>
      </c>
      <c r="J887">
        <v>1</v>
      </c>
    </row>
    <row r="888" spans="6:10" x14ac:dyDescent="0.55000000000000004">
      <c r="F888" t="s">
        <v>8219</v>
      </c>
      <c r="G888">
        <v>1789</v>
      </c>
      <c r="I888" t="s">
        <v>8221</v>
      </c>
      <c r="J888">
        <v>12</v>
      </c>
    </row>
    <row r="889" spans="6:10" x14ac:dyDescent="0.55000000000000004">
      <c r="F889" t="s">
        <v>8219</v>
      </c>
      <c r="G889">
        <v>680</v>
      </c>
      <c r="I889" t="s">
        <v>8221</v>
      </c>
      <c r="J889">
        <v>0</v>
      </c>
    </row>
    <row r="890" spans="6:10" x14ac:dyDescent="0.55000000000000004">
      <c r="F890" t="s">
        <v>8219</v>
      </c>
      <c r="G890">
        <v>70</v>
      </c>
      <c r="I890" t="s">
        <v>8221</v>
      </c>
      <c r="J890">
        <v>20</v>
      </c>
    </row>
    <row r="891" spans="6:10" x14ac:dyDescent="0.55000000000000004">
      <c r="F891" t="s">
        <v>8219</v>
      </c>
      <c r="G891">
        <v>23</v>
      </c>
      <c r="I891" t="s">
        <v>8221</v>
      </c>
      <c r="J891">
        <v>16</v>
      </c>
    </row>
    <row r="892" spans="6:10" x14ac:dyDescent="0.55000000000000004">
      <c r="F892" t="s">
        <v>8219</v>
      </c>
      <c r="G892">
        <v>4245</v>
      </c>
      <c r="I892" t="s">
        <v>8221</v>
      </c>
      <c r="J892">
        <v>33</v>
      </c>
    </row>
    <row r="893" spans="6:10" x14ac:dyDescent="0.55000000000000004">
      <c r="F893" t="s">
        <v>8219</v>
      </c>
      <c r="G893">
        <v>943</v>
      </c>
      <c r="I893" t="s">
        <v>8221</v>
      </c>
      <c r="J893">
        <v>2</v>
      </c>
    </row>
    <row r="894" spans="6:10" x14ac:dyDescent="0.55000000000000004">
      <c r="F894" t="s">
        <v>8219</v>
      </c>
      <c r="G894">
        <v>1876</v>
      </c>
      <c r="I894" t="s">
        <v>8221</v>
      </c>
      <c r="J894">
        <v>6</v>
      </c>
    </row>
    <row r="895" spans="6:10" x14ac:dyDescent="0.55000000000000004">
      <c r="F895" t="s">
        <v>8219</v>
      </c>
      <c r="G895">
        <v>834</v>
      </c>
      <c r="I895" t="s">
        <v>8221</v>
      </c>
      <c r="J895">
        <v>0</v>
      </c>
    </row>
    <row r="896" spans="6:10" x14ac:dyDescent="0.55000000000000004">
      <c r="F896" t="s">
        <v>8219</v>
      </c>
      <c r="G896">
        <v>682</v>
      </c>
      <c r="I896" t="s">
        <v>8221</v>
      </c>
      <c r="J896">
        <v>3</v>
      </c>
    </row>
    <row r="897" spans="6:10" x14ac:dyDescent="0.55000000000000004">
      <c r="F897" t="s">
        <v>8219</v>
      </c>
      <c r="G897">
        <v>147</v>
      </c>
      <c r="I897" t="s">
        <v>8221</v>
      </c>
      <c r="J897">
        <v>0</v>
      </c>
    </row>
    <row r="898" spans="6:10" x14ac:dyDescent="0.55000000000000004">
      <c r="F898" t="s">
        <v>8219</v>
      </c>
      <c r="G898">
        <v>415</v>
      </c>
      <c r="I898" t="s">
        <v>8221</v>
      </c>
      <c r="J898">
        <v>3</v>
      </c>
    </row>
    <row r="899" spans="6:10" x14ac:dyDescent="0.55000000000000004">
      <c r="F899" t="s">
        <v>8219</v>
      </c>
      <c r="G899">
        <v>290</v>
      </c>
      <c r="I899" t="s">
        <v>8221</v>
      </c>
      <c r="J899">
        <v>13</v>
      </c>
    </row>
    <row r="900" spans="6:10" x14ac:dyDescent="0.55000000000000004">
      <c r="F900" t="s">
        <v>8219</v>
      </c>
      <c r="G900">
        <v>365</v>
      </c>
      <c r="I900" t="s">
        <v>8221</v>
      </c>
      <c r="J900">
        <v>6</v>
      </c>
    </row>
    <row r="901" spans="6:10" x14ac:dyDescent="0.55000000000000004">
      <c r="F901" t="s">
        <v>8219</v>
      </c>
      <c r="G901">
        <v>660</v>
      </c>
      <c r="I901" t="s">
        <v>8221</v>
      </c>
      <c r="J901">
        <v>1</v>
      </c>
    </row>
    <row r="902" spans="6:10" x14ac:dyDescent="0.55000000000000004">
      <c r="F902" t="s">
        <v>8219</v>
      </c>
      <c r="G902">
        <v>1356</v>
      </c>
      <c r="I902" t="s">
        <v>8221</v>
      </c>
      <c r="J902">
        <v>0</v>
      </c>
    </row>
    <row r="903" spans="6:10" x14ac:dyDescent="0.55000000000000004">
      <c r="F903" t="s">
        <v>8219</v>
      </c>
      <c r="G903">
        <v>424</v>
      </c>
      <c r="I903" t="s">
        <v>8221</v>
      </c>
      <c r="J903">
        <v>5</v>
      </c>
    </row>
    <row r="904" spans="6:10" x14ac:dyDescent="0.55000000000000004">
      <c r="F904" t="s">
        <v>8219</v>
      </c>
      <c r="G904">
        <v>33</v>
      </c>
      <c r="I904" t="s">
        <v>8221</v>
      </c>
      <c r="J904">
        <v>0</v>
      </c>
    </row>
    <row r="905" spans="6:10" x14ac:dyDescent="0.55000000000000004">
      <c r="F905" t="s">
        <v>8219</v>
      </c>
      <c r="G905">
        <v>1633</v>
      </c>
      <c r="I905" t="s">
        <v>8221</v>
      </c>
      <c r="J905">
        <v>36</v>
      </c>
    </row>
    <row r="906" spans="6:10" x14ac:dyDescent="0.55000000000000004">
      <c r="F906" t="s">
        <v>8219</v>
      </c>
      <c r="G906">
        <v>306</v>
      </c>
      <c r="I906" t="s">
        <v>8221</v>
      </c>
      <c r="J906">
        <v>1</v>
      </c>
    </row>
    <row r="907" spans="6:10" x14ac:dyDescent="0.55000000000000004">
      <c r="F907" t="s">
        <v>8219</v>
      </c>
      <c r="G907">
        <v>205</v>
      </c>
      <c r="I907" t="s">
        <v>8221</v>
      </c>
      <c r="J907">
        <v>1</v>
      </c>
    </row>
    <row r="908" spans="6:10" x14ac:dyDescent="0.55000000000000004">
      <c r="F908" t="s">
        <v>8219</v>
      </c>
      <c r="G908">
        <v>1281</v>
      </c>
      <c r="I908" t="s">
        <v>8221</v>
      </c>
      <c r="J908">
        <v>1</v>
      </c>
    </row>
    <row r="909" spans="6:10" x14ac:dyDescent="0.55000000000000004">
      <c r="F909" t="s">
        <v>8219</v>
      </c>
      <c r="G909">
        <v>103</v>
      </c>
      <c r="I909" t="s">
        <v>8221</v>
      </c>
      <c r="J909">
        <v>9</v>
      </c>
    </row>
    <row r="910" spans="6:10" x14ac:dyDescent="0.55000000000000004">
      <c r="F910" t="s">
        <v>8219</v>
      </c>
      <c r="G910">
        <v>1513</v>
      </c>
      <c r="I910" t="s">
        <v>8221</v>
      </c>
      <c r="J910">
        <v>1</v>
      </c>
    </row>
    <row r="911" spans="6:10" x14ac:dyDescent="0.55000000000000004">
      <c r="F911" t="s">
        <v>8219</v>
      </c>
      <c r="G911">
        <v>405</v>
      </c>
      <c r="I911" t="s">
        <v>8221</v>
      </c>
      <c r="J911">
        <v>0</v>
      </c>
    </row>
    <row r="912" spans="6:10" x14ac:dyDescent="0.55000000000000004">
      <c r="F912" t="s">
        <v>8219</v>
      </c>
      <c r="G912">
        <v>510</v>
      </c>
      <c r="I912" t="s">
        <v>8221</v>
      </c>
      <c r="J912">
        <v>1</v>
      </c>
    </row>
    <row r="913" spans="6:10" x14ac:dyDescent="0.55000000000000004">
      <c r="F913" t="s">
        <v>8219</v>
      </c>
      <c r="G913">
        <v>1887</v>
      </c>
      <c r="I913" t="s">
        <v>8221</v>
      </c>
      <c r="J913">
        <v>1</v>
      </c>
    </row>
    <row r="914" spans="6:10" x14ac:dyDescent="0.55000000000000004">
      <c r="F914" t="s">
        <v>8219</v>
      </c>
      <c r="G914">
        <v>701</v>
      </c>
      <c r="I914" t="s">
        <v>8221</v>
      </c>
      <c r="J914">
        <v>4</v>
      </c>
    </row>
    <row r="915" spans="6:10" x14ac:dyDescent="0.55000000000000004">
      <c r="F915" t="s">
        <v>8219</v>
      </c>
      <c r="G915">
        <v>3863</v>
      </c>
      <c r="I915" t="s">
        <v>8221</v>
      </c>
      <c r="J915">
        <v>2</v>
      </c>
    </row>
    <row r="916" spans="6:10" x14ac:dyDescent="0.55000000000000004">
      <c r="F916" t="s">
        <v>8219</v>
      </c>
      <c r="G916">
        <v>238</v>
      </c>
      <c r="I916" t="s">
        <v>8221</v>
      </c>
      <c r="J916">
        <v>2</v>
      </c>
    </row>
    <row r="917" spans="6:10" x14ac:dyDescent="0.55000000000000004">
      <c r="F917" t="s">
        <v>8219</v>
      </c>
      <c r="G917">
        <v>2051</v>
      </c>
      <c r="I917" t="s">
        <v>8221</v>
      </c>
      <c r="J917">
        <v>2</v>
      </c>
    </row>
    <row r="918" spans="6:10" x14ac:dyDescent="0.55000000000000004">
      <c r="F918" t="s">
        <v>8219</v>
      </c>
      <c r="G918">
        <v>402</v>
      </c>
      <c r="I918" t="s">
        <v>8221</v>
      </c>
      <c r="J918">
        <v>0</v>
      </c>
    </row>
    <row r="919" spans="6:10" x14ac:dyDescent="0.55000000000000004">
      <c r="F919" t="s">
        <v>8219</v>
      </c>
      <c r="G919">
        <v>253</v>
      </c>
      <c r="I919" t="s">
        <v>8221</v>
      </c>
      <c r="J919">
        <v>2</v>
      </c>
    </row>
    <row r="920" spans="6:10" x14ac:dyDescent="0.55000000000000004">
      <c r="F920" t="s">
        <v>8219</v>
      </c>
      <c r="G920">
        <v>473</v>
      </c>
      <c r="I920" t="s">
        <v>8221</v>
      </c>
      <c r="J920">
        <v>4</v>
      </c>
    </row>
    <row r="921" spans="6:10" x14ac:dyDescent="0.55000000000000004">
      <c r="F921" t="s">
        <v>8219</v>
      </c>
      <c r="G921">
        <v>821</v>
      </c>
      <c r="I921" t="s">
        <v>8221</v>
      </c>
      <c r="J921">
        <v>2</v>
      </c>
    </row>
    <row r="922" spans="6:10" x14ac:dyDescent="0.55000000000000004">
      <c r="F922" t="s">
        <v>8219</v>
      </c>
      <c r="G922">
        <v>388</v>
      </c>
      <c r="I922" t="s">
        <v>8221</v>
      </c>
      <c r="J922">
        <v>0</v>
      </c>
    </row>
    <row r="923" spans="6:10" x14ac:dyDescent="0.55000000000000004">
      <c r="F923" t="s">
        <v>8219</v>
      </c>
      <c r="G923">
        <v>813</v>
      </c>
      <c r="I923" t="s">
        <v>8221</v>
      </c>
      <c r="J923">
        <v>1</v>
      </c>
    </row>
    <row r="924" spans="6:10" x14ac:dyDescent="0.55000000000000004">
      <c r="F924" t="s">
        <v>8219</v>
      </c>
      <c r="G924">
        <v>1945</v>
      </c>
      <c r="I924" t="s">
        <v>8221</v>
      </c>
      <c r="J924">
        <v>0</v>
      </c>
    </row>
    <row r="925" spans="6:10" x14ac:dyDescent="0.55000000000000004">
      <c r="F925" t="s">
        <v>8219</v>
      </c>
      <c r="G925">
        <v>1637</v>
      </c>
      <c r="I925" t="s">
        <v>8221</v>
      </c>
      <c r="J925">
        <v>2</v>
      </c>
    </row>
    <row r="926" spans="6:10" x14ac:dyDescent="0.55000000000000004">
      <c r="F926" t="s">
        <v>8219</v>
      </c>
      <c r="G926">
        <v>1375</v>
      </c>
      <c r="I926" t="s">
        <v>8221</v>
      </c>
      <c r="J926">
        <v>7</v>
      </c>
    </row>
    <row r="927" spans="6:10" x14ac:dyDescent="0.55000000000000004">
      <c r="F927" t="s">
        <v>8219</v>
      </c>
      <c r="G927">
        <v>17</v>
      </c>
      <c r="I927" t="s">
        <v>8221</v>
      </c>
      <c r="J927">
        <v>5</v>
      </c>
    </row>
    <row r="928" spans="6:10" x14ac:dyDescent="0.55000000000000004">
      <c r="F928" t="s">
        <v>8219</v>
      </c>
      <c r="G928">
        <v>354</v>
      </c>
      <c r="I928" t="s">
        <v>8221</v>
      </c>
      <c r="J928">
        <v>0</v>
      </c>
    </row>
    <row r="929" spans="6:10" x14ac:dyDescent="0.55000000000000004">
      <c r="F929" t="s">
        <v>8219</v>
      </c>
      <c r="G929">
        <v>191</v>
      </c>
      <c r="I929" t="s">
        <v>8221</v>
      </c>
      <c r="J929">
        <v>0</v>
      </c>
    </row>
    <row r="930" spans="6:10" x14ac:dyDescent="0.55000000000000004">
      <c r="F930" t="s">
        <v>8219</v>
      </c>
      <c r="G930">
        <v>303</v>
      </c>
      <c r="I930" t="s">
        <v>8221</v>
      </c>
      <c r="J930">
        <v>0</v>
      </c>
    </row>
    <row r="931" spans="6:10" x14ac:dyDescent="0.55000000000000004">
      <c r="F931" t="s">
        <v>8219</v>
      </c>
      <c r="G931">
        <v>137</v>
      </c>
      <c r="I931" t="s">
        <v>8221</v>
      </c>
      <c r="J931">
        <v>2</v>
      </c>
    </row>
    <row r="932" spans="6:10" x14ac:dyDescent="0.55000000000000004">
      <c r="F932" t="s">
        <v>8219</v>
      </c>
      <c r="G932">
        <v>41</v>
      </c>
      <c r="I932" t="s">
        <v>8221</v>
      </c>
      <c r="J932">
        <v>0</v>
      </c>
    </row>
    <row r="933" spans="6:10" x14ac:dyDescent="0.55000000000000004">
      <c r="F933" t="s">
        <v>8219</v>
      </c>
      <c r="G933">
        <v>398</v>
      </c>
      <c r="I933" t="s">
        <v>8221</v>
      </c>
      <c r="J933">
        <v>0</v>
      </c>
    </row>
    <row r="934" spans="6:10" x14ac:dyDescent="0.55000000000000004">
      <c r="F934" t="s">
        <v>8219</v>
      </c>
      <c r="G934">
        <v>1737</v>
      </c>
      <c r="I934" t="s">
        <v>8221</v>
      </c>
      <c r="J934">
        <v>28</v>
      </c>
    </row>
    <row r="935" spans="6:10" x14ac:dyDescent="0.55000000000000004">
      <c r="F935" t="s">
        <v>8219</v>
      </c>
      <c r="G935">
        <v>971</v>
      </c>
      <c r="I935" t="s">
        <v>8221</v>
      </c>
      <c r="J935">
        <v>2</v>
      </c>
    </row>
    <row r="936" spans="6:10" x14ac:dyDescent="0.55000000000000004">
      <c r="F936" t="s">
        <v>8219</v>
      </c>
      <c r="G936">
        <v>183</v>
      </c>
      <c r="I936" t="s">
        <v>8221</v>
      </c>
      <c r="J936">
        <v>0</v>
      </c>
    </row>
    <row r="937" spans="6:10" x14ac:dyDescent="0.55000000000000004">
      <c r="F937" t="s">
        <v>8219</v>
      </c>
      <c r="G937">
        <v>4562</v>
      </c>
      <c r="I937" t="s">
        <v>8221</v>
      </c>
      <c r="J937">
        <v>0</v>
      </c>
    </row>
    <row r="938" spans="6:10" x14ac:dyDescent="0.55000000000000004">
      <c r="F938" t="s">
        <v>8219</v>
      </c>
      <c r="G938">
        <v>26457</v>
      </c>
      <c r="I938" t="s">
        <v>8221</v>
      </c>
      <c r="J938">
        <v>0</v>
      </c>
    </row>
    <row r="939" spans="6:10" x14ac:dyDescent="0.55000000000000004">
      <c r="F939" t="s">
        <v>8219</v>
      </c>
      <c r="G939">
        <v>162</v>
      </c>
      <c r="I939" t="s">
        <v>8221</v>
      </c>
      <c r="J939">
        <v>4</v>
      </c>
    </row>
    <row r="940" spans="6:10" x14ac:dyDescent="0.55000000000000004">
      <c r="F940" t="s">
        <v>8219</v>
      </c>
      <c r="G940">
        <v>479</v>
      </c>
      <c r="I940" t="s">
        <v>8221</v>
      </c>
      <c r="J940">
        <v>12</v>
      </c>
    </row>
    <row r="941" spans="6:10" x14ac:dyDescent="0.55000000000000004">
      <c r="F941" t="s">
        <v>8219</v>
      </c>
      <c r="G941">
        <v>426</v>
      </c>
      <c r="I941" t="s">
        <v>8221</v>
      </c>
      <c r="J941">
        <v>0</v>
      </c>
    </row>
    <row r="942" spans="6:10" x14ac:dyDescent="0.55000000000000004">
      <c r="F942" t="s">
        <v>8219</v>
      </c>
      <c r="G942">
        <v>450</v>
      </c>
      <c r="I942" t="s">
        <v>8221</v>
      </c>
      <c r="J942">
        <v>33</v>
      </c>
    </row>
    <row r="943" spans="6:10" x14ac:dyDescent="0.55000000000000004">
      <c r="F943" t="s">
        <v>8219</v>
      </c>
      <c r="G943">
        <v>1780</v>
      </c>
      <c r="I943" t="s">
        <v>8221</v>
      </c>
      <c r="J943">
        <v>0</v>
      </c>
    </row>
    <row r="944" spans="6:10" x14ac:dyDescent="0.55000000000000004">
      <c r="F944" t="s">
        <v>8219</v>
      </c>
      <c r="G944">
        <v>122</v>
      </c>
      <c r="I944" t="s">
        <v>8221</v>
      </c>
      <c r="J944">
        <v>4</v>
      </c>
    </row>
    <row r="945" spans="6:10" x14ac:dyDescent="0.55000000000000004">
      <c r="F945" t="s">
        <v>8219</v>
      </c>
      <c r="G945">
        <v>95</v>
      </c>
      <c r="I945" t="s">
        <v>8221</v>
      </c>
      <c r="J945">
        <v>0</v>
      </c>
    </row>
    <row r="946" spans="6:10" x14ac:dyDescent="0.55000000000000004">
      <c r="F946" t="s">
        <v>8219</v>
      </c>
      <c r="G946">
        <v>325</v>
      </c>
      <c r="I946" t="s">
        <v>8221</v>
      </c>
      <c r="J946">
        <v>11</v>
      </c>
    </row>
    <row r="947" spans="6:10" x14ac:dyDescent="0.55000000000000004">
      <c r="F947" t="s">
        <v>8219</v>
      </c>
      <c r="G947">
        <v>353</v>
      </c>
      <c r="I947" t="s">
        <v>8221</v>
      </c>
      <c r="J947">
        <v>1</v>
      </c>
    </row>
    <row r="948" spans="6:10" x14ac:dyDescent="0.55000000000000004">
      <c r="F948" t="s">
        <v>8219</v>
      </c>
      <c r="G948">
        <v>105</v>
      </c>
      <c r="I948" t="s">
        <v>8221</v>
      </c>
      <c r="J948">
        <v>5</v>
      </c>
    </row>
    <row r="949" spans="6:10" x14ac:dyDescent="0.55000000000000004">
      <c r="F949" t="s">
        <v>8219</v>
      </c>
      <c r="G949">
        <v>729</v>
      </c>
      <c r="I949" t="s">
        <v>8221</v>
      </c>
      <c r="J949">
        <v>0</v>
      </c>
    </row>
    <row r="950" spans="6:10" x14ac:dyDescent="0.55000000000000004">
      <c r="F950" t="s">
        <v>8219</v>
      </c>
      <c r="G950">
        <v>454</v>
      </c>
      <c r="I950" t="s">
        <v>8221</v>
      </c>
      <c r="J950">
        <v>1</v>
      </c>
    </row>
    <row r="951" spans="6:10" x14ac:dyDescent="0.55000000000000004">
      <c r="F951" t="s">
        <v>8219</v>
      </c>
      <c r="G951">
        <v>539</v>
      </c>
      <c r="I951" t="s">
        <v>8221</v>
      </c>
      <c r="J951">
        <v>1</v>
      </c>
    </row>
    <row r="952" spans="6:10" x14ac:dyDescent="0.55000000000000004">
      <c r="F952" t="s">
        <v>8219</v>
      </c>
      <c r="G952">
        <v>79</v>
      </c>
      <c r="I952" t="s">
        <v>8221</v>
      </c>
      <c r="J952">
        <v>6</v>
      </c>
    </row>
    <row r="953" spans="6:10" x14ac:dyDescent="0.55000000000000004">
      <c r="F953" t="s">
        <v>8219</v>
      </c>
      <c r="G953">
        <v>94</v>
      </c>
      <c r="I953" t="s">
        <v>8221</v>
      </c>
      <c r="J953">
        <v>8</v>
      </c>
    </row>
    <row r="954" spans="6:10" x14ac:dyDescent="0.55000000000000004">
      <c r="F954" t="s">
        <v>8219</v>
      </c>
      <c r="G954">
        <v>625</v>
      </c>
      <c r="I954" t="s">
        <v>8221</v>
      </c>
      <c r="J954">
        <v>1</v>
      </c>
    </row>
    <row r="955" spans="6:10" x14ac:dyDescent="0.55000000000000004">
      <c r="F955" t="s">
        <v>8219</v>
      </c>
      <c r="G955">
        <v>508</v>
      </c>
      <c r="I955" t="s">
        <v>8221</v>
      </c>
      <c r="J955">
        <v>0</v>
      </c>
    </row>
    <row r="956" spans="6:10" x14ac:dyDescent="0.55000000000000004">
      <c r="F956" t="s">
        <v>8219</v>
      </c>
      <c r="G956">
        <v>531</v>
      </c>
      <c r="I956" t="s">
        <v>8221</v>
      </c>
      <c r="J956">
        <v>2</v>
      </c>
    </row>
    <row r="957" spans="6:10" x14ac:dyDescent="0.55000000000000004">
      <c r="F957" t="s">
        <v>8219</v>
      </c>
      <c r="G957">
        <v>158</v>
      </c>
      <c r="I957" t="s">
        <v>8221</v>
      </c>
      <c r="J957">
        <v>1</v>
      </c>
    </row>
    <row r="958" spans="6:10" x14ac:dyDescent="0.55000000000000004">
      <c r="F958" t="s">
        <v>8219</v>
      </c>
      <c r="G958">
        <v>508</v>
      </c>
      <c r="I958" t="s">
        <v>8221</v>
      </c>
      <c r="J958">
        <v>0</v>
      </c>
    </row>
    <row r="959" spans="6:10" x14ac:dyDescent="0.55000000000000004">
      <c r="F959" t="s">
        <v>8219</v>
      </c>
      <c r="G959">
        <v>644</v>
      </c>
      <c r="I959" t="s">
        <v>8221</v>
      </c>
      <c r="J959">
        <v>1</v>
      </c>
    </row>
    <row r="960" spans="6:10" x14ac:dyDescent="0.55000000000000004">
      <c r="F960" t="s">
        <v>8219</v>
      </c>
      <c r="G960">
        <v>848</v>
      </c>
      <c r="I960" t="s">
        <v>8221</v>
      </c>
      <c r="J960">
        <v>19</v>
      </c>
    </row>
    <row r="961" spans="6:10" x14ac:dyDescent="0.55000000000000004">
      <c r="F961" t="s">
        <v>8219</v>
      </c>
      <c r="G961">
        <v>429</v>
      </c>
      <c r="I961" t="s">
        <v>8221</v>
      </c>
      <c r="J961">
        <v>27</v>
      </c>
    </row>
    <row r="962" spans="6:10" x14ac:dyDescent="0.55000000000000004">
      <c r="F962" t="s">
        <v>8219</v>
      </c>
      <c r="G962">
        <v>204</v>
      </c>
      <c r="I962" t="s">
        <v>8221</v>
      </c>
      <c r="J962">
        <v>7</v>
      </c>
    </row>
    <row r="963" spans="6:10" x14ac:dyDescent="0.55000000000000004">
      <c r="F963" t="s">
        <v>8219</v>
      </c>
      <c r="G963">
        <v>379</v>
      </c>
      <c r="I963" t="s">
        <v>8221</v>
      </c>
      <c r="J963">
        <v>14</v>
      </c>
    </row>
    <row r="964" spans="6:10" x14ac:dyDescent="0.55000000000000004">
      <c r="F964" t="s">
        <v>8219</v>
      </c>
      <c r="G964">
        <v>271</v>
      </c>
      <c r="I964" t="s">
        <v>8221</v>
      </c>
      <c r="J964">
        <v>5</v>
      </c>
    </row>
    <row r="965" spans="6:10" x14ac:dyDescent="0.55000000000000004">
      <c r="F965" t="s">
        <v>8219</v>
      </c>
      <c r="G965">
        <v>120</v>
      </c>
      <c r="I965" t="s">
        <v>8221</v>
      </c>
      <c r="J965">
        <v>30</v>
      </c>
    </row>
    <row r="966" spans="6:10" x14ac:dyDescent="0.55000000000000004">
      <c r="F966" t="s">
        <v>8219</v>
      </c>
      <c r="G966">
        <v>140</v>
      </c>
      <c r="I966" t="s">
        <v>8221</v>
      </c>
      <c r="J966">
        <v>1</v>
      </c>
    </row>
    <row r="967" spans="6:10" x14ac:dyDescent="0.55000000000000004">
      <c r="F967" t="s">
        <v>8219</v>
      </c>
      <c r="G967">
        <v>193</v>
      </c>
      <c r="I967" t="s">
        <v>8221</v>
      </c>
      <c r="J967">
        <v>0</v>
      </c>
    </row>
    <row r="968" spans="6:10" x14ac:dyDescent="0.55000000000000004">
      <c r="F968" t="s">
        <v>8219</v>
      </c>
      <c r="G968">
        <v>180</v>
      </c>
      <c r="I968" t="s">
        <v>8221</v>
      </c>
      <c r="J968">
        <v>60</v>
      </c>
    </row>
    <row r="969" spans="6:10" x14ac:dyDescent="0.55000000000000004">
      <c r="F969" t="s">
        <v>8219</v>
      </c>
      <c r="G969">
        <v>263</v>
      </c>
      <c r="I969" t="s">
        <v>8221</v>
      </c>
      <c r="J969">
        <v>84</v>
      </c>
    </row>
    <row r="970" spans="6:10" x14ac:dyDescent="0.55000000000000004">
      <c r="F970" t="s">
        <v>8219</v>
      </c>
      <c r="G970">
        <v>217</v>
      </c>
      <c r="I970" t="s">
        <v>8221</v>
      </c>
      <c r="J970">
        <v>47</v>
      </c>
    </row>
    <row r="971" spans="6:10" x14ac:dyDescent="0.55000000000000004">
      <c r="F971" t="s">
        <v>8219</v>
      </c>
      <c r="G971">
        <v>443</v>
      </c>
      <c r="I971" t="s">
        <v>8221</v>
      </c>
      <c r="J971">
        <v>66</v>
      </c>
    </row>
    <row r="972" spans="6:10" x14ac:dyDescent="0.55000000000000004">
      <c r="F972" t="s">
        <v>8219</v>
      </c>
      <c r="G972">
        <v>1373</v>
      </c>
      <c r="I972" t="s">
        <v>8221</v>
      </c>
      <c r="J972">
        <v>171</v>
      </c>
    </row>
    <row r="973" spans="6:10" x14ac:dyDescent="0.55000000000000004">
      <c r="F973" t="s">
        <v>8219</v>
      </c>
      <c r="G973">
        <v>742</v>
      </c>
      <c r="I973" t="s">
        <v>8221</v>
      </c>
      <c r="J973">
        <v>29</v>
      </c>
    </row>
    <row r="974" spans="6:10" x14ac:dyDescent="0.55000000000000004">
      <c r="F974" t="s">
        <v>8219</v>
      </c>
      <c r="G974">
        <v>170</v>
      </c>
      <c r="I974" t="s">
        <v>8221</v>
      </c>
      <c r="J974">
        <v>9</v>
      </c>
    </row>
    <row r="975" spans="6:10" x14ac:dyDescent="0.55000000000000004">
      <c r="F975" t="s">
        <v>8219</v>
      </c>
      <c r="G975">
        <v>242</v>
      </c>
      <c r="I975" t="s">
        <v>8221</v>
      </c>
      <c r="J975">
        <v>27</v>
      </c>
    </row>
    <row r="976" spans="6:10" x14ac:dyDescent="0.55000000000000004">
      <c r="F976" t="s">
        <v>8219</v>
      </c>
      <c r="G976">
        <v>541</v>
      </c>
      <c r="I976" t="s">
        <v>8221</v>
      </c>
      <c r="J976">
        <v>2</v>
      </c>
    </row>
    <row r="977" spans="6:10" x14ac:dyDescent="0.55000000000000004">
      <c r="F977" t="s">
        <v>8219</v>
      </c>
      <c r="G977">
        <v>121</v>
      </c>
      <c r="I977" t="s">
        <v>8221</v>
      </c>
      <c r="J977">
        <v>3</v>
      </c>
    </row>
    <row r="978" spans="6:10" x14ac:dyDescent="0.55000000000000004">
      <c r="F978" t="s">
        <v>8219</v>
      </c>
      <c r="G978">
        <v>621</v>
      </c>
      <c r="I978" t="s">
        <v>8221</v>
      </c>
      <c r="J978">
        <v>4</v>
      </c>
    </row>
    <row r="979" spans="6:10" x14ac:dyDescent="0.55000000000000004">
      <c r="F979" t="s">
        <v>8219</v>
      </c>
      <c r="G979">
        <v>101</v>
      </c>
      <c r="I979" t="s">
        <v>8221</v>
      </c>
      <c r="J979">
        <v>2</v>
      </c>
    </row>
    <row r="980" spans="6:10" x14ac:dyDescent="0.55000000000000004">
      <c r="F980" t="s">
        <v>8219</v>
      </c>
      <c r="G980">
        <v>554</v>
      </c>
      <c r="I980" t="s">
        <v>8221</v>
      </c>
      <c r="J980">
        <v>20</v>
      </c>
    </row>
    <row r="981" spans="6:10" x14ac:dyDescent="0.55000000000000004">
      <c r="F981" t="s">
        <v>8219</v>
      </c>
      <c r="G981">
        <v>666</v>
      </c>
      <c r="I981" t="s">
        <v>8221</v>
      </c>
      <c r="J981">
        <v>3</v>
      </c>
    </row>
    <row r="982" spans="6:10" x14ac:dyDescent="0.55000000000000004">
      <c r="F982" t="s">
        <v>8219</v>
      </c>
      <c r="G982">
        <v>410</v>
      </c>
      <c r="I982" t="s">
        <v>8221</v>
      </c>
      <c r="J982">
        <v>4</v>
      </c>
    </row>
    <row r="983" spans="6:10" x14ac:dyDescent="0.55000000000000004">
      <c r="F983" t="s">
        <v>8219</v>
      </c>
      <c r="G983">
        <v>375</v>
      </c>
      <c r="I983" t="s">
        <v>8221</v>
      </c>
      <c r="J983">
        <v>1</v>
      </c>
    </row>
    <row r="984" spans="6:10" x14ac:dyDescent="0.55000000000000004">
      <c r="F984" t="s">
        <v>8219</v>
      </c>
      <c r="G984">
        <v>1364</v>
      </c>
      <c r="I984" t="s">
        <v>8221</v>
      </c>
      <c r="J984">
        <v>0</v>
      </c>
    </row>
    <row r="985" spans="6:10" x14ac:dyDescent="0.55000000000000004">
      <c r="F985" t="s">
        <v>8219</v>
      </c>
      <c r="G985">
        <v>35</v>
      </c>
      <c r="I985" t="s">
        <v>8221</v>
      </c>
      <c r="J985">
        <v>0</v>
      </c>
    </row>
    <row r="986" spans="6:10" x14ac:dyDescent="0.55000000000000004">
      <c r="F986" t="s">
        <v>8219</v>
      </c>
      <c r="G986">
        <v>203</v>
      </c>
      <c r="I986" t="s">
        <v>8221</v>
      </c>
      <c r="J986">
        <v>14</v>
      </c>
    </row>
    <row r="987" spans="6:10" x14ac:dyDescent="0.55000000000000004">
      <c r="F987" t="s">
        <v>8219</v>
      </c>
      <c r="G987">
        <v>49</v>
      </c>
      <c r="I987" t="s">
        <v>8221</v>
      </c>
      <c r="J987">
        <v>1</v>
      </c>
    </row>
    <row r="988" spans="6:10" x14ac:dyDescent="0.55000000000000004">
      <c r="F988" t="s">
        <v>8219</v>
      </c>
      <c r="G988">
        <v>5812</v>
      </c>
      <c r="I988" t="s">
        <v>8221</v>
      </c>
      <c r="J988">
        <v>118</v>
      </c>
    </row>
    <row r="989" spans="6:10" x14ac:dyDescent="0.55000000000000004">
      <c r="F989" t="s">
        <v>8219</v>
      </c>
      <c r="G989">
        <v>1556</v>
      </c>
      <c r="I989" t="s">
        <v>8221</v>
      </c>
      <c r="J989">
        <v>2</v>
      </c>
    </row>
    <row r="990" spans="6:10" x14ac:dyDescent="0.55000000000000004">
      <c r="F990" t="s">
        <v>8219</v>
      </c>
      <c r="G990">
        <v>65</v>
      </c>
      <c r="I990" t="s">
        <v>8221</v>
      </c>
      <c r="J990">
        <v>1</v>
      </c>
    </row>
    <row r="991" spans="6:10" x14ac:dyDescent="0.55000000000000004">
      <c r="F991" t="s">
        <v>8219</v>
      </c>
      <c r="G991">
        <v>10</v>
      </c>
      <c r="I991" t="s">
        <v>8221</v>
      </c>
      <c r="J991">
        <v>3</v>
      </c>
    </row>
    <row r="992" spans="6:10" x14ac:dyDescent="0.55000000000000004">
      <c r="F992" t="s">
        <v>8219</v>
      </c>
      <c r="G992">
        <v>76</v>
      </c>
      <c r="I992" t="s">
        <v>8221</v>
      </c>
      <c r="J992">
        <v>1</v>
      </c>
    </row>
    <row r="993" spans="6:10" x14ac:dyDescent="0.55000000000000004">
      <c r="F993" t="s">
        <v>8219</v>
      </c>
      <c r="G993">
        <v>263</v>
      </c>
      <c r="I993" t="s">
        <v>8221</v>
      </c>
      <c r="J993">
        <v>3</v>
      </c>
    </row>
    <row r="994" spans="6:10" x14ac:dyDescent="0.55000000000000004">
      <c r="F994" t="s">
        <v>8219</v>
      </c>
      <c r="G994">
        <v>1530</v>
      </c>
      <c r="I994" t="s">
        <v>8221</v>
      </c>
      <c r="J994">
        <v>38</v>
      </c>
    </row>
    <row r="995" spans="6:10" x14ac:dyDescent="0.55000000000000004">
      <c r="F995" t="s">
        <v>8219</v>
      </c>
      <c r="G995">
        <v>278</v>
      </c>
      <c r="I995" t="s">
        <v>8221</v>
      </c>
      <c r="J995">
        <v>52</v>
      </c>
    </row>
    <row r="996" spans="6:10" x14ac:dyDescent="0.55000000000000004">
      <c r="F996" t="s">
        <v>8219</v>
      </c>
      <c r="G996">
        <v>350</v>
      </c>
      <c r="I996" t="s">
        <v>8221</v>
      </c>
      <c r="J996">
        <v>2</v>
      </c>
    </row>
    <row r="997" spans="6:10" x14ac:dyDescent="0.55000000000000004">
      <c r="F997" t="s">
        <v>8219</v>
      </c>
      <c r="G997">
        <v>470</v>
      </c>
      <c r="I997" t="s">
        <v>8221</v>
      </c>
      <c r="J997">
        <v>0</v>
      </c>
    </row>
    <row r="998" spans="6:10" x14ac:dyDescent="0.55000000000000004">
      <c r="F998" t="s">
        <v>8219</v>
      </c>
      <c r="G998">
        <v>3</v>
      </c>
      <c r="I998" t="s">
        <v>8221</v>
      </c>
      <c r="J998">
        <v>4</v>
      </c>
    </row>
    <row r="999" spans="6:10" x14ac:dyDescent="0.55000000000000004">
      <c r="F999" t="s">
        <v>8219</v>
      </c>
      <c r="G999">
        <v>8200</v>
      </c>
      <c r="I999" t="s">
        <v>8221</v>
      </c>
      <c r="J999">
        <v>4</v>
      </c>
    </row>
    <row r="1000" spans="6:10" x14ac:dyDescent="0.55000000000000004">
      <c r="F1000" t="s">
        <v>8219</v>
      </c>
      <c r="G1000">
        <v>8359</v>
      </c>
      <c r="I1000" t="s">
        <v>8221</v>
      </c>
      <c r="J1000">
        <v>18</v>
      </c>
    </row>
    <row r="1001" spans="6:10" x14ac:dyDescent="0.55000000000000004">
      <c r="F1001" t="s">
        <v>8219</v>
      </c>
      <c r="G1001">
        <v>188</v>
      </c>
      <c r="I1001" t="s">
        <v>8221</v>
      </c>
      <c r="J1001">
        <v>0</v>
      </c>
    </row>
    <row r="1002" spans="6:10" x14ac:dyDescent="0.55000000000000004">
      <c r="F1002" t="s">
        <v>8219</v>
      </c>
      <c r="G1002">
        <v>48</v>
      </c>
      <c r="I1002" t="s">
        <v>8221</v>
      </c>
      <c r="J1002">
        <v>22</v>
      </c>
    </row>
    <row r="1003" spans="6:10" x14ac:dyDescent="0.55000000000000004">
      <c r="F1003" t="s">
        <v>8219</v>
      </c>
      <c r="G1003">
        <v>607</v>
      </c>
      <c r="I1003" t="s">
        <v>8221</v>
      </c>
      <c r="J1003">
        <v>49</v>
      </c>
    </row>
    <row r="1004" spans="6:10" x14ac:dyDescent="0.55000000000000004">
      <c r="F1004" t="s">
        <v>8219</v>
      </c>
      <c r="G1004">
        <v>50</v>
      </c>
      <c r="I1004" t="s">
        <v>8221</v>
      </c>
      <c r="J1004">
        <v>19</v>
      </c>
    </row>
    <row r="1005" spans="6:10" x14ac:dyDescent="0.55000000000000004">
      <c r="F1005" t="s">
        <v>8219</v>
      </c>
      <c r="G1005">
        <v>55</v>
      </c>
      <c r="I1005" t="s">
        <v>8221</v>
      </c>
      <c r="J1005">
        <v>4</v>
      </c>
    </row>
    <row r="1006" spans="6:10" x14ac:dyDescent="0.55000000000000004">
      <c r="F1006" t="s">
        <v>8219</v>
      </c>
      <c r="G1006">
        <v>38</v>
      </c>
      <c r="I1006" t="s">
        <v>8221</v>
      </c>
      <c r="J1006">
        <v>4</v>
      </c>
    </row>
    <row r="1007" spans="6:10" x14ac:dyDescent="0.55000000000000004">
      <c r="F1007" t="s">
        <v>8219</v>
      </c>
      <c r="G1007">
        <v>25</v>
      </c>
      <c r="I1007" t="s">
        <v>8221</v>
      </c>
      <c r="J1007">
        <v>2</v>
      </c>
    </row>
    <row r="1008" spans="6:10" x14ac:dyDescent="0.55000000000000004">
      <c r="F1008" t="s">
        <v>8219</v>
      </c>
      <c r="G1008">
        <v>46</v>
      </c>
      <c r="I1008" t="s">
        <v>8221</v>
      </c>
      <c r="J1008">
        <v>0</v>
      </c>
    </row>
    <row r="1009" spans="6:10" x14ac:dyDescent="0.55000000000000004">
      <c r="F1009" t="s">
        <v>8219</v>
      </c>
      <c r="G1009">
        <v>83</v>
      </c>
      <c r="I1009" t="s">
        <v>8221</v>
      </c>
      <c r="J1009">
        <v>0</v>
      </c>
    </row>
    <row r="1010" spans="6:10" x14ac:dyDescent="0.55000000000000004">
      <c r="F1010" t="s">
        <v>8219</v>
      </c>
      <c r="G1010">
        <v>35</v>
      </c>
      <c r="I1010" t="s">
        <v>8221</v>
      </c>
      <c r="J1010">
        <v>14</v>
      </c>
    </row>
    <row r="1011" spans="6:10" x14ac:dyDescent="0.55000000000000004">
      <c r="F1011" t="s">
        <v>8219</v>
      </c>
      <c r="G1011">
        <v>25</v>
      </c>
      <c r="I1011" t="s">
        <v>8221</v>
      </c>
      <c r="J1011">
        <v>8</v>
      </c>
    </row>
    <row r="1012" spans="6:10" x14ac:dyDescent="0.55000000000000004">
      <c r="F1012" t="s">
        <v>8219</v>
      </c>
      <c r="G1012">
        <v>75</v>
      </c>
      <c r="I1012" t="s">
        <v>8221</v>
      </c>
      <c r="J1012">
        <v>0</v>
      </c>
    </row>
    <row r="1013" spans="6:10" x14ac:dyDescent="0.55000000000000004">
      <c r="F1013" t="s">
        <v>8219</v>
      </c>
      <c r="G1013">
        <v>62</v>
      </c>
      <c r="I1013" t="s">
        <v>8221</v>
      </c>
      <c r="J1013">
        <v>15</v>
      </c>
    </row>
    <row r="1014" spans="6:10" x14ac:dyDescent="0.55000000000000004">
      <c r="F1014" t="s">
        <v>8219</v>
      </c>
      <c r="G1014">
        <v>160</v>
      </c>
      <c r="I1014" t="s">
        <v>8221</v>
      </c>
      <c r="J1014">
        <v>33</v>
      </c>
    </row>
    <row r="1015" spans="6:10" x14ac:dyDescent="0.55000000000000004">
      <c r="F1015" t="s">
        <v>8219</v>
      </c>
      <c r="G1015">
        <v>246</v>
      </c>
      <c r="I1015" t="s">
        <v>8221</v>
      </c>
      <c r="J1015">
        <v>2</v>
      </c>
    </row>
    <row r="1016" spans="6:10" x14ac:dyDescent="0.55000000000000004">
      <c r="F1016" t="s">
        <v>8219</v>
      </c>
      <c r="G1016">
        <v>55</v>
      </c>
      <c r="I1016" t="s">
        <v>8221</v>
      </c>
      <c r="J1016">
        <v>6</v>
      </c>
    </row>
    <row r="1017" spans="6:10" x14ac:dyDescent="0.55000000000000004">
      <c r="F1017" t="s">
        <v>8219</v>
      </c>
      <c r="G1017">
        <v>23</v>
      </c>
      <c r="I1017" t="s">
        <v>8221</v>
      </c>
      <c r="J1017">
        <v>2</v>
      </c>
    </row>
    <row r="1018" spans="6:10" x14ac:dyDescent="0.55000000000000004">
      <c r="F1018" t="s">
        <v>8219</v>
      </c>
      <c r="G1018">
        <v>72</v>
      </c>
      <c r="I1018" t="s">
        <v>8221</v>
      </c>
      <c r="J1018">
        <v>0</v>
      </c>
    </row>
    <row r="1019" spans="6:10" x14ac:dyDescent="0.55000000000000004">
      <c r="F1019" t="s">
        <v>8219</v>
      </c>
      <c r="G1019">
        <v>22</v>
      </c>
      <c r="I1019" t="s">
        <v>8221</v>
      </c>
      <c r="J1019">
        <v>4</v>
      </c>
    </row>
    <row r="1020" spans="6:10" x14ac:dyDescent="0.55000000000000004">
      <c r="F1020" t="s">
        <v>8219</v>
      </c>
      <c r="G1020">
        <v>14</v>
      </c>
      <c r="I1020" t="s">
        <v>8221</v>
      </c>
      <c r="J1020">
        <v>1</v>
      </c>
    </row>
    <row r="1021" spans="6:10" x14ac:dyDescent="0.55000000000000004">
      <c r="F1021" t="s">
        <v>8219</v>
      </c>
      <c r="G1021">
        <v>38</v>
      </c>
      <c r="I1021" t="s">
        <v>8221</v>
      </c>
      <c r="J1021">
        <v>3</v>
      </c>
    </row>
    <row r="1022" spans="6:10" x14ac:dyDescent="0.55000000000000004">
      <c r="F1022" t="s">
        <v>8219</v>
      </c>
      <c r="G1022">
        <v>32</v>
      </c>
      <c r="I1022" t="s">
        <v>8221</v>
      </c>
      <c r="J1022">
        <v>4</v>
      </c>
    </row>
    <row r="1023" spans="6:10" x14ac:dyDescent="0.55000000000000004">
      <c r="F1023" t="s">
        <v>8219</v>
      </c>
      <c r="G1023">
        <v>63</v>
      </c>
      <c r="I1023" t="s">
        <v>8221</v>
      </c>
      <c r="J1023">
        <v>0</v>
      </c>
    </row>
    <row r="1024" spans="6:10" x14ac:dyDescent="0.55000000000000004">
      <c r="F1024" t="s">
        <v>8219</v>
      </c>
      <c r="G1024">
        <v>27</v>
      </c>
      <c r="I1024" t="s">
        <v>8221</v>
      </c>
      <c r="J1024">
        <v>4</v>
      </c>
    </row>
    <row r="1025" spans="6:10" x14ac:dyDescent="0.55000000000000004">
      <c r="F1025" t="s">
        <v>8219</v>
      </c>
      <c r="G1025">
        <v>44</v>
      </c>
      <c r="I1025" t="s">
        <v>8221</v>
      </c>
      <c r="J1025">
        <v>3</v>
      </c>
    </row>
    <row r="1026" spans="6:10" x14ac:dyDescent="0.55000000000000004">
      <c r="F1026" t="s">
        <v>8219</v>
      </c>
      <c r="G1026">
        <v>38</v>
      </c>
      <c r="I1026" t="s">
        <v>8221</v>
      </c>
      <c r="J1026">
        <v>34</v>
      </c>
    </row>
    <row r="1027" spans="6:10" x14ac:dyDescent="0.55000000000000004">
      <c r="F1027" t="s">
        <v>8219</v>
      </c>
      <c r="G1027">
        <v>115</v>
      </c>
      <c r="I1027" t="s">
        <v>8221</v>
      </c>
      <c r="J1027">
        <v>2</v>
      </c>
    </row>
    <row r="1028" spans="6:10" x14ac:dyDescent="0.55000000000000004">
      <c r="F1028" t="s">
        <v>8219</v>
      </c>
      <c r="G1028">
        <v>37</v>
      </c>
      <c r="I1028" t="s">
        <v>8221</v>
      </c>
      <c r="J1028">
        <v>33</v>
      </c>
    </row>
    <row r="1029" spans="6:10" x14ac:dyDescent="0.55000000000000004">
      <c r="F1029" t="s">
        <v>8219</v>
      </c>
      <c r="G1029">
        <v>99</v>
      </c>
      <c r="I1029" t="s">
        <v>8221</v>
      </c>
      <c r="J1029">
        <v>0</v>
      </c>
    </row>
    <row r="1030" spans="6:10" x14ac:dyDescent="0.55000000000000004">
      <c r="F1030" t="s">
        <v>8219</v>
      </c>
      <c r="G1030">
        <v>44</v>
      </c>
      <c r="I1030" t="s">
        <v>8221</v>
      </c>
      <c r="J1030">
        <v>0</v>
      </c>
    </row>
    <row r="1031" spans="6:10" x14ac:dyDescent="0.55000000000000004">
      <c r="F1031" t="s">
        <v>8219</v>
      </c>
      <c r="G1031">
        <v>58</v>
      </c>
      <c r="I1031" t="s">
        <v>8221</v>
      </c>
      <c r="J1031">
        <v>1</v>
      </c>
    </row>
    <row r="1032" spans="6:10" x14ac:dyDescent="0.55000000000000004">
      <c r="F1032" t="s">
        <v>8219</v>
      </c>
      <c r="G1032">
        <v>191</v>
      </c>
      <c r="I1032" t="s">
        <v>8221</v>
      </c>
      <c r="J1032">
        <v>13</v>
      </c>
    </row>
    <row r="1033" spans="6:10" x14ac:dyDescent="0.55000000000000004">
      <c r="F1033" t="s">
        <v>8219</v>
      </c>
      <c r="G1033">
        <v>40</v>
      </c>
      <c r="I1033" t="s">
        <v>8221</v>
      </c>
      <c r="J1033">
        <v>2</v>
      </c>
    </row>
    <row r="1034" spans="6:10" x14ac:dyDescent="0.55000000000000004">
      <c r="F1034" t="s">
        <v>8219</v>
      </c>
      <c r="G1034">
        <v>38</v>
      </c>
      <c r="I1034" t="s">
        <v>8221</v>
      </c>
      <c r="J1034">
        <v>36</v>
      </c>
    </row>
    <row r="1035" spans="6:10" x14ac:dyDescent="0.55000000000000004">
      <c r="F1035" t="s">
        <v>8219</v>
      </c>
      <c r="G1035">
        <v>39</v>
      </c>
      <c r="I1035" t="s">
        <v>8221</v>
      </c>
      <c r="J1035">
        <v>1</v>
      </c>
    </row>
    <row r="1036" spans="6:10" x14ac:dyDescent="0.55000000000000004">
      <c r="F1036" t="s">
        <v>8219</v>
      </c>
      <c r="G1036">
        <v>11</v>
      </c>
      <c r="I1036" t="s">
        <v>8221</v>
      </c>
      <c r="J1036">
        <v>15</v>
      </c>
    </row>
    <row r="1037" spans="6:10" x14ac:dyDescent="0.55000000000000004">
      <c r="F1037" t="s">
        <v>8219</v>
      </c>
      <c r="G1037">
        <v>107</v>
      </c>
      <c r="I1037" t="s">
        <v>8221</v>
      </c>
      <c r="J1037">
        <v>1</v>
      </c>
    </row>
    <row r="1038" spans="6:10" x14ac:dyDescent="0.55000000000000004">
      <c r="F1038" t="s">
        <v>8219</v>
      </c>
      <c r="G1038">
        <v>147</v>
      </c>
      <c r="I1038" t="s">
        <v>8221</v>
      </c>
      <c r="J1038">
        <v>0</v>
      </c>
    </row>
    <row r="1039" spans="6:10" x14ac:dyDescent="0.55000000000000004">
      <c r="F1039" t="s">
        <v>8219</v>
      </c>
      <c r="G1039">
        <v>36</v>
      </c>
      <c r="I1039" t="s">
        <v>8221</v>
      </c>
      <c r="J1039">
        <v>1</v>
      </c>
    </row>
    <row r="1040" spans="6:10" x14ac:dyDescent="0.55000000000000004">
      <c r="F1040" t="s">
        <v>8219</v>
      </c>
      <c r="G1040">
        <v>92</v>
      </c>
      <c r="I1040" t="s">
        <v>8221</v>
      </c>
      <c r="J1040">
        <v>0</v>
      </c>
    </row>
    <row r="1041" spans="6:10" x14ac:dyDescent="0.55000000000000004">
      <c r="F1041" t="s">
        <v>8219</v>
      </c>
      <c r="G1041">
        <v>35</v>
      </c>
      <c r="I1041" t="s">
        <v>8221</v>
      </c>
      <c r="J1041">
        <v>0</v>
      </c>
    </row>
    <row r="1042" spans="6:10" x14ac:dyDescent="0.55000000000000004">
      <c r="F1042" t="s">
        <v>8219</v>
      </c>
      <c r="G1042">
        <v>17</v>
      </c>
      <c r="I1042" t="s">
        <v>8221</v>
      </c>
      <c r="J1042">
        <v>1</v>
      </c>
    </row>
    <row r="1043" spans="6:10" x14ac:dyDescent="0.55000000000000004">
      <c r="F1043" t="s">
        <v>8219</v>
      </c>
      <c r="G1043">
        <v>22</v>
      </c>
      <c r="I1043" t="s">
        <v>8221</v>
      </c>
      <c r="J1043">
        <v>39</v>
      </c>
    </row>
    <row r="1044" spans="6:10" x14ac:dyDescent="0.55000000000000004">
      <c r="F1044" t="s">
        <v>8219</v>
      </c>
      <c r="G1044">
        <v>69</v>
      </c>
      <c r="I1044" t="s">
        <v>8221</v>
      </c>
      <c r="J1044">
        <v>0</v>
      </c>
    </row>
    <row r="1045" spans="6:10" x14ac:dyDescent="0.55000000000000004">
      <c r="F1045" t="s">
        <v>8219</v>
      </c>
      <c r="G1045">
        <v>13</v>
      </c>
      <c r="I1045" t="s">
        <v>8221</v>
      </c>
      <c r="J1045">
        <v>0</v>
      </c>
    </row>
    <row r="1046" spans="6:10" x14ac:dyDescent="0.55000000000000004">
      <c r="F1046" t="s">
        <v>8219</v>
      </c>
      <c r="G1046">
        <v>58</v>
      </c>
      <c r="I1046" t="s">
        <v>8221</v>
      </c>
      <c r="J1046">
        <v>3</v>
      </c>
    </row>
    <row r="1047" spans="6:10" x14ac:dyDescent="0.55000000000000004">
      <c r="F1047" t="s">
        <v>8219</v>
      </c>
      <c r="G1047">
        <v>44</v>
      </c>
      <c r="I1047" t="s">
        <v>8221</v>
      </c>
      <c r="J1047">
        <v>1</v>
      </c>
    </row>
    <row r="1048" spans="6:10" x14ac:dyDescent="0.55000000000000004">
      <c r="F1048" t="s">
        <v>8219</v>
      </c>
      <c r="G1048">
        <v>83</v>
      </c>
      <c r="I1048" t="s">
        <v>8221</v>
      </c>
      <c r="J1048">
        <v>13</v>
      </c>
    </row>
    <row r="1049" spans="6:10" x14ac:dyDescent="0.55000000000000004">
      <c r="F1049" t="s">
        <v>8219</v>
      </c>
      <c r="G1049">
        <v>117</v>
      </c>
      <c r="I1049" t="s">
        <v>8221</v>
      </c>
      <c r="J1049">
        <v>0</v>
      </c>
    </row>
    <row r="1050" spans="6:10" x14ac:dyDescent="0.55000000000000004">
      <c r="F1050" t="s">
        <v>8219</v>
      </c>
      <c r="G1050">
        <v>32</v>
      </c>
      <c r="I1050" t="s">
        <v>8221</v>
      </c>
      <c r="J1050">
        <v>6</v>
      </c>
    </row>
    <row r="1051" spans="6:10" x14ac:dyDescent="0.55000000000000004">
      <c r="F1051" t="s">
        <v>8219</v>
      </c>
      <c r="G1051">
        <v>8</v>
      </c>
      <c r="I1051" t="s">
        <v>8221</v>
      </c>
      <c r="J1051">
        <v>0</v>
      </c>
    </row>
    <row r="1052" spans="6:10" x14ac:dyDescent="0.55000000000000004">
      <c r="F1052" t="s">
        <v>8219</v>
      </c>
      <c r="G1052">
        <v>340</v>
      </c>
      <c r="I1052" t="s">
        <v>8221</v>
      </c>
      <c r="J1052">
        <v>14</v>
      </c>
    </row>
    <row r="1053" spans="6:10" x14ac:dyDescent="0.55000000000000004">
      <c r="F1053" t="s">
        <v>8219</v>
      </c>
      <c r="G1053">
        <v>7</v>
      </c>
      <c r="I1053" t="s">
        <v>8221</v>
      </c>
      <c r="J1053">
        <v>5</v>
      </c>
    </row>
    <row r="1054" spans="6:10" x14ac:dyDescent="0.55000000000000004">
      <c r="F1054" t="s">
        <v>8219</v>
      </c>
      <c r="G1054">
        <v>19</v>
      </c>
      <c r="I1054" t="s">
        <v>8221</v>
      </c>
      <c r="J1054">
        <v>6</v>
      </c>
    </row>
    <row r="1055" spans="6:10" x14ac:dyDescent="0.55000000000000004">
      <c r="F1055" t="s">
        <v>8219</v>
      </c>
      <c r="G1055">
        <v>47</v>
      </c>
      <c r="I1055" t="s">
        <v>8221</v>
      </c>
      <c r="J1055">
        <v>15</v>
      </c>
    </row>
    <row r="1056" spans="6:10" x14ac:dyDescent="0.55000000000000004">
      <c r="F1056" t="s">
        <v>8219</v>
      </c>
      <c r="G1056">
        <v>13</v>
      </c>
      <c r="I1056" t="s">
        <v>8221</v>
      </c>
      <c r="J1056">
        <v>0</v>
      </c>
    </row>
    <row r="1057" spans="6:10" x14ac:dyDescent="0.55000000000000004">
      <c r="F1057" t="s">
        <v>8219</v>
      </c>
      <c r="G1057">
        <v>90</v>
      </c>
      <c r="I1057" t="s">
        <v>8221</v>
      </c>
      <c r="J1057">
        <v>1</v>
      </c>
    </row>
    <row r="1058" spans="6:10" x14ac:dyDescent="0.55000000000000004">
      <c r="F1058" t="s">
        <v>8219</v>
      </c>
      <c r="G1058">
        <v>63</v>
      </c>
      <c r="I1058" t="s">
        <v>8221</v>
      </c>
      <c r="J1058">
        <v>9</v>
      </c>
    </row>
    <row r="1059" spans="6:10" x14ac:dyDescent="0.55000000000000004">
      <c r="F1059" t="s">
        <v>8219</v>
      </c>
      <c r="G1059">
        <v>26</v>
      </c>
      <c r="I1059" t="s">
        <v>8221</v>
      </c>
      <c r="J1059">
        <v>3</v>
      </c>
    </row>
    <row r="1060" spans="6:10" x14ac:dyDescent="0.55000000000000004">
      <c r="F1060" t="s">
        <v>8219</v>
      </c>
      <c r="G1060">
        <v>71</v>
      </c>
      <c r="I1060" t="s">
        <v>8221</v>
      </c>
      <c r="J1060">
        <v>3</v>
      </c>
    </row>
    <row r="1061" spans="6:10" x14ac:dyDescent="0.55000000000000004">
      <c r="F1061" t="s">
        <v>8219</v>
      </c>
      <c r="G1061">
        <v>38</v>
      </c>
      <c r="I1061" t="s">
        <v>8221</v>
      </c>
      <c r="J1061">
        <v>1</v>
      </c>
    </row>
    <row r="1062" spans="6:10" x14ac:dyDescent="0.55000000000000004">
      <c r="F1062" t="s">
        <v>8219</v>
      </c>
      <c r="G1062">
        <v>859</v>
      </c>
      <c r="I1062" t="s">
        <v>8221</v>
      </c>
      <c r="J1062">
        <v>3</v>
      </c>
    </row>
    <row r="1063" spans="6:10" x14ac:dyDescent="0.55000000000000004">
      <c r="F1063" t="s">
        <v>8219</v>
      </c>
      <c r="G1063">
        <v>21</v>
      </c>
      <c r="I1063" t="s">
        <v>8221</v>
      </c>
      <c r="J1063">
        <v>0</v>
      </c>
    </row>
    <row r="1064" spans="6:10" x14ac:dyDescent="0.55000000000000004">
      <c r="F1064" t="s">
        <v>8219</v>
      </c>
      <c r="G1064">
        <v>78</v>
      </c>
      <c r="I1064" t="s">
        <v>8221</v>
      </c>
      <c r="J1064">
        <v>2</v>
      </c>
    </row>
    <row r="1065" spans="6:10" x14ac:dyDescent="0.55000000000000004">
      <c r="F1065" t="s">
        <v>8219</v>
      </c>
      <c r="G1065">
        <v>53</v>
      </c>
      <c r="I1065" t="s">
        <v>8221</v>
      </c>
      <c r="J1065">
        <v>10</v>
      </c>
    </row>
    <row r="1066" spans="6:10" x14ac:dyDescent="0.55000000000000004">
      <c r="F1066" t="s">
        <v>8219</v>
      </c>
      <c r="G1066">
        <v>356</v>
      </c>
      <c r="I1066" t="s">
        <v>8221</v>
      </c>
      <c r="J1066">
        <v>60</v>
      </c>
    </row>
    <row r="1067" spans="6:10" x14ac:dyDescent="0.55000000000000004">
      <c r="F1067" t="s">
        <v>8219</v>
      </c>
      <c r="G1067">
        <v>279</v>
      </c>
      <c r="I1067" t="s">
        <v>8221</v>
      </c>
      <c r="J1067">
        <v>5</v>
      </c>
    </row>
    <row r="1068" spans="6:10" x14ac:dyDescent="0.55000000000000004">
      <c r="F1068" t="s">
        <v>8219</v>
      </c>
      <c r="G1068">
        <v>266</v>
      </c>
      <c r="I1068" t="s">
        <v>8221</v>
      </c>
      <c r="J1068">
        <v>9</v>
      </c>
    </row>
    <row r="1069" spans="6:10" x14ac:dyDescent="0.55000000000000004">
      <c r="F1069" t="s">
        <v>8219</v>
      </c>
      <c r="G1069">
        <v>623</v>
      </c>
      <c r="I1069" t="s">
        <v>8221</v>
      </c>
      <c r="J1069">
        <v>13</v>
      </c>
    </row>
    <row r="1070" spans="6:10" x14ac:dyDescent="0.55000000000000004">
      <c r="F1070" t="s">
        <v>8219</v>
      </c>
      <c r="G1070">
        <v>392</v>
      </c>
      <c r="I1070" t="s">
        <v>8221</v>
      </c>
      <c r="J1070">
        <v>0</v>
      </c>
    </row>
    <row r="1071" spans="6:10" x14ac:dyDescent="0.55000000000000004">
      <c r="F1071" t="s">
        <v>8219</v>
      </c>
      <c r="G1071">
        <v>3562</v>
      </c>
      <c r="I1071" t="s">
        <v>8221</v>
      </c>
      <c r="J1071">
        <v>8</v>
      </c>
    </row>
    <row r="1072" spans="6:10" x14ac:dyDescent="0.55000000000000004">
      <c r="F1072" t="s">
        <v>8219</v>
      </c>
      <c r="G1072">
        <v>514</v>
      </c>
      <c r="I1072" t="s">
        <v>8221</v>
      </c>
      <c r="J1072">
        <v>3</v>
      </c>
    </row>
    <row r="1073" spans="6:10" x14ac:dyDescent="0.55000000000000004">
      <c r="F1073" t="s">
        <v>8219</v>
      </c>
      <c r="G1073">
        <v>88</v>
      </c>
      <c r="I1073" t="s">
        <v>8221</v>
      </c>
      <c r="J1073">
        <v>3</v>
      </c>
    </row>
    <row r="1074" spans="6:10" x14ac:dyDescent="0.55000000000000004">
      <c r="F1074" t="s">
        <v>8219</v>
      </c>
      <c r="G1074">
        <v>537</v>
      </c>
      <c r="I1074" t="s">
        <v>8221</v>
      </c>
      <c r="J1074">
        <v>0</v>
      </c>
    </row>
    <row r="1075" spans="6:10" x14ac:dyDescent="0.55000000000000004">
      <c r="F1075" t="s">
        <v>8219</v>
      </c>
      <c r="G1075">
        <v>25</v>
      </c>
      <c r="I1075" t="s">
        <v>8221</v>
      </c>
      <c r="J1075">
        <v>6</v>
      </c>
    </row>
    <row r="1076" spans="6:10" x14ac:dyDescent="0.55000000000000004">
      <c r="F1076" t="s">
        <v>8219</v>
      </c>
      <c r="G1076">
        <v>3238</v>
      </c>
      <c r="I1076" t="s">
        <v>8221</v>
      </c>
      <c r="J1076">
        <v>4</v>
      </c>
    </row>
    <row r="1077" spans="6:10" x14ac:dyDescent="0.55000000000000004">
      <c r="F1077" t="s">
        <v>8219</v>
      </c>
      <c r="G1077">
        <v>897</v>
      </c>
      <c r="I1077" t="s">
        <v>8221</v>
      </c>
      <c r="J1077">
        <v>1</v>
      </c>
    </row>
    <row r="1078" spans="6:10" x14ac:dyDescent="0.55000000000000004">
      <c r="F1078" t="s">
        <v>8219</v>
      </c>
      <c r="G1078">
        <v>878</v>
      </c>
      <c r="I1078" t="s">
        <v>8221</v>
      </c>
      <c r="J1078">
        <v>29</v>
      </c>
    </row>
    <row r="1079" spans="6:10" x14ac:dyDescent="0.55000000000000004">
      <c r="F1079" t="s">
        <v>8219</v>
      </c>
      <c r="G1079">
        <v>115</v>
      </c>
      <c r="I1079" t="s">
        <v>8221</v>
      </c>
      <c r="J1079">
        <v>0</v>
      </c>
    </row>
    <row r="1080" spans="6:10" x14ac:dyDescent="0.55000000000000004">
      <c r="F1080" t="s">
        <v>8219</v>
      </c>
      <c r="G1080">
        <v>234</v>
      </c>
      <c r="I1080" t="s">
        <v>8221</v>
      </c>
      <c r="J1080">
        <v>4</v>
      </c>
    </row>
    <row r="1081" spans="6:10" x14ac:dyDescent="0.55000000000000004">
      <c r="F1081" t="s">
        <v>8219</v>
      </c>
      <c r="G1081">
        <v>4330</v>
      </c>
      <c r="I1081" t="s">
        <v>8221</v>
      </c>
      <c r="J1081">
        <v>5</v>
      </c>
    </row>
    <row r="1082" spans="6:10" x14ac:dyDescent="0.55000000000000004">
      <c r="F1082" t="s">
        <v>8219</v>
      </c>
      <c r="G1082">
        <v>651</v>
      </c>
      <c r="I1082" t="s">
        <v>8221</v>
      </c>
      <c r="J1082">
        <v>4</v>
      </c>
    </row>
    <row r="1083" spans="6:10" x14ac:dyDescent="0.55000000000000004">
      <c r="F1083" t="s">
        <v>8219</v>
      </c>
      <c r="G1083">
        <v>251</v>
      </c>
      <c r="I1083" t="s">
        <v>8221</v>
      </c>
      <c r="J1083">
        <v>5</v>
      </c>
    </row>
    <row r="1084" spans="6:10" x14ac:dyDescent="0.55000000000000004">
      <c r="F1084" t="s">
        <v>8219</v>
      </c>
      <c r="G1084">
        <v>263</v>
      </c>
      <c r="I1084" t="s">
        <v>8221</v>
      </c>
      <c r="J1084">
        <v>1</v>
      </c>
    </row>
    <row r="1085" spans="6:10" x14ac:dyDescent="0.55000000000000004">
      <c r="F1085" t="s">
        <v>8219</v>
      </c>
      <c r="G1085">
        <v>28</v>
      </c>
      <c r="I1085" t="s">
        <v>8221</v>
      </c>
      <c r="J1085">
        <v>1</v>
      </c>
    </row>
    <row r="1086" spans="6:10" x14ac:dyDescent="0.55000000000000004">
      <c r="F1086" t="s">
        <v>8219</v>
      </c>
      <c r="G1086">
        <v>721</v>
      </c>
      <c r="I1086" t="s">
        <v>8221</v>
      </c>
      <c r="J1086">
        <v>0</v>
      </c>
    </row>
    <row r="1087" spans="6:10" x14ac:dyDescent="0.55000000000000004">
      <c r="F1087" t="s">
        <v>8219</v>
      </c>
      <c r="G1087">
        <v>50</v>
      </c>
      <c r="I1087" t="s">
        <v>8221</v>
      </c>
      <c r="J1087">
        <v>14</v>
      </c>
    </row>
    <row r="1088" spans="6:10" x14ac:dyDescent="0.55000000000000004">
      <c r="F1088" t="s">
        <v>8219</v>
      </c>
      <c r="G1088">
        <v>73</v>
      </c>
      <c r="I1088" t="s">
        <v>8221</v>
      </c>
      <c r="J1088">
        <v>3</v>
      </c>
    </row>
    <row r="1089" spans="6:10" x14ac:dyDescent="0.55000000000000004">
      <c r="F1089" t="s">
        <v>8219</v>
      </c>
      <c r="G1089">
        <v>27</v>
      </c>
      <c r="I1089" t="s">
        <v>8221</v>
      </c>
      <c r="J1089">
        <v>10</v>
      </c>
    </row>
    <row r="1090" spans="6:10" x14ac:dyDescent="0.55000000000000004">
      <c r="F1090" t="s">
        <v>8219</v>
      </c>
      <c r="G1090">
        <v>34</v>
      </c>
      <c r="I1090" t="s">
        <v>8221</v>
      </c>
      <c r="J1090">
        <v>17</v>
      </c>
    </row>
    <row r="1091" spans="6:10" x14ac:dyDescent="0.55000000000000004">
      <c r="F1091" t="s">
        <v>8219</v>
      </c>
      <c r="G1091">
        <v>7</v>
      </c>
      <c r="I1091" t="s">
        <v>8221</v>
      </c>
      <c r="J1091">
        <v>2</v>
      </c>
    </row>
    <row r="1092" spans="6:10" x14ac:dyDescent="0.55000000000000004">
      <c r="F1092" t="s">
        <v>8219</v>
      </c>
      <c r="G1092">
        <v>24</v>
      </c>
      <c r="I1092" t="s">
        <v>8221</v>
      </c>
      <c r="J1092">
        <v>0</v>
      </c>
    </row>
    <row r="1093" spans="6:10" x14ac:dyDescent="0.55000000000000004">
      <c r="F1093" t="s">
        <v>8219</v>
      </c>
      <c r="G1093">
        <v>15</v>
      </c>
      <c r="I1093" t="s">
        <v>8221</v>
      </c>
      <c r="J1093">
        <v>4</v>
      </c>
    </row>
    <row r="1094" spans="6:10" x14ac:dyDescent="0.55000000000000004">
      <c r="F1094" t="s">
        <v>8219</v>
      </c>
      <c r="G1094">
        <v>72</v>
      </c>
      <c r="I1094" t="s">
        <v>8221</v>
      </c>
      <c r="J1094">
        <v>12</v>
      </c>
    </row>
    <row r="1095" spans="6:10" x14ac:dyDescent="0.55000000000000004">
      <c r="F1095" t="s">
        <v>8219</v>
      </c>
      <c r="G1095">
        <v>120</v>
      </c>
      <c r="I1095" t="s">
        <v>8221</v>
      </c>
      <c r="J1095">
        <v>3</v>
      </c>
    </row>
    <row r="1096" spans="6:10" x14ac:dyDescent="0.55000000000000004">
      <c r="F1096" t="s">
        <v>8219</v>
      </c>
      <c r="G1096">
        <v>123</v>
      </c>
      <c r="I1096" t="s">
        <v>8221</v>
      </c>
      <c r="J1096">
        <v>12</v>
      </c>
    </row>
    <row r="1097" spans="6:10" x14ac:dyDescent="0.55000000000000004">
      <c r="F1097" t="s">
        <v>8219</v>
      </c>
      <c r="G1097">
        <v>1</v>
      </c>
      <c r="I1097" t="s">
        <v>8221</v>
      </c>
      <c r="J1097">
        <v>0</v>
      </c>
    </row>
    <row r="1098" spans="6:10" x14ac:dyDescent="0.55000000000000004">
      <c r="F1098" t="s">
        <v>8219</v>
      </c>
      <c r="G1098">
        <v>24</v>
      </c>
      <c r="I1098" t="s">
        <v>8221</v>
      </c>
      <c r="J1098">
        <v>7</v>
      </c>
    </row>
    <row r="1099" spans="6:10" x14ac:dyDescent="0.55000000000000004">
      <c r="F1099" t="s">
        <v>8219</v>
      </c>
      <c r="G1099">
        <v>33</v>
      </c>
      <c r="I1099" t="s">
        <v>8221</v>
      </c>
      <c r="J1099">
        <v>2</v>
      </c>
    </row>
    <row r="1100" spans="6:10" x14ac:dyDescent="0.55000000000000004">
      <c r="F1100" t="s">
        <v>8219</v>
      </c>
      <c r="G1100">
        <v>14</v>
      </c>
      <c r="I1100" t="s">
        <v>8221</v>
      </c>
      <c r="J1100">
        <v>1</v>
      </c>
    </row>
    <row r="1101" spans="6:10" x14ac:dyDescent="0.55000000000000004">
      <c r="F1101" t="s">
        <v>8219</v>
      </c>
      <c r="G1101">
        <v>9</v>
      </c>
      <c r="I1101" t="s">
        <v>8221</v>
      </c>
      <c r="J1101">
        <v>4</v>
      </c>
    </row>
    <row r="1102" spans="6:10" x14ac:dyDescent="0.55000000000000004">
      <c r="F1102" t="s">
        <v>8219</v>
      </c>
      <c r="G1102">
        <v>76</v>
      </c>
      <c r="I1102" t="s">
        <v>8221</v>
      </c>
      <c r="J1102">
        <v>4</v>
      </c>
    </row>
    <row r="1103" spans="6:10" x14ac:dyDescent="0.55000000000000004">
      <c r="F1103" t="s">
        <v>8219</v>
      </c>
      <c r="G1103">
        <v>19</v>
      </c>
      <c r="I1103" t="s">
        <v>8221</v>
      </c>
      <c r="J1103">
        <v>17</v>
      </c>
    </row>
    <row r="1104" spans="6:10" x14ac:dyDescent="0.55000000000000004">
      <c r="F1104" t="s">
        <v>8219</v>
      </c>
      <c r="G1104">
        <v>69</v>
      </c>
      <c r="I1104" t="s">
        <v>8221</v>
      </c>
      <c r="J1104">
        <v>7</v>
      </c>
    </row>
    <row r="1105" spans="6:10" x14ac:dyDescent="0.55000000000000004">
      <c r="F1105" t="s">
        <v>8219</v>
      </c>
      <c r="G1105">
        <v>218</v>
      </c>
      <c r="I1105" t="s">
        <v>8221</v>
      </c>
      <c r="J1105">
        <v>2</v>
      </c>
    </row>
    <row r="1106" spans="6:10" x14ac:dyDescent="0.55000000000000004">
      <c r="F1106" t="s">
        <v>8219</v>
      </c>
      <c r="G1106">
        <v>30</v>
      </c>
      <c r="I1106" t="s">
        <v>8221</v>
      </c>
      <c r="J1106">
        <v>5</v>
      </c>
    </row>
    <row r="1107" spans="6:10" x14ac:dyDescent="0.55000000000000004">
      <c r="F1107" t="s">
        <v>8219</v>
      </c>
      <c r="G1107">
        <v>100</v>
      </c>
      <c r="I1107" t="s">
        <v>8221</v>
      </c>
      <c r="J1107">
        <v>1</v>
      </c>
    </row>
    <row r="1108" spans="6:10" x14ac:dyDescent="0.55000000000000004">
      <c r="F1108" t="s">
        <v>8219</v>
      </c>
      <c r="G1108">
        <v>296</v>
      </c>
      <c r="I1108" t="s">
        <v>8221</v>
      </c>
      <c r="J1108">
        <v>1</v>
      </c>
    </row>
    <row r="1109" spans="6:10" x14ac:dyDescent="0.55000000000000004">
      <c r="F1109" t="s">
        <v>8219</v>
      </c>
      <c r="G1109">
        <v>1204</v>
      </c>
      <c r="I1109" t="s">
        <v>8221</v>
      </c>
      <c r="J1109">
        <v>14</v>
      </c>
    </row>
    <row r="1110" spans="6:10" x14ac:dyDescent="0.55000000000000004">
      <c r="F1110" t="s">
        <v>8219</v>
      </c>
      <c r="G1110">
        <v>321</v>
      </c>
      <c r="I1110" t="s">
        <v>8221</v>
      </c>
      <c r="J1110">
        <v>26</v>
      </c>
    </row>
    <row r="1111" spans="6:10" x14ac:dyDescent="0.55000000000000004">
      <c r="F1111" t="s">
        <v>8219</v>
      </c>
      <c r="G1111">
        <v>301</v>
      </c>
      <c r="I1111" t="s">
        <v>8221</v>
      </c>
      <c r="J1111">
        <v>2</v>
      </c>
    </row>
    <row r="1112" spans="6:10" x14ac:dyDescent="0.55000000000000004">
      <c r="F1112" t="s">
        <v>8219</v>
      </c>
      <c r="G1112">
        <v>144</v>
      </c>
      <c r="I1112" t="s">
        <v>8221</v>
      </c>
      <c r="J1112">
        <v>1</v>
      </c>
    </row>
    <row r="1113" spans="6:10" x14ac:dyDescent="0.55000000000000004">
      <c r="F1113" t="s">
        <v>8219</v>
      </c>
      <c r="G1113">
        <v>539</v>
      </c>
      <c r="I1113" t="s">
        <v>8221</v>
      </c>
      <c r="J1113">
        <v>3</v>
      </c>
    </row>
    <row r="1114" spans="6:10" x14ac:dyDescent="0.55000000000000004">
      <c r="F1114" t="s">
        <v>8219</v>
      </c>
      <c r="G1114">
        <v>498</v>
      </c>
      <c r="I1114" t="s">
        <v>8221</v>
      </c>
      <c r="J1114">
        <v>7</v>
      </c>
    </row>
    <row r="1115" spans="6:10" x14ac:dyDescent="0.55000000000000004">
      <c r="F1115" t="s">
        <v>8219</v>
      </c>
      <c r="G1115">
        <v>1113</v>
      </c>
      <c r="I1115" t="s">
        <v>8221</v>
      </c>
      <c r="J1115">
        <v>9</v>
      </c>
    </row>
    <row r="1116" spans="6:10" x14ac:dyDescent="0.55000000000000004">
      <c r="F1116" t="s">
        <v>8219</v>
      </c>
      <c r="G1116">
        <v>988</v>
      </c>
      <c r="I1116" t="s">
        <v>8221</v>
      </c>
      <c r="J1116">
        <v>20</v>
      </c>
    </row>
    <row r="1117" spans="6:10" x14ac:dyDescent="0.55000000000000004">
      <c r="F1117" t="s">
        <v>8219</v>
      </c>
      <c r="G1117">
        <v>391</v>
      </c>
      <c r="I1117" t="s">
        <v>8221</v>
      </c>
      <c r="J1117">
        <v>6</v>
      </c>
    </row>
    <row r="1118" spans="6:10" x14ac:dyDescent="0.55000000000000004">
      <c r="F1118" t="s">
        <v>8219</v>
      </c>
      <c r="G1118">
        <v>28</v>
      </c>
      <c r="I1118" t="s">
        <v>8221</v>
      </c>
      <c r="J1118">
        <v>13</v>
      </c>
    </row>
    <row r="1119" spans="6:10" x14ac:dyDescent="0.55000000000000004">
      <c r="F1119" t="s">
        <v>8219</v>
      </c>
      <c r="G1119">
        <v>147</v>
      </c>
      <c r="I1119" t="s">
        <v>8221</v>
      </c>
      <c r="J1119">
        <v>1</v>
      </c>
    </row>
    <row r="1120" spans="6:10" x14ac:dyDescent="0.55000000000000004">
      <c r="F1120" t="s">
        <v>8219</v>
      </c>
      <c r="G1120">
        <v>680</v>
      </c>
      <c r="I1120" t="s">
        <v>8221</v>
      </c>
      <c r="J1120">
        <v>202</v>
      </c>
    </row>
    <row r="1121" spans="6:10" x14ac:dyDescent="0.55000000000000004">
      <c r="F1121" t="s">
        <v>8219</v>
      </c>
      <c r="G1121">
        <v>983</v>
      </c>
      <c r="I1121" t="s">
        <v>8221</v>
      </c>
      <c r="J1121">
        <v>0</v>
      </c>
    </row>
    <row r="1122" spans="6:10" x14ac:dyDescent="0.55000000000000004">
      <c r="F1122" t="s">
        <v>8219</v>
      </c>
      <c r="G1122">
        <v>79</v>
      </c>
      <c r="I1122" t="s">
        <v>8221</v>
      </c>
      <c r="J1122">
        <v>1</v>
      </c>
    </row>
    <row r="1123" spans="6:10" x14ac:dyDescent="0.55000000000000004">
      <c r="F1123" t="s">
        <v>8219</v>
      </c>
      <c r="G1123">
        <v>426</v>
      </c>
      <c r="I1123" t="s">
        <v>8221</v>
      </c>
      <c r="J1123">
        <v>0</v>
      </c>
    </row>
    <row r="1124" spans="6:10" x14ac:dyDescent="0.55000000000000004">
      <c r="F1124" t="s">
        <v>8219</v>
      </c>
      <c r="G1124">
        <v>96</v>
      </c>
      <c r="I1124" t="s">
        <v>8221</v>
      </c>
      <c r="J1124">
        <v>2</v>
      </c>
    </row>
    <row r="1125" spans="6:10" x14ac:dyDescent="0.55000000000000004">
      <c r="F1125" t="s">
        <v>8219</v>
      </c>
      <c r="G1125">
        <v>163</v>
      </c>
      <c r="I1125" t="s">
        <v>8221</v>
      </c>
      <c r="J1125">
        <v>13</v>
      </c>
    </row>
    <row r="1126" spans="6:10" x14ac:dyDescent="0.55000000000000004">
      <c r="F1126" t="s">
        <v>8219</v>
      </c>
      <c r="G1126">
        <v>2525</v>
      </c>
      <c r="I1126" t="s">
        <v>8221</v>
      </c>
      <c r="J1126">
        <v>9</v>
      </c>
    </row>
    <row r="1127" spans="6:10" x14ac:dyDescent="0.55000000000000004">
      <c r="F1127" t="s">
        <v>8219</v>
      </c>
      <c r="G1127">
        <v>2035</v>
      </c>
      <c r="I1127" t="s">
        <v>8221</v>
      </c>
      <c r="J1127">
        <v>2</v>
      </c>
    </row>
    <row r="1128" spans="6:10" x14ac:dyDescent="0.55000000000000004">
      <c r="F1128" t="s">
        <v>8219</v>
      </c>
      <c r="G1128">
        <v>290</v>
      </c>
      <c r="I1128" t="s">
        <v>8221</v>
      </c>
      <c r="J1128">
        <v>0</v>
      </c>
    </row>
    <row r="1129" spans="6:10" x14ac:dyDescent="0.55000000000000004">
      <c r="F1129" t="s">
        <v>8219</v>
      </c>
      <c r="G1129">
        <v>1980</v>
      </c>
      <c r="I1129" t="s">
        <v>8221</v>
      </c>
      <c r="J1129">
        <v>35</v>
      </c>
    </row>
    <row r="1130" spans="6:10" x14ac:dyDescent="0.55000000000000004">
      <c r="F1130" t="s">
        <v>8219</v>
      </c>
      <c r="G1130">
        <v>57</v>
      </c>
      <c r="I1130" t="s">
        <v>8221</v>
      </c>
      <c r="J1130">
        <v>2</v>
      </c>
    </row>
    <row r="1131" spans="6:10" x14ac:dyDescent="0.55000000000000004">
      <c r="F1131" t="s">
        <v>8219</v>
      </c>
      <c r="G1131">
        <v>380</v>
      </c>
      <c r="I1131" t="s">
        <v>8221</v>
      </c>
      <c r="J1131">
        <v>3</v>
      </c>
    </row>
    <row r="1132" spans="6:10" x14ac:dyDescent="0.55000000000000004">
      <c r="F1132" t="s">
        <v>8219</v>
      </c>
      <c r="G1132">
        <v>128</v>
      </c>
      <c r="I1132" t="s">
        <v>8221</v>
      </c>
      <c r="J1132">
        <v>0</v>
      </c>
    </row>
    <row r="1133" spans="6:10" x14ac:dyDescent="0.55000000000000004">
      <c r="F1133" t="s">
        <v>8219</v>
      </c>
      <c r="G1133">
        <v>180</v>
      </c>
      <c r="I1133" t="s">
        <v>8221</v>
      </c>
      <c r="J1133">
        <v>1</v>
      </c>
    </row>
    <row r="1134" spans="6:10" x14ac:dyDescent="0.55000000000000004">
      <c r="F1134" t="s">
        <v>8219</v>
      </c>
      <c r="G1134">
        <v>571</v>
      </c>
      <c r="I1134" t="s">
        <v>8221</v>
      </c>
      <c r="J1134">
        <v>0</v>
      </c>
    </row>
    <row r="1135" spans="6:10" x14ac:dyDescent="0.55000000000000004">
      <c r="F1135" t="s">
        <v>8219</v>
      </c>
      <c r="G1135">
        <v>480</v>
      </c>
      <c r="I1135" t="s">
        <v>8221</v>
      </c>
      <c r="J1135">
        <v>0</v>
      </c>
    </row>
    <row r="1136" spans="6:10" x14ac:dyDescent="0.55000000000000004">
      <c r="F1136" t="s">
        <v>8219</v>
      </c>
      <c r="G1136">
        <v>249</v>
      </c>
      <c r="I1136" t="s">
        <v>8221</v>
      </c>
      <c r="J1136">
        <v>3</v>
      </c>
    </row>
    <row r="1137" spans="6:10" x14ac:dyDescent="0.55000000000000004">
      <c r="F1137" t="s">
        <v>8219</v>
      </c>
      <c r="G1137">
        <v>84</v>
      </c>
      <c r="I1137" t="s">
        <v>8221</v>
      </c>
      <c r="J1137">
        <v>11</v>
      </c>
    </row>
    <row r="1138" spans="6:10" x14ac:dyDescent="0.55000000000000004">
      <c r="F1138" t="s">
        <v>8219</v>
      </c>
      <c r="G1138">
        <v>197</v>
      </c>
      <c r="I1138" t="s">
        <v>8221</v>
      </c>
      <c r="J1138">
        <v>6</v>
      </c>
    </row>
    <row r="1139" spans="6:10" x14ac:dyDescent="0.55000000000000004">
      <c r="F1139" t="s">
        <v>8219</v>
      </c>
      <c r="G1139">
        <v>271</v>
      </c>
      <c r="I1139" t="s">
        <v>8221</v>
      </c>
      <c r="J1139">
        <v>0</v>
      </c>
    </row>
    <row r="1140" spans="6:10" x14ac:dyDescent="0.55000000000000004">
      <c r="F1140" t="s">
        <v>8219</v>
      </c>
      <c r="G1140">
        <v>50</v>
      </c>
      <c r="I1140" t="s">
        <v>8221</v>
      </c>
      <c r="J1140">
        <v>67</v>
      </c>
    </row>
    <row r="1141" spans="6:10" x14ac:dyDescent="0.55000000000000004">
      <c r="F1141" t="s">
        <v>8219</v>
      </c>
      <c r="G1141">
        <v>169</v>
      </c>
      <c r="I1141" t="s">
        <v>8221</v>
      </c>
      <c r="J1141">
        <v>23</v>
      </c>
    </row>
    <row r="1142" spans="6:10" x14ac:dyDescent="0.55000000000000004">
      <c r="F1142" t="s">
        <v>8219</v>
      </c>
      <c r="G1142">
        <v>205</v>
      </c>
      <c r="I1142" t="s">
        <v>8221</v>
      </c>
      <c r="J1142">
        <v>72</v>
      </c>
    </row>
    <row r="1143" spans="6:10" x14ac:dyDescent="0.55000000000000004">
      <c r="F1143" t="s">
        <v>8219</v>
      </c>
      <c r="G1143">
        <v>206</v>
      </c>
      <c r="I1143" t="s">
        <v>8221</v>
      </c>
      <c r="J1143">
        <v>2</v>
      </c>
    </row>
    <row r="1144" spans="6:10" x14ac:dyDescent="0.55000000000000004">
      <c r="F1144" t="s">
        <v>8219</v>
      </c>
      <c r="G1144">
        <v>84</v>
      </c>
      <c r="I1144" t="s">
        <v>8221</v>
      </c>
      <c r="J1144">
        <v>15</v>
      </c>
    </row>
    <row r="1145" spans="6:10" x14ac:dyDescent="0.55000000000000004">
      <c r="F1145" t="s">
        <v>8219</v>
      </c>
      <c r="G1145">
        <v>210</v>
      </c>
      <c r="I1145" t="s">
        <v>8221</v>
      </c>
      <c r="J1145">
        <v>1</v>
      </c>
    </row>
    <row r="1146" spans="6:10" x14ac:dyDescent="0.55000000000000004">
      <c r="F1146" t="s">
        <v>8219</v>
      </c>
      <c r="G1146">
        <v>181</v>
      </c>
      <c r="I1146" t="s">
        <v>8221</v>
      </c>
      <c r="J1146">
        <v>2</v>
      </c>
    </row>
    <row r="1147" spans="6:10" x14ac:dyDescent="0.55000000000000004">
      <c r="F1147" t="s">
        <v>8219</v>
      </c>
      <c r="G1147">
        <v>60</v>
      </c>
      <c r="I1147" t="s">
        <v>8221</v>
      </c>
      <c r="J1147">
        <v>7</v>
      </c>
    </row>
    <row r="1148" spans="6:10" x14ac:dyDescent="0.55000000000000004">
      <c r="F1148" t="s">
        <v>8219</v>
      </c>
      <c r="G1148">
        <v>445</v>
      </c>
      <c r="I1148" t="s">
        <v>8221</v>
      </c>
      <c r="J1148">
        <v>16</v>
      </c>
    </row>
    <row r="1149" spans="6:10" x14ac:dyDescent="0.55000000000000004">
      <c r="F1149" t="s">
        <v>8219</v>
      </c>
      <c r="G1149">
        <v>17</v>
      </c>
      <c r="I1149" t="s">
        <v>8221</v>
      </c>
      <c r="J1149">
        <v>117</v>
      </c>
    </row>
    <row r="1150" spans="6:10" x14ac:dyDescent="0.55000000000000004">
      <c r="F1150" t="s">
        <v>8219</v>
      </c>
      <c r="G1150">
        <v>194</v>
      </c>
      <c r="I1150" t="s">
        <v>8221</v>
      </c>
      <c r="J1150">
        <v>2</v>
      </c>
    </row>
    <row r="1151" spans="6:10" x14ac:dyDescent="0.55000000000000004">
      <c r="F1151" t="s">
        <v>8219</v>
      </c>
      <c r="G1151">
        <v>404</v>
      </c>
      <c r="I1151" t="s">
        <v>8221</v>
      </c>
      <c r="J1151">
        <v>7</v>
      </c>
    </row>
    <row r="1152" spans="6:10" x14ac:dyDescent="0.55000000000000004">
      <c r="F1152" t="s">
        <v>8219</v>
      </c>
      <c r="G1152">
        <v>194</v>
      </c>
      <c r="I1152" t="s">
        <v>8221</v>
      </c>
      <c r="J1152">
        <v>3</v>
      </c>
    </row>
    <row r="1153" spans="6:10" x14ac:dyDescent="0.55000000000000004">
      <c r="F1153" t="s">
        <v>8219</v>
      </c>
      <c r="G1153">
        <v>902</v>
      </c>
      <c r="I1153" t="s">
        <v>8221</v>
      </c>
      <c r="J1153">
        <v>20</v>
      </c>
    </row>
    <row r="1154" spans="6:10" x14ac:dyDescent="0.55000000000000004">
      <c r="F1154" t="s">
        <v>8219</v>
      </c>
      <c r="G1154">
        <v>1670</v>
      </c>
      <c r="I1154" t="s">
        <v>8221</v>
      </c>
      <c r="J1154">
        <v>50</v>
      </c>
    </row>
    <row r="1155" spans="6:10" x14ac:dyDescent="0.55000000000000004">
      <c r="F1155" t="s">
        <v>8219</v>
      </c>
      <c r="G1155">
        <v>1328</v>
      </c>
      <c r="I1155" t="s">
        <v>8221</v>
      </c>
      <c r="J1155">
        <v>2</v>
      </c>
    </row>
    <row r="1156" spans="6:10" x14ac:dyDescent="0.55000000000000004">
      <c r="F1156" t="s">
        <v>8219</v>
      </c>
      <c r="G1156">
        <v>944</v>
      </c>
      <c r="I1156" t="s">
        <v>8221</v>
      </c>
      <c r="J1156">
        <v>3</v>
      </c>
    </row>
    <row r="1157" spans="6:10" x14ac:dyDescent="0.55000000000000004">
      <c r="F1157" t="s">
        <v>8219</v>
      </c>
      <c r="G1157">
        <v>147</v>
      </c>
      <c r="I1157" t="s">
        <v>8221</v>
      </c>
      <c r="J1157">
        <v>27</v>
      </c>
    </row>
    <row r="1158" spans="6:10" x14ac:dyDescent="0.55000000000000004">
      <c r="F1158" t="s">
        <v>8219</v>
      </c>
      <c r="G1158">
        <v>99</v>
      </c>
      <c r="I1158" t="s">
        <v>8221</v>
      </c>
      <c r="J1158">
        <v>7</v>
      </c>
    </row>
    <row r="1159" spans="6:10" x14ac:dyDescent="0.55000000000000004">
      <c r="F1159" t="s">
        <v>8219</v>
      </c>
      <c r="G1159">
        <v>79</v>
      </c>
      <c r="I1159" t="s">
        <v>8221</v>
      </c>
      <c r="J1159">
        <v>5</v>
      </c>
    </row>
    <row r="1160" spans="6:10" x14ac:dyDescent="0.55000000000000004">
      <c r="F1160" t="s">
        <v>8219</v>
      </c>
      <c r="G1160">
        <v>75</v>
      </c>
      <c r="I1160" t="s">
        <v>8221</v>
      </c>
      <c r="J1160">
        <v>0</v>
      </c>
    </row>
    <row r="1161" spans="6:10" x14ac:dyDescent="0.55000000000000004">
      <c r="F1161" t="s">
        <v>8219</v>
      </c>
      <c r="G1161">
        <v>207</v>
      </c>
      <c r="I1161" t="s">
        <v>8221</v>
      </c>
      <c r="J1161">
        <v>3</v>
      </c>
    </row>
    <row r="1162" spans="6:10" x14ac:dyDescent="0.55000000000000004">
      <c r="F1162" t="s">
        <v>8219</v>
      </c>
      <c r="G1162">
        <v>102</v>
      </c>
      <c r="I1162" t="s">
        <v>8221</v>
      </c>
      <c r="J1162">
        <v>6</v>
      </c>
    </row>
    <row r="1163" spans="6:10" x14ac:dyDescent="0.55000000000000004">
      <c r="F1163" t="s">
        <v>8219</v>
      </c>
      <c r="G1163">
        <v>32</v>
      </c>
      <c r="I1163" t="s">
        <v>8221</v>
      </c>
      <c r="J1163">
        <v>9</v>
      </c>
    </row>
    <row r="1164" spans="6:10" x14ac:dyDescent="0.55000000000000004">
      <c r="F1164" t="s">
        <v>8219</v>
      </c>
      <c r="G1164">
        <v>480</v>
      </c>
      <c r="I1164" t="s">
        <v>8221</v>
      </c>
      <c r="J1164">
        <v>3</v>
      </c>
    </row>
    <row r="1165" spans="6:10" x14ac:dyDescent="0.55000000000000004">
      <c r="F1165" t="s">
        <v>8219</v>
      </c>
      <c r="G1165">
        <v>11</v>
      </c>
      <c r="I1165" t="s">
        <v>8221</v>
      </c>
      <c r="J1165">
        <v>2</v>
      </c>
    </row>
    <row r="1166" spans="6:10" x14ac:dyDescent="0.55000000000000004">
      <c r="F1166" t="s">
        <v>8219</v>
      </c>
      <c r="G1166">
        <v>12</v>
      </c>
      <c r="I1166" t="s">
        <v>8221</v>
      </c>
      <c r="J1166">
        <v>3</v>
      </c>
    </row>
    <row r="1167" spans="6:10" x14ac:dyDescent="0.55000000000000004">
      <c r="F1167" t="s">
        <v>8219</v>
      </c>
      <c r="G1167">
        <v>48</v>
      </c>
      <c r="I1167" t="s">
        <v>8221</v>
      </c>
      <c r="J1167">
        <v>45</v>
      </c>
    </row>
    <row r="1168" spans="6:10" x14ac:dyDescent="0.55000000000000004">
      <c r="F1168" t="s">
        <v>8219</v>
      </c>
      <c r="G1168">
        <v>59</v>
      </c>
      <c r="I1168" t="s">
        <v>8221</v>
      </c>
      <c r="J1168">
        <v>9</v>
      </c>
    </row>
    <row r="1169" spans="6:10" x14ac:dyDescent="0.55000000000000004">
      <c r="F1169" t="s">
        <v>8219</v>
      </c>
      <c r="G1169">
        <v>79</v>
      </c>
      <c r="I1169" t="s">
        <v>8221</v>
      </c>
      <c r="J1169">
        <v>9</v>
      </c>
    </row>
    <row r="1170" spans="6:10" x14ac:dyDescent="0.55000000000000004">
      <c r="F1170" t="s">
        <v>8219</v>
      </c>
      <c r="G1170">
        <v>14</v>
      </c>
      <c r="I1170" t="s">
        <v>8221</v>
      </c>
      <c r="J1170">
        <v>21</v>
      </c>
    </row>
    <row r="1171" spans="6:10" x14ac:dyDescent="0.55000000000000004">
      <c r="F1171" t="s">
        <v>8219</v>
      </c>
      <c r="G1171">
        <v>106</v>
      </c>
      <c r="I1171" t="s">
        <v>8221</v>
      </c>
      <c r="J1171">
        <v>17</v>
      </c>
    </row>
    <row r="1172" spans="6:10" x14ac:dyDescent="0.55000000000000004">
      <c r="F1172" t="s">
        <v>8219</v>
      </c>
      <c r="G1172">
        <v>25</v>
      </c>
      <c r="I1172" t="s">
        <v>8221</v>
      </c>
      <c r="J1172">
        <v>1</v>
      </c>
    </row>
    <row r="1173" spans="6:10" x14ac:dyDescent="0.55000000000000004">
      <c r="F1173" t="s">
        <v>8219</v>
      </c>
      <c r="G1173">
        <v>25</v>
      </c>
      <c r="I1173" t="s">
        <v>8221</v>
      </c>
      <c r="J1173">
        <v>1</v>
      </c>
    </row>
    <row r="1174" spans="6:10" x14ac:dyDescent="0.55000000000000004">
      <c r="F1174" t="s">
        <v>8219</v>
      </c>
      <c r="G1174">
        <v>29</v>
      </c>
      <c r="I1174" t="s">
        <v>8221</v>
      </c>
      <c r="J1174">
        <v>14</v>
      </c>
    </row>
    <row r="1175" spans="6:10" x14ac:dyDescent="0.55000000000000004">
      <c r="F1175" t="s">
        <v>8219</v>
      </c>
      <c r="G1175">
        <v>43</v>
      </c>
      <c r="I1175" t="s">
        <v>8221</v>
      </c>
      <c r="J1175">
        <v>42</v>
      </c>
    </row>
    <row r="1176" spans="6:10" x14ac:dyDescent="0.55000000000000004">
      <c r="F1176" t="s">
        <v>8219</v>
      </c>
      <c r="G1176">
        <v>46</v>
      </c>
      <c r="I1176" t="s">
        <v>8221</v>
      </c>
      <c r="J1176">
        <v>27</v>
      </c>
    </row>
    <row r="1177" spans="6:10" x14ac:dyDescent="0.55000000000000004">
      <c r="F1177" t="s">
        <v>8219</v>
      </c>
      <c r="G1177">
        <v>27</v>
      </c>
      <c r="I1177" t="s">
        <v>8221</v>
      </c>
      <c r="J1177">
        <v>5</v>
      </c>
    </row>
    <row r="1178" spans="6:10" x14ac:dyDescent="0.55000000000000004">
      <c r="F1178" t="s">
        <v>8219</v>
      </c>
      <c r="G1178">
        <v>112</v>
      </c>
      <c r="I1178" t="s">
        <v>8221</v>
      </c>
      <c r="J1178">
        <v>13</v>
      </c>
    </row>
    <row r="1179" spans="6:10" x14ac:dyDescent="0.55000000000000004">
      <c r="F1179" t="s">
        <v>8219</v>
      </c>
      <c r="G1179">
        <v>34</v>
      </c>
      <c r="I1179" t="s">
        <v>8221</v>
      </c>
      <c r="J1179">
        <v>12</v>
      </c>
    </row>
    <row r="1180" spans="6:10" x14ac:dyDescent="0.55000000000000004">
      <c r="F1180" t="s">
        <v>8219</v>
      </c>
      <c r="G1180">
        <v>145</v>
      </c>
      <c r="I1180" t="s">
        <v>8221</v>
      </c>
      <c r="J1180">
        <v>90</v>
      </c>
    </row>
    <row r="1181" spans="6:10" x14ac:dyDescent="0.55000000000000004">
      <c r="F1181" t="s">
        <v>8219</v>
      </c>
      <c r="G1181">
        <v>19</v>
      </c>
      <c r="I1181" t="s">
        <v>8221</v>
      </c>
      <c r="J1181">
        <v>2</v>
      </c>
    </row>
    <row r="1182" spans="6:10" x14ac:dyDescent="0.55000000000000004">
      <c r="F1182" t="s">
        <v>8219</v>
      </c>
      <c r="G1182">
        <v>288</v>
      </c>
      <c r="I1182" t="s">
        <v>8221</v>
      </c>
      <c r="J1182">
        <v>5</v>
      </c>
    </row>
    <row r="1183" spans="6:10" x14ac:dyDescent="0.55000000000000004">
      <c r="F1183" t="s">
        <v>8219</v>
      </c>
      <c r="G1183">
        <v>14</v>
      </c>
      <c r="I1183" t="s">
        <v>8221</v>
      </c>
      <c r="J1183">
        <v>31</v>
      </c>
    </row>
    <row r="1184" spans="6:10" x14ac:dyDescent="0.55000000000000004">
      <c r="F1184" t="s">
        <v>8219</v>
      </c>
      <c r="G1184">
        <v>7</v>
      </c>
      <c r="I1184" t="s">
        <v>8221</v>
      </c>
      <c r="J1184">
        <v>4</v>
      </c>
    </row>
    <row r="1185" spans="6:10" x14ac:dyDescent="0.55000000000000004">
      <c r="F1185" t="s">
        <v>8219</v>
      </c>
      <c r="G1185">
        <v>211</v>
      </c>
      <c r="I1185" t="s">
        <v>8221</v>
      </c>
      <c r="J1185">
        <v>29</v>
      </c>
    </row>
    <row r="1186" spans="6:10" x14ac:dyDescent="0.55000000000000004">
      <c r="F1186" t="s">
        <v>8219</v>
      </c>
      <c r="G1186">
        <v>85</v>
      </c>
      <c r="I1186" t="s">
        <v>8221</v>
      </c>
      <c r="J1186">
        <v>2</v>
      </c>
    </row>
    <row r="1187" spans="6:10" x14ac:dyDescent="0.55000000000000004">
      <c r="F1187" t="s">
        <v>8219</v>
      </c>
      <c r="G1187">
        <v>103</v>
      </c>
      <c r="I1187" t="s">
        <v>8221</v>
      </c>
      <c r="J1187">
        <v>114</v>
      </c>
    </row>
    <row r="1188" spans="6:10" x14ac:dyDescent="0.55000000000000004">
      <c r="F1188" t="s">
        <v>8219</v>
      </c>
      <c r="G1188">
        <v>113</v>
      </c>
      <c r="I1188" t="s">
        <v>8221</v>
      </c>
      <c r="J1188">
        <v>1</v>
      </c>
    </row>
    <row r="1189" spans="6:10" x14ac:dyDescent="0.55000000000000004">
      <c r="F1189" t="s">
        <v>8219</v>
      </c>
      <c r="G1189">
        <v>167</v>
      </c>
      <c r="I1189" t="s">
        <v>8221</v>
      </c>
      <c r="J1189">
        <v>76</v>
      </c>
    </row>
    <row r="1190" spans="6:10" x14ac:dyDescent="0.55000000000000004">
      <c r="F1190" t="s">
        <v>8219</v>
      </c>
      <c r="G1190">
        <v>73</v>
      </c>
      <c r="I1190" t="s">
        <v>8221</v>
      </c>
      <c r="J1190">
        <v>9</v>
      </c>
    </row>
    <row r="1191" spans="6:10" x14ac:dyDescent="0.55000000000000004">
      <c r="F1191" t="s">
        <v>8219</v>
      </c>
      <c r="G1191">
        <v>75</v>
      </c>
      <c r="I1191" t="s">
        <v>8221</v>
      </c>
      <c r="J1191">
        <v>37</v>
      </c>
    </row>
    <row r="1192" spans="6:10" x14ac:dyDescent="0.55000000000000004">
      <c r="F1192" t="s">
        <v>8219</v>
      </c>
      <c r="G1192">
        <v>614</v>
      </c>
      <c r="I1192" t="s">
        <v>8221</v>
      </c>
      <c r="J1192">
        <v>0</v>
      </c>
    </row>
    <row r="1193" spans="6:10" x14ac:dyDescent="0.55000000000000004">
      <c r="F1193" t="s">
        <v>8219</v>
      </c>
      <c r="G1193">
        <v>107</v>
      </c>
      <c r="I1193" t="s">
        <v>8221</v>
      </c>
      <c r="J1193">
        <v>1</v>
      </c>
    </row>
    <row r="1194" spans="6:10" x14ac:dyDescent="0.55000000000000004">
      <c r="F1194" t="s">
        <v>8219</v>
      </c>
      <c r="G1194">
        <v>1224</v>
      </c>
      <c r="I1194" t="s">
        <v>8221</v>
      </c>
      <c r="J1194">
        <v>10</v>
      </c>
    </row>
    <row r="1195" spans="6:10" x14ac:dyDescent="0.55000000000000004">
      <c r="F1195" t="s">
        <v>8219</v>
      </c>
      <c r="G1195">
        <v>104</v>
      </c>
      <c r="I1195" t="s">
        <v>8221</v>
      </c>
      <c r="J1195">
        <v>1</v>
      </c>
    </row>
    <row r="1196" spans="6:10" x14ac:dyDescent="0.55000000000000004">
      <c r="F1196" t="s">
        <v>8219</v>
      </c>
      <c r="G1196">
        <v>79</v>
      </c>
      <c r="I1196" t="s">
        <v>8221</v>
      </c>
      <c r="J1196">
        <v>2</v>
      </c>
    </row>
    <row r="1197" spans="6:10" x14ac:dyDescent="0.55000000000000004">
      <c r="F1197" t="s">
        <v>8219</v>
      </c>
      <c r="G1197">
        <v>157</v>
      </c>
      <c r="I1197" t="s">
        <v>8221</v>
      </c>
      <c r="J1197">
        <v>1</v>
      </c>
    </row>
    <row r="1198" spans="6:10" x14ac:dyDescent="0.55000000000000004">
      <c r="F1198" t="s">
        <v>8219</v>
      </c>
      <c r="G1198">
        <v>50</v>
      </c>
      <c r="I1198" t="s">
        <v>8221</v>
      </c>
      <c r="J1198">
        <v>10</v>
      </c>
    </row>
    <row r="1199" spans="6:10" x14ac:dyDescent="0.55000000000000004">
      <c r="F1199" t="s">
        <v>8219</v>
      </c>
      <c r="G1199">
        <v>64</v>
      </c>
      <c r="I1199" t="s">
        <v>8221</v>
      </c>
      <c r="J1199">
        <v>9</v>
      </c>
    </row>
    <row r="1200" spans="6:10" x14ac:dyDescent="0.55000000000000004">
      <c r="F1200" t="s">
        <v>8219</v>
      </c>
      <c r="G1200">
        <v>200</v>
      </c>
      <c r="I1200" t="s">
        <v>8221</v>
      </c>
      <c r="J1200">
        <v>19</v>
      </c>
    </row>
    <row r="1201" spans="6:10" x14ac:dyDescent="0.55000000000000004">
      <c r="F1201" t="s">
        <v>8219</v>
      </c>
      <c r="G1201">
        <v>22</v>
      </c>
      <c r="I1201" t="s">
        <v>8221</v>
      </c>
      <c r="J1201">
        <v>0</v>
      </c>
    </row>
    <row r="1202" spans="6:10" x14ac:dyDescent="0.55000000000000004">
      <c r="F1202" t="s">
        <v>8219</v>
      </c>
      <c r="G1202">
        <v>163</v>
      </c>
      <c r="I1202" t="s">
        <v>8221</v>
      </c>
      <c r="J1202">
        <v>4</v>
      </c>
    </row>
    <row r="1203" spans="6:10" x14ac:dyDescent="0.55000000000000004">
      <c r="F1203" t="s">
        <v>8219</v>
      </c>
      <c r="G1203">
        <v>77</v>
      </c>
      <c r="I1203" t="s">
        <v>8221</v>
      </c>
      <c r="J1203">
        <v>8</v>
      </c>
    </row>
    <row r="1204" spans="6:10" x14ac:dyDescent="0.55000000000000004">
      <c r="F1204" t="s">
        <v>8219</v>
      </c>
      <c r="G1204">
        <v>89</v>
      </c>
      <c r="I1204" t="s">
        <v>8221</v>
      </c>
      <c r="J1204">
        <v>24</v>
      </c>
    </row>
    <row r="1205" spans="6:10" x14ac:dyDescent="0.55000000000000004">
      <c r="F1205" t="s">
        <v>8219</v>
      </c>
      <c r="G1205">
        <v>3355</v>
      </c>
      <c r="I1205" t="s">
        <v>8221</v>
      </c>
      <c r="J1205">
        <v>0</v>
      </c>
    </row>
    <row r="1206" spans="6:10" x14ac:dyDescent="0.55000000000000004">
      <c r="F1206" t="s">
        <v>8219</v>
      </c>
      <c r="G1206">
        <v>537</v>
      </c>
      <c r="I1206" t="s">
        <v>8221</v>
      </c>
      <c r="J1206">
        <v>39</v>
      </c>
    </row>
    <row r="1207" spans="6:10" x14ac:dyDescent="0.55000000000000004">
      <c r="F1207" t="s">
        <v>8219</v>
      </c>
      <c r="G1207">
        <v>125</v>
      </c>
      <c r="I1207" t="s">
        <v>8221</v>
      </c>
      <c r="J1207">
        <v>6</v>
      </c>
    </row>
    <row r="1208" spans="6:10" x14ac:dyDescent="0.55000000000000004">
      <c r="F1208" t="s">
        <v>8219</v>
      </c>
      <c r="G1208">
        <v>163</v>
      </c>
      <c r="I1208" t="s">
        <v>8221</v>
      </c>
      <c r="J1208">
        <v>4</v>
      </c>
    </row>
    <row r="1209" spans="6:10" x14ac:dyDescent="0.55000000000000004">
      <c r="F1209" t="s">
        <v>8219</v>
      </c>
      <c r="G1209">
        <v>283</v>
      </c>
      <c r="I1209" t="s">
        <v>8221</v>
      </c>
      <c r="J1209">
        <v>3</v>
      </c>
    </row>
    <row r="1210" spans="6:10" x14ac:dyDescent="0.55000000000000004">
      <c r="F1210" t="s">
        <v>8219</v>
      </c>
      <c r="G1210">
        <v>352</v>
      </c>
      <c r="I1210" t="s">
        <v>8221</v>
      </c>
      <c r="J1210">
        <v>53</v>
      </c>
    </row>
    <row r="1211" spans="6:10" x14ac:dyDescent="0.55000000000000004">
      <c r="F1211" t="s">
        <v>8219</v>
      </c>
      <c r="G1211">
        <v>94</v>
      </c>
      <c r="I1211" t="s">
        <v>8221</v>
      </c>
      <c r="J1211">
        <v>1</v>
      </c>
    </row>
    <row r="1212" spans="6:10" x14ac:dyDescent="0.55000000000000004">
      <c r="F1212" t="s">
        <v>8219</v>
      </c>
      <c r="G1212">
        <v>67</v>
      </c>
      <c r="I1212" t="s">
        <v>8221</v>
      </c>
      <c r="J1212">
        <v>2</v>
      </c>
    </row>
    <row r="1213" spans="6:10" x14ac:dyDescent="0.55000000000000004">
      <c r="F1213" t="s">
        <v>8219</v>
      </c>
      <c r="G1213">
        <v>221</v>
      </c>
      <c r="I1213" t="s">
        <v>8221</v>
      </c>
      <c r="J1213">
        <v>25</v>
      </c>
    </row>
    <row r="1214" spans="6:10" x14ac:dyDescent="0.55000000000000004">
      <c r="F1214" t="s">
        <v>8219</v>
      </c>
      <c r="G1214">
        <v>2165</v>
      </c>
      <c r="I1214" t="s">
        <v>8221</v>
      </c>
      <c r="J1214">
        <v>6</v>
      </c>
    </row>
    <row r="1215" spans="6:10" x14ac:dyDescent="0.55000000000000004">
      <c r="F1215" t="s">
        <v>8219</v>
      </c>
      <c r="G1215">
        <v>179</v>
      </c>
      <c r="I1215" t="s">
        <v>8221</v>
      </c>
      <c r="J1215">
        <v>0</v>
      </c>
    </row>
    <row r="1216" spans="6:10" x14ac:dyDescent="0.55000000000000004">
      <c r="F1216" t="s">
        <v>8219</v>
      </c>
      <c r="G1216">
        <v>123</v>
      </c>
      <c r="I1216" t="s">
        <v>8221</v>
      </c>
      <c r="J1216">
        <v>12</v>
      </c>
    </row>
    <row r="1217" spans="6:10" x14ac:dyDescent="0.55000000000000004">
      <c r="F1217" t="s">
        <v>8219</v>
      </c>
      <c r="G1217">
        <v>1104</v>
      </c>
      <c r="I1217" t="s">
        <v>8221</v>
      </c>
      <c r="J1217">
        <v>0</v>
      </c>
    </row>
    <row r="1218" spans="6:10" x14ac:dyDescent="0.55000000000000004">
      <c r="F1218" t="s">
        <v>8219</v>
      </c>
      <c r="G1218">
        <v>403</v>
      </c>
      <c r="I1218" t="s">
        <v>8221</v>
      </c>
      <c r="J1218">
        <v>36</v>
      </c>
    </row>
    <row r="1219" spans="6:10" x14ac:dyDescent="0.55000000000000004">
      <c r="F1219" t="s">
        <v>8219</v>
      </c>
      <c r="G1219">
        <v>109</v>
      </c>
      <c r="I1219" t="s">
        <v>8221</v>
      </c>
      <c r="J1219">
        <v>0</v>
      </c>
    </row>
    <row r="1220" spans="6:10" x14ac:dyDescent="0.55000000000000004">
      <c r="F1220" t="s">
        <v>8219</v>
      </c>
      <c r="G1220">
        <v>372</v>
      </c>
      <c r="I1220" t="s">
        <v>8221</v>
      </c>
      <c r="J1220">
        <v>2</v>
      </c>
    </row>
    <row r="1221" spans="6:10" x14ac:dyDescent="0.55000000000000004">
      <c r="F1221" t="s">
        <v>8219</v>
      </c>
      <c r="G1221">
        <v>311</v>
      </c>
      <c r="I1221" t="s">
        <v>8221</v>
      </c>
      <c r="J1221">
        <v>1</v>
      </c>
    </row>
    <row r="1222" spans="6:10" x14ac:dyDescent="0.55000000000000004">
      <c r="F1222" t="s">
        <v>8219</v>
      </c>
      <c r="G1222">
        <v>61</v>
      </c>
      <c r="I1222" t="s">
        <v>8221</v>
      </c>
      <c r="J1222">
        <v>59</v>
      </c>
    </row>
    <row r="1223" spans="6:10" x14ac:dyDescent="0.55000000000000004">
      <c r="F1223" t="s">
        <v>8219</v>
      </c>
      <c r="G1223">
        <v>115</v>
      </c>
      <c r="I1223" t="s">
        <v>8221</v>
      </c>
      <c r="J1223">
        <v>1</v>
      </c>
    </row>
    <row r="1224" spans="6:10" x14ac:dyDescent="0.55000000000000004">
      <c r="F1224" t="s">
        <v>8219</v>
      </c>
      <c r="G1224">
        <v>111</v>
      </c>
      <c r="I1224" t="s">
        <v>8221</v>
      </c>
      <c r="J1224">
        <v>31</v>
      </c>
    </row>
    <row r="1225" spans="6:10" x14ac:dyDescent="0.55000000000000004">
      <c r="F1225" t="s">
        <v>8219</v>
      </c>
      <c r="G1225">
        <v>337</v>
      </c>
      <c r="I1225" t="s">
        <v>8221</v>
      </c>
      <c r="J1225">
        <v>18</v>
      </c>
    </row>
    <row r="1226" spans="6:10" x14ac:dyDescent="0.55000000000000004">
      <c r="F1226" t="s">
        <v>8219</v>
      </c>
      <c r="G1226">
        <v>9</v>
      </c>
      <c r="I1226" t="s">
        <v>8221</v>
      </c>
      <c r="J1226">
        <v>10</v>
      </c>
    </row>
    <row r="1227" spans="6:10" x14ac:dyDescent="0.55000000000000004">
      <c r="F1227" t="s">
        <v>8219</v>
      </c>
      <c r="G1227">
        <v>120</v>
      </c>
      <c r="I1227" t="s">
        <v>8221</v>
      </c>
      <c r="J1227">
        <v>0</v>
      </c>
    </row>
    <row r="1228" spans="6:10" x14ac:dyDescent="0.55000000000000004">
      <c r="F1228" t="s">
        <v>8219</v>
      </c>
      <c r="G1228">
        <v>102</v>
      </c>
      <c r="I1228" t="s">
        <v>8221</v>
      </c>
      <c r="J1228">
        <v>14</v>
      </c>
    </row>
    <row r="1229" spans="6:10" x14ac:dyDescent="0.55000000000000004">
      <c r="F1229" t="s">
        <v>8219</v>
      </c>
      <c r="G1229">
        <v>186</v>
      </c>
      <c r="I1229" t="s">
        <v>8221</v>
      </c>
      <c r="J1229">
        <v>2</v>
      </c>
    </row>
    <row r="1230" spans="6:10" x14ac:dyDescent="0.55000000000000004">
      <c r="F1230" t="s">
        <v>8219</v>
      </c>
      <c r="G1230">
        <v>15</v>
      </c>
      <c r="I1230" t="s">
        <v>8221</v>
      </c>
      <c r="J1230">
        <v>1</v>
      </c>
    </row>
    <row r="1231" spans="6:10" x14ac:dyDescent="0.55000000000000004">
      <c r="F1231" t="s">
        <v>8219</v>
      </c>
      <c r="G1231">
        <v>67</v>
      </c>
      <c r="I1231" t="s">
        <v>8221</v>
      </c>
      <c r="J1231">
        <v>3</v>
      </c>
    </row>
    <row r="1232" spans="6:10" x14ac:dyDescent="0.55000000000000004">
      <c r="F1232" t="s">
        <v>8219</v>
      </c>
      <c r="G1232">
        <v>130</v>
      </c>
      <c r="I1232" t="s">
        <v>8221</v>
      </c>
      <c r="J1232">
        <v>0</v>
      </c>
    </row>
    <row r="1233" spans="6:10" x14ac:dyDescent="0.55000000000000004">
      <c r="F1233" t="s">
        <v>8219</v>
      </c>
      <c r="G1233">
        <v>16</v>
      </c>
      <c r="I1233" t="s">
        <v>8221</v>
      </c>
      <c r="J1233">
        <v>2</v>
      </c>
    </row>
    <row r="1234" spans="6:10" x14ac:dyDescent="0.55000000000000004">
      <c r="F1234" t="s">
        <v>8219</v>
      </c>
      <c r="G1234">
        <v>67</v>
      </c>
      <c r="I1234" t="s">
        <v>8221</v>
      </c>
      <c r="J1234">
        <v>0</v>
      </c>
    </row>
    <row r="1235" spans="6:10" x14ac:dyDescent="0.55000000000000004">
      <c r="F1235" t="s">
        <v>8219</v>
      </c>
      <c r="G1235">
        <v>124</v>
      </c>
      <c r="I1235" t="s">
        <v>8221</v>
      </c>
      <c r="J1235">
        <v>12</v>
      </c>
    </row>
    <row r="1236" spans="6:10" x14ac:dyDescent="0.55000000000000004">
      <c r="F1236" t="s">
        <v>8219</v>
      </c>
      <c r="G1236">
        <v>80</v>
      </c>
      <c r="I1236" t="s">
        <v>8221</v>
      </c>
      <c r="J1236">
        <v>1</v>
      </c>
    </row>
    <row r="1237" spans="6:10" x14ac:dyDescent="0.55000000000000004">
      <c r="F1237" t="s">
        <v>8219</v>
      </c>
      <c r="G1237">
        <v>282</v>
      </c>
      <c r="I1237" t="s">
        <v>8221</v>
      </c>
      <c r="J1237">
        <v>8</v>
      </c>
    </row>
    <row r="1238" spans="6:10" x14ac:dyDescent="0.55000000000000004">
      <c r="F1238" t="s">
        <v>8219</v>
      </c>
      <c r="G1238">
        <v>68</v>
      </c>
      <c r="I1238" t="s">
        <v>8221</v>
      </c>
      <c r="J1238">
        <v>2</v>
      </c>
    </row>
    <row r="1239" spans="6:10" x14ac:dyDescent="0.55000000000000004">
      <c r="F1239" t="s">
        <v>8219</v>
      </c>
      <c r="G1239">
        <v>86</v>
      </c>
      <c r="I1239" t="s">
        <v>8221</v>
      </c>
      <c r="J1239">
        <v>31</v>
      </c>
    </row>
    <row r="1240" spans="6:10" x14ac:dyDescent="0.55000000000000004">
      <c r="F1240" t="s">
        <v>8219</v>
      </c>
      <c r="G1240">
        <v>115</v>
      </c>
      <c r="I1240" t="s">
        <v>8221</v>
      </c>
      <c r="J1240">
        <v>5</v>
      </c>
    </row>
    <row r="1241" spans="6:10" x14ac:dyDescent="0.55000000000000004">
      <c r="F1241" t="s">
        <v>8219</v>
      </c>
      <c r="G1241">
        <v>75</v>
      </c>
      <c r="I1241" t="s">
        <v>8221</v>
      </c>
      <c r="J1241">
        <v>1</v>
      </c>
    </row>
    <row r="1242" spans="6:10" x14ac:dyDescent="0.55000000000000004">
      <c r="F1242" t="s">
        <v>8219</v>
      </c>
      <c r="G1242">
        <v>43</v>
      </c>
      <c r="I1242" t="s">
        <v>8221</v>
      </c>
      <c r="J1242">
        <v>12</v>
      </c>
    </row>
    <row r="1243" spans="6:10" x14ac:dyDescent="0.55000000000000004">
      <c r="F1243" t="s">
        <v>8219</v>
      </c>
      <c r="G1243">
        <v>48</v>
      </c>
      <c r="I1243" t="s">
        <v>8221</v>
      </c>
      <c r="J1243">
        <v>4</v>
      </c>
    </row>
    <row r="1244" spans="6:10" x14ac:dyDescent="0.55000000000000004">
      <c r="F1244" t="s">
        <v>8219</v>
      </c>
      <c r="G1244">
        <v>52</v>
      </c>
      <c r="I1244" t="s">
        <v>8221</v>
      </c>
      <c r="J1244">
        <v>0</v>
      </c>
    </row>
    <row r="1245" spans="6:10" x14ac:dyDescent="0.55000000000000004">
      <c r="F1245" t="s">
        <v>8219</v>
      </c>
      <c r="G1245">
        <v>43</v>
      </c>
      <c r="I1245" t="s">
        <v>8221</v>
      </c>
      <c r="J1245">
        <v>7</v>
      </c>
    </row>
    <row r="1246" spans="6:10" x14ac:dyDescent="0.55000000000000004">
      <c r="F1246" t="s">
        <v>8219</v>
      </c>
      <c r="G1246">
        <v>58</v>
      </c>
      <c r="I1246" t="s">
        <v>8221</v>
      </c>
      <c r="J1246">
        <v>2</v>
      </c>
    </row>
    <row r="1247" spans="6:10" x14ac:dyDescent="0.55000000000000004">
      <c r="F1247" t="s">
        <v>8219</v>
      </c>
      <c r="G1247">
        <v>47</v>
      </c>
      <c r="I1247" t="s">
        <v>8221</v>
      </c>
      <c r="J1247">
        <v>1</v>
      </c>
    </row>
    <row r="1248" spans="6:10" x14ac:dyDescent="0.55000000000000004">
      <c r="F1248" t="s">
        <v>8219</v>
      </c>
      <c r="G1248">
        <v>36</v>
      </c>
      <c r="I1248" t="s">
        <v>8221</v>
      </c>
      <c r="J1248">
        <v>4</v>
      </c>
    </row>
    <row r="1249" spans="6:10" x14ac:dyDescent="0.55000000000000004">
      <c r="F1249" t="s">
        <v>8219</v>
      </c>
      <c r="G1249">
        <v>17</v>
      </c>
      <c r="I1249" t="s">
        <v>8221</v>
      </c>
      <c r="J1249">
        <v>6</v>
      </c>
    </row>
    <row r="1250" spans="6:10" x14ac:dyDescent="0.55000000000000004">
      <c r="F1250" t="s">
        <v>8219</v>
      </c>
      <c r="G1250">
        <v>104</v>
      </c>
      <c r="I1250" t="s">
        <v>8221</v>
      </c>
      <c r="J1250">
        <v>8</v>
      </c>
    </row>
    <row r="1251" spans="6:10" x14ac:dyDescent="0.55000000000000004">
      <c r="F1251" t="s">
        <v>8219</v>
      </c>
      <c r="G1251">
        <v>47</v>
      </c>
      <c r="I1251" t="s">
        <v>8221</v>
      </c>
      <c r="J1251">
        <v>14</v>
      </c>
    </row>
    <row r="1252" spans="6:10" x14ac:dyDescent="0.55000000000000004">
      <c r="F1252" t="s">
        <v>8219</v>
      </c>
      <c r="G1252">
        <v>38</v>
      </c>
      <c r="I1252" t="s">
        <v>8221</v>
      </c>
      <c r="J1252">
        <v>0</v>
      </c>
    </row>
    <row r="1253" spans="6:10" x14ac:dyDescent="0.55000000000000004">
      <c r="F1253" t="s">
        <v>8219</v>
      </c>
      <c r="G1253">
        <v>81</v>
      </c>
      <c r="I1253" t="s">
        <v>8221</v>
      </c>
      <c r="J1253">
        <v>4</v>
      </c>
    </row>
    <row r="1254" spans="6:10" x14ac:dyDescent="0.55000000000000004">
      <c r="F1254" t="s">
        <v>8219</v>
      </c>
      <c r="G1254">
        <v>55</v>
      </c>
      <c r="I1254" t="s">
        <v>8221</v>
      </c>
      <c r="J1254">
        <v>0</v>
      </c>
    </row>
    <row r="1255" spans="6:10" x14ac:dyDescent="0.55000000000000004">
      <c r="F1255" t="s">
        <v>8219</v>
      </c>
      <c r="G1255">
        <v>41</v>
      </c>
      <c r="I1255" t="s">
        <v>8221</v>
      </c>
      <c r="J1255">
        <v>0</v>
      </c>
    </row>
    <row r="1256" spans="6:10" x14ac:dyDescent="0.55000000000000004">
      <c r="F1256" t="s">
        <v>8219</v>
      </c>
      <c r="G1256">
        <v>79</v>
      </c>
      <c r="I1256" t="s">
        <v>8221</v>
      </c>
      <c r="J1256">
        <v>1</v>
      </c>
    </row>
    <row r="1257" spans="6:10" x14ac:dyDescent="0.55000000000000004">
      <c r="F1257" t="s">
        <v>8219</v>
      </c>
      <c r="G1257">
        <v>16</v>
      </c>
      <c r="I1257" t="s">
        <v>8221</v>
      </c>
      <c r="J1257">
        <v>1</v>
      </c>
    </row>
    <row r="1258" spans="6:10" x14ac:dyDescent="0.55000000000000004">
      <c r="F1258" t="s">
        <v>8219</v>
      </c>
      <c r="G1258">
        <v>8</v>
      </c>
      <c r="I1258" t="s">
        <v>8221</v>
      </c>
      <c r="J1258">
        <v>1</v>
      </c>
    </row>
    <row r="1259" spans="6:10" x14ac:dyDescent="0.55000000000000004">
      <c r="F1259" t="s">
        <v>8219</v>
      </c>
      <c r="G1259">
        <v>95</v>
      </c>
      <c r="I1259" t="s">
        <v>8221</v>
      </c>
      <c r="J1259">
        <v>1</v>
      </c>
    </row>
    <row r="1260" spans="6:10" x14ac:dyDescent="0.55000000000000004">
      <c r="F1260" t="s">
        <v>8219</v>
      </c>
      <c r="G1260">
        <v>25</v>
      </c>
      <c r="I1260" t="s">
        <v>8221</v>
      </c>
      <c r="J1260">
        <v>4</v>
      </c>
    </row>
    <row r="1261" spans="6:10" x14ac:dyDescent="0.55000000000000004">
      <c r="F1261" t="s">
        <v>8219</v>
      </c>
      <c r="G1261">
        <v>19</v>
      </c>
      <c r="I1261" t="s">
        <v>8221</v>
      </c>
      <c r="J1261">
        <v>0</v>
      </c>
    </row>
    <row r="1262" spans="6:10" x14ac:dyDescent="0.55000000000000004">
      <c r="F1262" t="s">
        <v>8219</v>
      </c>
      <c r="G1262">
        <v>90</v>
      </c>
      <c r="I1262" t="s">
        <v>8221</v>
      </c>
      <c r="J1262">
        <v>0</v>
      </c>
    </row>
    <row r="1263" spans="6:10" x14ac:dyDescent="0.55000000000000004">
      <c r="F1263" t="s">
        <v>8219</v>
      </c>
      <c r="G1263">
        <v>41</v>
      </c>
      <c r="I1263" t="s">
        <v>8221</v>
      </c>
      <c r="J1263">
        <v>2</v>
      </c>
    </row>
    <row r="1264" spans="6:10" x14ac:dyDescent="0.55000000000000004">
      <c r="F1264" t="s">
        <v>8219</v>
      </c>
      <c r="G1264">
        <v>30</v>
      </c>
      <c r="I1264" t="s">
        <v>8221</v>
      </c>
      <c r="J1264">
        <v>24</v>
      </c>
    </row>
    <row r="1265" spans="6:10" x14ac:dyDescent="0.55000000000000004">
      <c r="F1265" t="s">
        <v>8219</v>
      </c>
      <c r="G1265">
        <v>38</v>
      </c>
      <c r="I1265" t="s">
        <v>8221</v>
      </c>
      <c r="J1265">
        <v>1</v>
      </c>
    </row>
    <row r="1266" spans="6:10" x14ac:dyDescent="0.55000000000000004">
      <c r="F1266" t="s">
        <v>8219</v>
      </c>
      <c r="G1266">
        <v>65</v>
      </c>
      <c r="I1266" t="s">
        <v>8221</v>
      </c>
      <c r="J1266">
        <v>2</v>
      </c>
    </row>
    <row r="1267" spans="6:10" x14ac:dyDescent="0.55000000000000004">
      <c r="F1267" t="s">
        <v>8219</v>
      </c>
      <c r="G1267">
        <v>75</v>
      </c>
      <c r="I1267" t="s">
        <v>8221</v>
      </c>
      <c r="J1267">
        <v>1</v>
      </c>
    </row>
    <row r="1268" spans="6:10" x14ac:dyDescent="0.55000000000000004">
      <c r="F1268" t="s">
        <v>8219</v>
      </c>
      <c r="G1268">
        <v>16</v>
      </c>
      <c r="I1268" t="s">
        <v>8221</v>
      </c>
      <c r="J1268">
        <v>37</v>
      </c>
    </row>
    <row r="1269" spans="6:10" x14ac:dyDescent="0.55000000000000004">
      <c r="F1269" t="s">
        <v>8219</v>
      </c>
      <c r="G1269">
        <v>10</v>
      </c>
      <c r="I1269" t="s">
        <v>8221</v>
      </c>
      <c r="J1269">
        <v>5</v>
      </c>
    </row>
    <row r="1270" spans="6:10" x14ac:dyDescent="0.55000000000000004">
      <c r="F1270" t="s">
        <v>8219</v>
      </c>
      <c r="G1270">
        <v>27</v>
      </c>
      <c r="I1270" t="s">
        <v>8221</v>
      </c>
      <c r="J1270">
        <v>4</v>
      </c>
    </row>
    <row r="1271" spans="6:10" x14ac:dyDescent="0.55000000000000004">
      <c r="F1271" t="s">
        <v>8219</v>
      </c>
      <c r="G1271">
        <v>259</v>
      </c>
      <c r="I1271" t="s">
        <v>8221</v>
      </c>
      <c r="J1271">
        <v>16</v>
      </c>
    </row>
    <row r="1272" spans="6:10" x14ac:dyDescent="0.55000000000000004">
      <c r="F1272" t="s">
        <v>8219</v>
      </c>
      <c r="G1272">
        <v>39</v>
      </c>
      <c r="I1272" t="s">
        <v>8221</v>
      </c>
      <c r="J1272">
        <v>9</v>
      </c>
    </row>
    <row r="1273" spans="6:10" x14ac:dyDescent="0.55000000000000004">
      <c r="F1273" t="s">
        <v>8219</v>
      </c>
      <c r="G1273">
        <v>42</v>
      </c>
      <c r="I1273" t="s">
        <v>8221</v>
      </c>
      <c r="J1273">
        <v>0</v>
      </c>
    </row>
    <row r="1274" spans="6:10" x14ac:dyDescent="0.55000000000000004">
      <c r="F1274" t="s">
        <v>8219</v>
      </c>
      <c r="G1274">
        <v>10</v>
      </c>
      <c r="I1274" t="s">
        <v>8221</v>
      </c>
      <c r="J1274">
        <v>40</v>
      </c>
    </row>
    <row r="1275" spans="6:10" x14ac:dyDescent="0.55000000000000004">
      <c r="F1275" t="s">
        <v>8219</v>
      </c>
      <c r="G1275">
        <v>56</v>
      </c>
      <c r="I1275" t="s">
        <v>8221</v>
      </c>
      <c r="J1275">
        <v>0</v>
      </c>
    </row>
    <row r="1276" spans="6:10" x14ac:dyDescent="0.55000000000000004">
      <c r="F1276" t="s">
        <v>8219</v>
      </c>
      <c r="G1276">
        <v>20</v>
      </c>
      <c r="I1276" t="s">
        <v>8221</v>
      </c>
      <c r="J1276">
        <v>2</v>
      </c>
    </row>
    <row r="1277" spans="6:10" x14ac:dyDescent="0.55000000000000004">
      <c r="F1277" t="s">
        <v>8219</v>
      </c>
      <c r="G1277">
        <v>170</v>
      </c>
      <c r="I1277" t="s">
        <v>8221</v>
      </c>
      <c r="J1277">
        <v>1</v>
      </c>
    </row>
    <row r="1278" spans="6:10" x14ac:dyDescent="0.55000000000000004">
      <c r="F1278" t="s">
        <v>8219</v>
      </c>
      <c r="G1278">
        <v>29</v>
      </c>
      <c r="I1278" t="s">
        <v>8221</v>
      </c>
      <c r="J1278">
        <v>9</v>
      </c>
    </row>
    <row r="1279" spans="6:10" x14ac:dyDescent="0.55000000000000004">
      <c r="F1279" t="s">
        <v>8219</v>
      </c>
      <c r="G1279">
        <v>132</v>
      </c>
      <c r="I1279" t="s">
        <v>8221</v>
      </c>
      <c r="J1279">
        <v>34</v>
      </c>
    </row>
    <row r="1280" spans="6:10" x14ac:dyDescent="0.55000000000000004">
      <c r="F1280" t="s">
        <v>8219</v>
      </c>
      <c r="G1280">
        <v>27</v>
      </c>
      <c r="I1280" t="s">
        <v>8221</v>
      </c>
      <c r="J1280">
        <v>23</v>
      </c>
    </row>
    <row r="1281" spans="6:10" x14ac:dyDescent="0.55000000000000004">
      <c r="F1281" t="s">
        <v>8219</v>
      </c>
      <c r="G1281">
        <v>26</v>
      </c>
      <c r="I1281" t="s">
        <v>8221</v>
      </c>
      <c r="J1281">
        <v>19</v>
      </c>
    </row>
    <row r="1282" spans="6:10" x14ac:dyDescent="0.55000000000000004">
      <c r="F1282" t="s">
        <v>8219</v>
      </c>
      <c r="G1282">
        <v>43</v>
      </c>
      <c r="I1282" t="s">
        <v>8221</v>
      </c>
      <c r="J1282">
        <v>50</v>
      </c>
    </row>
    <row r="1283" spans="6:10" x14ac:dyDescent="0.55000000000000004">
      <c r="F1283" t="s">
        <v>8219</v>
      </c>
      <c r="G1283">
        <v>80</v>
      </c>
      <c r="I1283" t="s">
        <v>8221</v>
      </c>
      <c r="J1283">
        <v>12</v>
      </c>
    </row>
    <row r="1284" spans="6:10" x14ac:dyDescent="0.55000000000000004">
      <c r="F1284" t="s">
        <v>8219</v>
      </c>
      <c r="G1284">
        <v>33</v>
      </c>
      <c r="I1284" t="s">
        <v>8221</v>
      </c>
      <c r="J1284">
        <v>8</v>
      </c>
    </row>
    <row r="1285" spans="6:10" x14ac:dyDescent="0.55000000000000004">
      <c r="F1285" t="s">
        <v>8219</v>
      </c>
      <c r="G1285">
        <v>71</v>
      </c>
      <c r="I1285" t="s">
        <v>8221</v>
      </c>
      <c r="J1285">
        <v>9</v>
      </c>
    </row>
    <row r="1286" spans="6:10" x14ac:dyDescent="0.55000000000000004">
      <c r="F1286" t="s">
        <v>8219</v>
      </c>
      <c r="G1286">
        <v>81</v>
      </c>
      <c r="I1286" t="s">
        <v>8221</v>
      </c>
      <c r="J1286">
        <v>43</v>
      </c>
    </row>
    <row r="1287" spans="6:10" x14ac:dyDescent="0.55000000000000004">
      <c r="F1287" t="s">
        <v>8219</v>
      </c>
      <c r="G1287">
        <v>76</v>
      </c>
      <c r="I1287" t="s">
        <v>8221</v>
      </c>
      <c r="J1287">
        <v>28</v>
      </c>
    </row>
    <row r="1288" spans="6:10" x14ac:dyDescent="0.55000000000000004">
      <c r="F1288" t="s">
        <v>8219</v>
      </c>
      <c r="G1288">
        <v>48</v>
      </c>
      <c r="I1288" t="s">
        <v>8221</v>
      </c>
      <c r="J1288">
        <v>4</v>
      </c>
    </row>
    <row r="1289" spans="6:10" x14ac:dyDescent="0.55000000000000004">
      <c r="F1289" t="s">
        <v>8219</v>
      </c>
      <c r="G1289">
        <v>61</v>
      </c>
      <c r="I1289" t="s">
        <v>8221</v>
      </c>
      <c r="J1289">
        <v>24</v>
      </c>
    </row>
    <row r="1290" spans="6:10" x14ac:dyDescent="0.55000000000000004">
      <c r="F1290" t="s">
        <v>8219</v>
      </c>
      <c r="G1290">
        <v>60</v>
      </c>
      <c r="I1290" t="s">
        <v>8221</v>
      </c>
      <c r="J1290">
        <v>2</v>
      </c>
    </row>
    <row r="1291" spans="6:10" x14ac:dyDescent="0.55000000000000004">
      <c r="F1291" t="s">
        <v>8219</v>
      </c>
      <c r="G1291">
        <v>136</v>
      </c>
      <c r="I1291" t="s">
        <v>8221</v>
      </c>
      <c r="J1291">
        <v>2</v>
      </c>
    </row>
    <row r="1292" spans="6:10" x14ac:dyDescent="0.55000000000000004">
      <c r="F1292" t="s">
        <v>8219</v>
      </c>
      <c r="G1292">
        <v>14</v>
      </c>
      <c r="I1292" t="s">
        <v>8221</v>
      </c>
      <c r="J1292">
        <v>20</v>
      </c>
    </row>
    <row r="1293" spans="6:10" x14ac:dyDescent="0.55000000000000004">
      <c r="F1293" t="s">
        <v>8219</v>
      </c>
      <c r="G1293">
        <v>78</v>
      </c>
      <c r="I1293" t="s">
        <v>8221</v>
      </c>
      <c r="J1293">
        <v>1</v>
      </c>
    </row>
    <row r="1294" spans="6:10" x14ac:dyDescent="0.55000000000000004">
      <c r="F1294" t="s">
        <v>8219</v>
      </c>
      <c r="G1294">
        <v>4</v>
      </c>
      <c r="I1294" t="s">
        <v>8221</v>
      </c>
      <c r="J1294">
        <v>1</v>
      </c>
    </row>
    <row r="1295" spans="6:10" x14ac:dyDescent="0.55000000000000004">
      <c r="F1295" t="s">
        <v>8219</v>
      </c>
      <c r="G1295">
        <v>11</v>
      </c>
      <c r="I1295" t="s">
        <v>8221</v>
      </c>
      <c r="J1295">
        <v>4</v>
      </c>
    </row>
    <row r="1296" spans="6:10" x14ac:dyDescent="0.55000000000000004">
      <c r="F1296" t="s">
        <v>8219</v>
      </c>
      <c r="G1296">
        <v>185</v>
      </c>
      <c r="I1296" t="s">
        <v>8221</v>
      </c>
      <c r="J1296">
        <v>1</v>
      </c>
    </row>
    <row r="1297" spans="6:10" x14ac:dyDescent="0.55000000000000004">
      <c r="F1297" t="s">
        <v>8219</v>
      </c>
      <c r="G1297">
        <v>59</v>
      </c>
      <c r="I1297" t="s">
        <v>8221</v>
      </c>
      <c r="J1297">
        <v>1</v>
      </c>
    </row>
    <row r="1298" spans="6:10" x14ac:dyDescent="0.55000000000000004">
      <c r="F1298" t="s">
        <v>8219</v>
      </c>
      <c r="G1298">
        <v>27</v>
      </c>
      <c r="I1298" t="s">
        <v>8221</v>
      </c>
      <c r="J1298">
        <v>13</v>
      </c>
    </row>
    <row r="1299" spans="6:10" x14ac:dyDescent="0.55000000000000004">
      <c r="F1299" t="s">
        <v>8219</v>
      </c>
      <c r="G1299">
        <v>63</v>
      </c>
      <c r="I1299" t="s">
        <v>8221</v>
      </c>
      <c r="J1299">
        <v>1</v>
      </c>
    </row>
    <row r="1300" spans="6:10" x14ac:dyDescent="0.55000000000000004">
      <c r="F1300" t="s">
        <v>8219</v>
      </c>
      <c r="G1300">
        <v>13</v>
      </c>
      <c r="I1300" t="s">
        <v>8221</v>
      </c>
      <c r="J1300">
        <v>1</v>
      </c>
    </row>
    <row r="1301" spans="6:10" x14ac:dyDescent="0.55000000000000004">
      <c r="F1301" t="s">
        <v>8219</v>
      </c>
      <c r="G1301">
        <v>13</v>
      </c>
      <c r="I1301" t="s">
        <v>8221</v>
      </c>
      <c r="J1301">
        <v>0</v>
      </c>
    </row>
    <row r="1302" spans="6:10" x14ac:dyDescent="0.55000000000000004">
      <c r="F1302" t="s">
        <v>8219</v>
      </c>
      <c r="G1302">
        <v>57</v>
      </c>
      <c r="I1302" t="s">
        <v>8221</v>
      </c>
      <c r="J1302">
        <v>3</v>
      </c>
    </row>
    <row r="1303" spans="6:10" x14ac:dyDescent="0.55000000000000004">
      <c r="F1303" t="s">
        <v>8219</v>
      </c>
      <c r="G1303">
        <v>61</v>
      </c>
      <c r="I1303" t="s">
        <v>8221</v>
      </c>
      <c r="J1303">
        <v>14</v>
      </c>
    </row>
    <row r="1304" spans="6:10" x14ac:dyDescent="0.55000000000000004">
      <c r="F1304" t="s">
        <v>8219</v>
      </c>
      <c r="G1304">
        <v>65</v>
      </c>
      <c r="I1304" t="s">
        <v>8221</v>
      </c>
      <c r="J1304">
        <v>2</v>
      </c>
    </row>
    <row r="1305" spans="6:10" x14ac:dyDescent="0.55000000000000004">
      <c r="F1305" t="s">
        <v>8219</v>
      </c>
      <c r="G1305">
        <v>134</v>
      </c>
      <c r="I1305" t="s">
        <v>8221</v>
      </c>
      <c r="J1305">
        <v>5</v>
      </c>
    </row>
    <row r="1306" spans="6:10" x14ac:dyDescent="0.55000000000000004">
      <c r="F1306" t="s">
        <v>8219</v>
      </c>
      <c r="G1306">
        <v>37</v>
      </c>
      <c r="I1306" t="s">
        <v>8221</v>
      </c>
      <c r="J1306">
        <v>14</v>
      </c>
    </row>
    <row r="1307" spans="6:10" x14ac:dyDescent="0.55000000000000004">
      <c r="F1307" t="s">
        <v>8219</v>
      </c>
      <c r="G1307">
        <v>37</v>
      </c>
      <c r="I1307" t="s">
        <v>8221</v>
      </c>
      <c r="J1307">
        <v>9</v>
      </c>
    </row>
    <row r="1308" spans="6:10" x14ac:dyDescent="0.55000000000000004">
      <c r="F1308" t="s">
        <v>8219</v>
      </c>
      <c r="G1308">
        <v>150</v>
      </c>
      <c r="I1308" t="s">
        <v>8221</v>
      </c>
      <c r="J1308">
        <v>8</v>
      </c>
    </row>
    <row r="1309" spans="6:10" x14ac:dyDescent="0.55000000000000004">
      <c r="F1309" t="s">
        <v>8219</v>
      </c>
      <c r="G1309">
        <v>56</v>
      </c>
      <c r="I1309" t="s">
        <v>8221</v>
      </c>
      <c r="J1309">
        <v>7</v>
      </c>
    </row>
    <row r="1310" spans="6:10" x14ac:dyDescent="0.55000000000000004">
      <c r="F1310" t="s">
        <v>8219</v>
      </c>
      <c r="G1310">
        <v>18</v>
      </c>
      <c r="I1310" t="s">
        <v>8221</v>
      </c>
      <c r="J1310">
        <v>0</v>
      </c>
    </row>
    <row r="1311" spans="6:10" x14ac:dyDescent="0.55000000000000004">
      <c r="F1311" t="s">
        <v>8219</v>
      </c>
      <c r="G1311">
        <v>60</v>
      </c>
      <c r="I1311" t="s">
        <v>8221</v>
      </c>
      <c r="J1311">
        <v>84</v>
      </c>
    </row>
    <row r="1312" spans="6:10" x14ac:dyDescent="0.55000000000000004">
      <c r="F1312" t="s">
        <v>8219</v>
      </c>
      <c r="G1312">
        <v>67</v>
      </c>
      <c r="I1312" t="s">
        <v>8221</v>
      </c>
      <c r="J1312">
        <v>11</v>
      </c>
    </row>
    <row r="1313" spans="6:10" x14ac:dyDescent="0.55000000000000004">
      <c r="F1313" t="s">
        <v>8219</v>
      </c>
      <c r="G1313">
        <v>35</v>
      </c>
      <c r="I1313" t="s">
        <v>8221</v>
      </c>
      <c r="J1313">
        <v>1</v>
      </c>
    </row>
    <row r="1314" spans="6:10" x14ac:dyDescent="0.55000000000000004">
      <c r="F1314" t="s">
        <v>8219</v>
      </c>
      <c r="G1314">
        <v>34</v>
      </c>
      <c r="I1314" t="s">
        <v>8221</v>
      </c>
      <c r="J1314">
        <v>4</v>
      </c>
    </row>
    <row r="1315" spans="6:10" x14ac:dyDescent="0.55000000000000004">
      <c r="F1315" t="s">
        <v>8219</v>
      </c>
      <c r="G1315">
        <v>36</v>
      </c>
      <c r="I1315" t="s">
        <v>8221</v>
      </c>
      <c r="J1315">
        <v>10</v>
      </c>
    </row>
    <row r="1316" spans="6:10" x14ac:dyDescent="0.55000000000000004">
      <c r="F1316" t="s">
        <v>8219</v>
      </c>
      <c r="G1316">
        <v>18</v>
      </c>
      <c r="I1316" t="s">
        <v>8221</v>
      </c>
      <c r="J1316">
        <v>16</v>
      </c>
    </row>
    <row r="1317" spans="6:10" x14ac:dyDescent="0.55000000000000004">
      <c r="F1317" t="s">
        <v>8219</v>
      </c>
      <c r="G1317">
        <v>25</v>
      </c>
      <c r="I1317" t="s">
        <v>8221</v>
      </c>
      <c r="J1317">
        <v>2</v>
      </c>
    </row>
    <row r="1318" spans="6:10" x14ac:dyDescent="0.55000000000000004">
      <c r="F1318" t="s">
        <v>8219</v>
      </c>
      <c r="G1318">
        <v>21</v>
      </c>
      <c r="I1318" t="s">
        <v>8221</v>
      </c>
      <c r="J1318">
        <v>5</v>
      </c>
    </row>
    <row r="1319" spans="6:10" x14ac:dyDescent="0.55000000000000004">
      <c r="F1319" t="s">
        <v>8219</v>
      </c>
      <c r="G1319">
        <v>151</v>
      </c>
      <c r="I1319" t="s">
        <v>8221</v>
      </c>
      <c r="J1319">
        <v>1</v>
      </c>
    </row>
    <row r="1320" spans="6:10" x14ac:dyDescent="0.55000000000000004">
      <c r="F1320" t="s">
        <v>8219</v>
      </c>
      <c r="G1320">
        <v>489</v>
      </c>
      <c r="I1320" t="s">
        <v>8221</v>
      </c>
      <c r="J1320">
        <v>31</v>
      </c>
    </row>
    <row r="1321" spans="6:10" x14ac:dyDescent="0.55000000000000004">
      <c r="F1321" t="s">
        <v>8219</v>
      </c>
      <c r="G1321">
        <v>50</v>
      </c>
      <c r="I1321" t="s">
        <v>8221</v>
      </c>
      <c r="J1321">
        <v>0</v>
      </c>
    </row>
    <row r="1322" spans="6:10" x14ac:dyDescent="0.55000000000000004">
      <c r="F1322" t="s">
        <v>8219</v>
      </c>
      <c r="G1322">
        <v>321</v>
      </c>
      <c r="I1322" t="s">
        <v>8221</v>
      </c>
      <c r="J1322">
        <v>2</v>
      </c>
    </row>
    <row r="1323" spans="6:10" x14ac:dyDescent="0.55000000000000004">
      <c r="F1323" t="s">
        <v>8219</v>
      </c>
      <c r="G1323">
        <v>1762</v>
      </c>
      <c r="I1323" t="s">
        <v>8221</v>
      </c>
      <c r="J1323">
        <v>7</v>
      </c>
    </row>
    <row r="1324" spans="6:10" x14ac:dyDescent="0.55000000000000004">
      <c r="F1324" t="s">
        <v>8219</v>
      </c>
      <c r="G1324">
        <v>385</v>
      </c>
      <c r="I1324" t="s">
        <v>8221</v>
      </c>
      <c r="J1324">
        <v>16</v>
      </c>
    </row>
    <row r="1325" spans="6:10" x14ac:dyDescent="0.55000000000000004">
      <c r="F1325" t="s">
        <v>8219</v>
      </c>
      <c r="G1325">
        <v>398</v>
      </c>
      <c r="I1325" t="s">
        <v>8221</v>
      </c>
      <c r="J1325">
        <v>4</v>
      </c>
    </row>
    <row r="1326" spans="6:10" x14ac:dyDescent="0.55000000000000004">
      <c r="F1326" t="s">
        <v>8219</v>
      </c>
      <c r="G1326">
        <v>304</v>
      </c>
      <c r="I1326" t="s">
        <v>8221</v>
      </c>
      <c r="J1326">
        <v>4</v>
      </c>
    </row>
    <row r="1327" spans="6:10" x14ac:dyDescent="0.55000000000000004">
      <c r="F1327" t="s">
        <v>8219</v>
      </c>
      <c r="G1327">
        <v>676</v>
      </c>
      <c r="I1327" t="s">
        <v>8221</v>
      </c>
      <c r="J1327">
        <v>4</v>
      </c>
    </row>
    <row r="1328" spans="6:10" x14ac:dyDescent="0.55000000000000004">
      <c r="F1328" t="s">
        <v>8219</v>
      </c>
      <c r="G1328">
        <v>577</v>
      </c>
      <c r="I1328" t="s">
        <v>8221</v>
      </c>
      <c r="J1328">
        <v>3</v>
      </c>
    </row>
    <row r="1329" spans="6:10" x14ac:dyDescent="0.55000000000000004">
      <c r="F1329" t="s">
        <v>8219</v>
      </c>
      <c r="G1329">
        <v>3663</v>
      </c>
      <c r="I1329" t="s">
        <v>8221</v>
      </c>
      <c r="J1329">
        <v>36</v>
      </c>
    </row>
    <row r="1330" spans="6:10" x14ac:dyDescent="0.55000000000000004">
      <c r="F1330" t="s">
        <v>8219</v>
      </c>
      <c r="G1330">
        <v>294</v>
      </c>
      <c r="I1330" t="s">
        <v>8221</v>
      </c>
      <c r="J1330">
        <v>1</v>
      </c>
    </row>
    <row r="1331" spans="6:10" x14ac:dyDescent="0.55000000000000004">
      <c r="F1331" t="s">
        <v>8219</v>
      </c>
      <c r="G1331">
        <v>28</v>
      </c>
      <c r="I1331" t="s">
        <v>8221</v>
      </c>
      <c r="J1331">
        <v>7</v>
      </c>
    </row>
    <row r="1332" spans="6:10" x14ac:dyDescent="0.55000000000000004">
      <c r="F1332" t="s">
        <v>8219</v>
      </c>
      <c r="G1332">
        <v>100</v>
      </c>
      <c r="I1332" t="s">
        <v>8221</v>
      </c>
      <c r="J1332">
        <v>27</v>
      </c>
    </row>
    <row r="1333" spans="6:10" x14ac:dyDescent="0.55000000000000004">
      <c r="F1333" t="s">
        <v>8219</v>
      </c>
      <c r="G1333">
        <v>72</v>
      </c>
      <c r="I1333" t="s">
        <v>8221</v>
      </c>
      <c r="J1333">
        <v>1</v>
      </c>
    </row>
    <row r="1334" spans="6:10" x14ac:dyDescent="0.55000000000000004">
      <c r="F1334" t="s">
        <v>8219</v>
      </c>
      <c r="G1334">
        <v>238</v>
      </c>
      <c r="I1334" t="s">
        <v>8221</v>
      </c>
      <c r="J1334">
        <v>0</v>
      </c>
    </row>
    <row r="1335" spans="6:10" x14ac:dyDescent="0.55000000000000004">
      <c r="F1335" t="s">
        <v>8219</v>
      </c>
      <c r="G1335">
        <v>159</v>
      </c>
      <c r="I1335" t="s">
        <v>8221</v>
      </c>
      <c r="J1335">
        <v>1</v>
      </c>
    </row>
    <row r="1336" spans="6:10" x14ac:dyDescent="0.55000000000000004">
      <c r="F1336" t="s">
        <v>8219</v>
      </c>
      <c r="G1336">
        <v>77</v>
      </c>
      <c r="I1336" t="s">
        <v>8221</v>
      </c>
      <c r="J1336">
        <v>3</v>
      </c>
    </row>
    <row r="1337" spans="6:10" x14ac:dyDescent="0.55000000000000004">
      <c r="F1337" t="s">
        <v>8219</v>
      </c>
      <c r="G1337">
        <v>53</v>
      </c>
      <c r="I1337" t="s">
        <v>8221</v>
      </c>
      <c r="J1337">
        <v>3</v>
      </c>
    </row>
    <row r="1338" spans="6:10" x14ac:dyDescent="0.55000000000000004">
      <c r="F1338" t="s">
        <v>8219</v>
      </c>
      <c r="G1338">
        <v>1251</v>
      </c>
      <c r="I1338" t="s">
        <v>8221</v>
      </c>
      <c r="J1338">
        <v>3</v>
      </c>
    </row>
    <row r="1339" spans="6:10" x14ac:dyDescent="0.55000000000000004">
      <c r="F1339" t="s">
        <v>8219</v>
      </c>
      <c r="G1339">
        <v>465</v>
      </c>
      <c r="I1339" t="s">
        <v>8221</v>
      </c>
      <c r="J1339">
        <v>0</v>
      </c>
    </row>
    <row r="1340" spans="6:10" x14ac:dyDescent="0.55000000000000004">
      <c r="F1340" t="s">
        <v>8219</v>
      </c>
      <c r="G1340">
        <v>74</v>
      </c>
      <c r="I1340" t="s">
        <v>8221</v>
      </c>
      <c r="J1340">
        <v>6</v>
      </c>
    </row>
    <row r="1341" spans="6:10" x14ac:dyDescent="0.55000000000000004">
      <c r="F1341" t="s">
        <v>8219</v>
      </c>
      <c r="G1341">
        <v>62</v>
      </c>
      <c r="I1341" t="s">
        <v>8221</v>
      </c>
      <c r="J1341">
        <v>17</v>
      </c>
    </row>
    <row r="1342" spans="6:10" x14ac:dyDescent="0.55000000000000004">
      <c r="F1342" t="s">
        <v>8219</v>
      </c>
      <c r="G1342">
        <v>3468</v>
      </c>
      <c r="I1342" t="s">
        <v>8221</v>
      </c>
      <c r="J1342">
        <v>40</v>
      </c>
    </row>
    <row r="1343" spans="6:10" x14ac:dyDescent="0.55000000000000004">
      <c r="F1343" t="s">
        <v>8219</v>
      </c>
      <c r="G1343">
        <v>52</v>
      </c>
      <c r="I1343" t="s">
        <v>8221</v>
      </c>
      <c r="J1343">
        <v>3</v>
      </c>
    </row>
    <row r="1344" spans="6:10" x14ac:dyDescent="0.55000000000000004">
      <c r="F1344" t="s">
        <v>8219</v>
      </c>
      <c r="G1344">
        <v>50</v>
      </c>
      <c r="I1344" t="s">
        <v>8221</v>
      </c>
      <c r="J1344">
        <v>1</v>
      </c>
    </row>
    <row r="1345" spans="6:10" x14ac:dyDescent="0.55000000000000004">
      <c r="F1345" t="s">
        <v>8219</v>
      </c>
      <c r="G1345">
        <v>45</v>
      </c>
      <c r="I1345" t="s">
        <v>8221</v>
      </c>
      <c r="J1345">
        <v>2</v>
      </c>
    </row>
    <row r="1346" spans="6:10" x14ac:dyDescent="0.55000000000000004">
      <c r="F1346" t="s">
        <v>8219</v>
      </c>
      <c r="G1346">
        <v>21</v>
      </c>
      <c r="I1346" t="s">
        <v>8221</v>
      </c>
      <c r="J1346">
        <v>7</v>
      </c>
    </row>
    <row r="1347" spans="6:10" x14ac:dyDescent="0.55000000000000004">
      <c r="F1347" t="s">
        <v>8219</v>
      </c>
      <c r="G1347">
        <v>100</v>
      </c>
      <c r="I1347" t="s">
        <v>8221</v>
      </c>
      <c r="J1347">
        <v>14</v>
      </c>
    </row>
    <row r="1348" spans="6:10" x14ac:dyDescent="0.55000000000000004">
      <c r="F1348" t="s">
        <v>8219</v>
      </c>
      <c r="G1348">
        <v>81</v>
      </c>
      <c r="I1348" t="s">
        <v>8221</v>
      </c>
      <c r="J1348">
        <v>0</v>
      </c>
    </row>
    <row r="1349" spans="6:10" x14ac:dyDescent="0.55000000000000004">
      <c r="F1349" t="s">
        <v>8219</v>
      </c>
      <c r="G1349">
        <v>286</v>
      </c>
      <c r="I1349" t="s">
        <v>8221</v>
      </c>
      <c r="J1349">
        <v>0</v>
      </c>
    </row>
    <row r="1350" spans="6:10" x14ac:dyDescent="0.55000000000000004">
      <c r="F1350" t="s">
        <v>8219</v>
      </c>
      <c r="G1350">
        <v>42</v>
      </c>
      <c r="I1350" t="s">
        <v>8221</v>
      </c>
      <c r="J1350">
        <v>1</v>
      </c>
    </row>
    <row r="1351" spans="6:10" x14ac:dyDescent="0.55000000000000004">
      <c r="F1351" t="s">
        <v>8219</v>
      </c>
      <c r="G1351">
        <v>199</v>
      </c>
      <c r="I1351" t="s">
        <v>8221</v>
      </c>
      <c r="J1351">
        <v>12</v>
      </c>
    </row>
    <row r="1352" spans="6:10" x14ac:dyDescent="0.55000000000000004">
      <c r="F1352" t="s">
        <v>8219</v>
      </c>
      <c r="G1352">
        <v>25</v>
      </c>
      <c r="I1352" t="s">
        <v>8221</v>
      </c>
      <c r="J1352">
        <v>12</v>
      </c>
    </row>
    <row r="1353" spans="6:10" x14ac:dyDescent="0.55000000000000004">
      <c r="F1353" t="s">
        <v>8219</v>
      </c>
      <c r="G1353">
        <v>84</v>
      </c>
      <c r="I1353" t="s">
        <v>8221</v>
      </c>
      <c r="J1353">
        <v>23</v>
      </c>
    </row>
    <row r="1354" spans="6:10" x14ac:dyDescent="0.55000000000000004">
      <c r="F1354" t="s">
        <v>8219</v>
      </c>
      <c r="G1354">
        <v>50</v>
      </c>
      <c r="I1354" t="s">
        <v>8221</v>
      </c>
      <c r="J1354">
        <v>0</v>
      </c>
    </row>
    <row r="1355" spans="6:10" x14ac:dyDescent="0.55000000000000004">
      <c r="F1355" t="s">
        <v>8219</v>
      </c>
      <c r="G1355">
        <v>26</v>
      </c>
      <c r="I1355" t="s">
        <v>8221</v>
      </c>
      <c r="J1355">
        <v>10</v>
      </c>
    </row>
    <row r="1356" spans="6:10" x14ac:dyDescent="0.55000000000000004">
      <c r="F1356" t="s">
        <v>8219</v>
      </c>
      <c r="G1356">
        <v>14</v>
      </c>
      <c r="I1356" t="s">
        <v>8221</v>
      </c>
      <c r="J1356">
        <v>5</v>
      </c>
    </row>
    <row r="1357" spans="6:10" x14ac:dyDescent="0.55000000000000004">
      <c r="F1357" t="s">
        <v>8219</v>
      </c>
      <c r="G1357">
        <v>49</v>
      </c>
      <c r="I1357" t="s">
        <v>8221</v>
      </c>
      <c r="J1357">
        <v>1</v>
      </c>
    </row>
    <row r="1358" spans="6:10" x14ac:dyDescent="0.55000000000000004">
      <c r="F1358" t="s">
        <v>8219</v>
      </c>
      <c r="G1358">
        <v>69</v>
      </c>
      <c r="I1358" t="s">
        <v>8221</v>
      </c>
      <c r="J1358">
        <v>2</v>
      </c>
    </row>
    <row r="1359" spans="6:10" x14ac:dyDescent="0.55000000000000004">
      <c r="F1359" t="s">
        <v>8219</v>
      </c>
      <c r="G1359">
        <v>60</v>
      </c>
      <c r="I1359" t="s">
        <v>8221</v>
      </c>
      <c r="J1359">
        <v>2</v>
      </c>
    </row>
    <row r="1360" spans="6:10" x14ac:dyDescent="0.55000000000000004">
      <c r="F1360" t="s">
        <v>8219</v>
      </c>
      <c r="G1360">
        <v>80</v>
      </c>
      <c r="I1360" t="s">
        <v>8221</v>
      </c>
      <c r="J1360">
        <v>0</v>
      </c>
    </row>
    <row r="1361" spans="6:10" x14ac:dyDescent="0.55000000000000004">
      <c r="F1361" t="s">
        <v>8219</v>
      </c>
      <c r="G1361">
        <v>56</v>
      </c>
      <c r="I1361" t="s">
        <v>8221</v>
      </c>
      <c r="J1361">
        <v>13</v>
      </c>
    </row>
    <row r="1362" spans="6:10" x14ac:dyDescent="0.55000000000000004">
      <c r="F1362" t="s">
        <v>8219</v>
      </c>
      <c r="G1362">
        <v>104</v>
      </c>
      <c r="I1362" t="s">
        <v>8221</v>
      </c>
      <c r="J1362">
        <v>0</v>
      </c>
    </row>
    <row r="1363" spans="6:10" x14ac:dyDescent="0.55000000000000004">
      <c r="F1363" t="s">
        <v>8219</v>
      </c>
      <c r="G1363">
        <v>46</v>
      </c>
      <c r="I1363" t="s">
        <v>8221</v>
      </c>
      <c r="J1363">
        <v>1</v>
      </c>
    </row>
    <row r="1364" spans="6:10" x14ac:dyDescent="0.55000000000000004">
      <c r="F1364" t="s">
        <v>8219</v>
      </c>
      <c r="G1364">
        <v>206</v>
      </c>
      <c r="I1364" t="s">
        <v>8221</v>
      </c>
      <c r="J1364">
        <v>5</v>
      </c>
    </row>
    <row r="1365" spans="6:10" x14ac:dyDescent="0.55000000000000004">
      <c r="F1365" t="s">
        <v>8219</v>
      </c>
      <c r="G1365">
        <v>18</v>
      </c>
      <c r="I1365" t="s">
        <v>8221</v>
      </c>
      <c r="J1365">
        <v>2</v>
      </c>
    </row>
    <row r="1366" spans="6:10" x14ac:dyDescent="0.55000000000000004">
      <c r="F1366" t="s">
        <v>8219</v>
      </c>
      <c r="G1366">
        <v>28</v>
      </c>
      <c r="I1366" t="s">
        <v>8221</v>
      </c>
      <c r="J1366">
        <v>0</v>
      </c>
    </row>
    <row r="1367" spans="6:10" x14ac:dyDescent="0.55000000000000004">
      <c r="F1367" t="s">
        <v>8219</v>
      </c>
      <c r="G1367">
        <v>11</v>
      </c>
      <c r="I1367" t="s">
        <v>8221</v>
      </c>
      <c r="J1367">
        <v>32</v>
      </c>
    </row>
    <row r="1368" spans="6:10" x14ac:dyDescent="0.55000000000000004">
      <c r="F1368" t="s">
        <v>8219</v>
      </c>
      <c r="G1368">
        <v>263</v>
      </c>
      <c r="I1368" t="s">
        <v>8221</v>
      </c>
      <c r="J1368">
        <v>1</v>
      </c>
    </row>
    <row r="1369" spans="6:10" x14ac:dyDescent="0.55000000000000004">
      <c r="F1369" t="s">
        <v>8219</v>
      </c>
      <c r="G1369">
        <v>394</v>
      </c>
      <c r="I1369" t="s">
        <v>8221</v>
      </c>
      <c r="J1369">
        <v>1</v>
      </c>
    </row>
    <row r="1370" spans="6:10" x14ac:dyDescent="0.55000000000000004">
      <c r="F1370" t="s">
        <v>8219</v>
      </c>
      <c r="G1370">
        <v>1049</v>
      </c>
      <c r="I1370" t="s">
        <v>8221</v>
      </c>
      <c r="J1370">
        <v>1</v>
      </c>
    </row>
    <row r="1371" spans="6:10" x14ac:dyDescent="0.55000000000000004">
      <c r="F1371" t="s">
        <v>8219</v>
      </c>
      <c r="G1371">
        <v>308</v>
      </c>
      <c r="I1371" t="s">
        <v>8221</v>
      </c>
      <c r="J1371">
        <v>0</v>
      </c>
    </row>
    <row r="1372" spans="6:10" x14ac:dyDescent="0.55000000000000004">
      <c r="F1372" t="s">
        <v>8219</v>
      </c>
      <c r="G1372">
        <v>1088</v>
      </c>
      <c r="I1372" t="s">
        <v>8221</v>
      </c>
      <c r="J1372">
        <v>0</v>
      </c>
    </row>
    <row r="1373" spans="6:10" x14ac:dyDescent="0.55000000000000004">
      <c r="F1373" t="s">
        <v>8219</v>
      </c>
      <c r="G1373">
        <v>73</v>
      </c>
      <c r="I1373" t="s">
        <v>8221</v>
      </c>
      <c r="J1373">
        <v>8</v>
      </c>
    </row>
    <row r="1374" spans="6:10" x14ac:dyDescent="0.55000000000000004">
      <c r="F1374" t="s">
        <v>8219</v>
      </c>
      <c r="G1374">
        <v>143</v>
      </c>
      <c r="I1374" t="s">
        <v>8221</v>
      </c>
      <c r="J1374">
        <v>0</v>
      </c>
    </row>
    <row r="1375" spans="6:10" x14ac:dyDescent="0.55000000000000004">
      <c r="F1375" t="s">
        <v>8219</v>
      </c>
      <c r="G1375">
        <v>1420</v>
      </c>
      <c r="I1375" t="s">
        <v>8221</v>
      </c>
      <c r="J1375">
        <v>1</v>
      </c>
    </row>
    <row r="1376" spans="6:10" x14ac:dyDescent="0.55000000000000004">
      <c r="F1376" t="s">
        <v>8219</v>
      </c>
      <c r="G1376">
        <v>305</v>
      </c>
      <c r="I1376" t="s">
        <v>8221</v>
      </c>
      <c r="J1376">
        <v>16</v>
      </c>
    </row>
    <row r="1377" spans="6:10" x14ac:dyDescent="0.55000000000000004">
      <c r="F1377" t="s">
        <v>8219</v>
      </c>
      <c r="G1377">
        <v>551</v>
      </c>
      <c r="I1377" t="s">
        <v>8221</v>
      </c>
      <c r="J1377">
        <v>12</v>
      </c>
    </row>
    <row r="1378" spans="6:10" x14ac:dyDescent="0.55000000000000004">
      <c r="F1378" t="s">
        <v>8219</v>
      </c>
      <c r="G1378">
        <v>187</v>
      </c>
      <c r="I1378" t="s">
        <v>8221</v>
      </c>
      <c r="J1378">
        <v>4</v>
      </c>
    </row>
    <row r="1379" spans="6:10" x14ac:dyDescent="0.55000000000000004">
      <c r="F1379" t="s">
        <v>8219</v>
      </c>
      <c r="G1379">
        <v>325</v>
      </c>
      <c r="I1379" t="s">
        <v>8221</v>
      </c>
      <c r="J1379">
        <v>2</v>
      </c>
    </row>
    <row r="1380" spans="6:10" x14ac:dyDescent="0.55000000000000004">
      <c r="F1380" t="s">
        <v>8219</v>
      </c>
      <c r="G1380">
        <v>148</v>
      </c>
      <c r="I1380" t="s">
        <v>8221</v>
      </c>
      <c r="J1380">
        <v>3</v>
      </c>
    </row>
    <row r="1381" spans="6:10" x14ac:dyDescent="0.55000000000000004">
      <c r="F1381" t="s">
        <v>8219</v>
      </c>
      <c r="G1381">
        <v>69</v>
      </c>
      <c r="I1381" t="s">
        <v>8221</v>
      </c>
      <c r="J1381">
        <v>0</v>
      </c>
    </row>
    <row r="1382" spans="6:10" x14ac:dyDescent="0.55000000000000004">
      <c r="F1382" t="s">
        <v>8219</v>
      </c>
      <c r="G1382">
        <v>173</v>
      </c>
      <c r="I1382" t="s">
        <v>8221</v>
      </c>
      <c r="J1382">
        <v>3</v>
      </c>
    </row>
    <row r="1383" spans="6:10" x14ac:dyDescent="0.55000000000000004">
      <c r="F1383" t="s">
        <v>8219</v>
      </c>
      <c r="G1383">
        <v>269</v>
      </c>
      <c r="I1383" t="s">
        <v>8221</v>
      </c>
      <c r="J1383">
        <v>4</v>
      </c>
    </row>
    <row r="1384" spans="6:10" x14ac:dyDescent="0.55000000000000004">
      <c r="F1384" t="s">
        <v>8219</v>
      </c>
      <c r="G1384">
        <v>185</v>
      </c>
      <c r="I1384" t="s">
        <v>8221</v>
      </c>
      <c r="J1384">
        <v>2</v>
      </c>
    </row>
    <row r="1385" spans="6:10" x14ac:dyDescent="0.55000000000000004">
      <c r="F1385" t="s">
        <v>8219</v>
      </c>
      <c r="G1385">
        <v>176</v>
      </c>
      <c r="I1385" t="s">
        <v>8221</v>
      </c>
      <c r="J1385">
        <v>10</v>
      </c>
    </row>
    <row r="1386" spans="6:10" x14ac:dyDescent="0.55000000000000004">
      <c r="F1386" t="s">
        <v>8219</v>
      </c>
      <c r="G1386">
        <v>1019</v>
      </c>
      <c r="I1386" t="s">
        <v>8221</v>
      </c>
      <c r="J1386">
        <v>11</v>
      </c>
    </row>
    <row r="1387" spans="6:10" x14ac:dyDescent="0.55000000000000004">
      <c r="F1387" t="s">
        <v>8219</v>
      </c>
      <c r="G1387">
        <v>113</v>
      </c>
      <c r="I1387" t="s">
        <v>8221</v>
      </c>
      <c r="J1387">
        <v>6</v>
      </c>
    </row>
    <row r="1388" spans="6:10" x14ac:dyDescent="0.55000000000000004">
      <c r="F1388" t="s">
        <v>8219</v>
      </c>
      <c r="G1388">
        <v>404</v>
      </c>
      <c r="I1388" t="s">
        <v>8221</v>
      </c>
      <c r="J1388">
        <v>2</v>
      </c>
    </row>
    <row r="1389" spans="6:10" x14ac:dyDescent="0.55000000000000004">
      <c r="F1389" t="s">
        <v>8219</v>
      </c>
      <c r="G1389">
        <v>707</v>
      </c>
      <c r="I1389" t="s">
        <v>8221</v>
      </c>
      <c r="J1389">
        <v>6</v>
      </c>
    </row>
    <row r="1390" spans="6:10" x14ac:dyDescent="0.55000000000000004">
      <c r="F1390" t="s">
        <v>8219</v>
      </c>
      <c r="G1390">
        <v>392</v>
      </c>
      <c r="I1390" t="s">
        <v>8221</v>
      </c>
      <c r="J1390">
        <v>8</v>
      </c>
    </row>
    <row r="1391" spans="6:10" x14ac:dyDescent="0.55000000000000004">
      <c r="F1391" t="s">
        <v>8219</v>
      </c>
      <c r="G1391">
        <v>23</v>
      </c>
      <c r="I1391" t="s">
        <v>8221</v>
      </c>
      <c r="J1391">
        <v>37</v>
      </c>
    </row>
    <row r="1392" spans="6:10" x14ac:dyDescent="0.55000000000000004">
      <c r="F1392" t="s">
        <v>8219</v>
      </c>
      <c r="G1392">
        <v>682</v>
      </c>
      <c r="I1392" t="s">
        <v>8221</v>
      </c>
      <c r="J1392">
        <v>11</v>
      </c>
    </row>
    <row r="1393" spans="6:10" x14ac:dyDescent="0.55000000000000004">
      <c r="F1393" t="s">
        <v>8219</v>
      </c>
      <c r="G1393">
        <v>37</v>
      </c>
      <c r="I1393" t="s">
        <v>8221</v>
      </c>
      <c r="J1393">
        <v>0</v>
      </c>
    </row>
    <row r="1394" spans="6:10" x14ac:dyDescent="0.55000000000000004">
      <c r="F1394" t="s">
        <v>8219</v>
      </c>
      <c r="G1394">
        <v>146</v>
      </c>
      <c r="I1394" t="s">
        <v>8221</v>
      </c>
      <c r="J1394">
        <v>10</v>
      </c>
    </row>
    <row r="1395" spans="6:10" x14ac:dyDescent="0.55000000000000004">
      <c r="F1395" t="s">
        <v>8219</v>
      </c>
      <c r="G1395">
        <v>119</v>
      </c>
      <c r="I1395" t="s">
        <v>8221</v>
      </c>
      <c r="J1395">
        <v>6</v>
      </c>
    </row>
    <row r="1396" spans="6:10" x14ac:dyDescent="0.55000000000000004">
      <c r="F1396" t="s">
        <v>8219</v>
      </c>
      <c r="G1396">
        <v>163</v>
      </c>
      <c r="I1396" t="s">
        <v>8221</v>
      </c>
      <c r="J1396">
        <v>8</v>
      </c>
    </row>
    <row r="1397" spans="6:10" x14ac:dyDescent="0.55000000000000004">
      <c r="F1397" t="s">
        <v>8219</v>
      </c>
      <c r="G1397">
        <v>339</v>
      </c>
      <c r="I1397" t="s">
        <v>8221</v>
      </c>
      <c r="J1397">
        <v>6</v>
      </c>
    </row>
    <row r="1398" spans="6:10" x14ac:dyDescent="0.55000000000000004">
      <c r="F1398" t="s">
        <v>8219</v>
      </c>
      <c r="G1398">
        <v>58</v>
      </c>
      <c r="I1398" t="s">
        <v>8221</v>
      </c>
      <c r="J1398">
        <v>7</v>
      </c>
    </row>
    <row r="1399" spans="6:10" x14ac:dyDescent="0.55000000000000004">
      <c r="F1399" t="s">
        <v>8219</v>
      </c>
      <c r="G1399">
        <v>456</v>
      </c>
      <c r="I1399" t="s">
        <v>8221</v>
      </c>
      <c r="J1399">
        <v>7</v>
      </c>
    </row>
    <row r="1400" spans="6:10" x14ac:dyDescent="0.55000000000000004">
      <c r="F1400" t="s">
        <v>8219</v>
      </c>
      <c r="G1400">
        <v>15</v>
      </c>
      <c r="I1400" t="s">
        <v>8221</v>
      </c>
      <c r="J1400">
        <v>5</v>
      </c>
    </row>
    <row r="1401" spans="6:10" x14ac:dyDescent="0.55000000000000004">
      <c r="F1401" t="s">
        <v>8219</v>
      </c>
      <c r="G1401">
        <v>191</v>
      </c>
      <c r="I1401" t="s">
        <v>8221</v>
      </c>
      <c r="J1401">
        <v>46</v>
      </c>
    </row>
    <row r="1402" spans="6:10" x14ac:dyDescent="0.55000000000000004">
      <c r="F1402" t="s">
        <v>8219</v>
      </c>
      <c r="G1402">
        <v>17</v>
      </c>
      <c r="I1402" t="s">
        <v>8221</v>
      </c>
      <c r="J1402">
        <v>10</v>
      </c>
    </row>
    <row r="1403" spans="6:10" x14ac:dyDescent="0.55000000000000004">
      <c r="F1403" t="s">
        <v>8219</v>
      </c>
      <c r="G1403">
        <v>28</v>
      </c>
      <c r="I1403" t="s">
        <v>8221</v>
      </c>
      <c r="J1403">
        <v>19</v>
      </c>
    </row>
    <row r="1404" spans="6:10" x14ac:dyDescent="0.55000000000000004">
      <c r="F1404" t="s">
        <v>8219</v>
      </c>
      <c r="G1404">
        <v>18</v>
      </c>
      <c r="I1404" t="s">
        <v>8221</v>
      </c>
      <c r="J1404">
        <v>13</v>
      </c>
    </row>
    <row r="1405" spans="6:10" x14ac:dyDescent="0.55000000000000004">
      <c r="F1405" t="s">
        <v>8219</v>
      </c>
      <c r="G1405">
        <v>61</v>
      </c>
      <c r="I1405" t="s">
        <v>8221</v>
      </c>
      <c r="J1405">
        <v>13</v>
      </c>
    </row>
    <row r="1406" spans="6:10" x14ac:dyDescent="0.55000000000000004">
      <c r="F1406" t="s">
        <v>8219</v>
      </c>
      <c r="G1406">
        <v>108</v>
      </c>
      <c r="I1406" t="s">
        <v>8221</v>
      </c>
      <c r="J1406">
        <v>4</v>
      </c>
    </row>
    <row r="1407" spans="6:10" x14ac:dyDescent="0.55000000000000004">
      <c r="F1407" t="s">
        <v>8219</v>
      </c>
      <c r="G1407">
        <v>142</v>
      </c>
      <c r="I1407" t="s">
        <v>8221</v>
      </c>
      <c r="J1407">
        <v>0</v>
      </c>
    </row>
    <row r="1408" spans="6:10" x14ac:dyDescent="0.55000000000000004">
      <c r="F1408" t="s">
        <v>8219</v>
      </c>
      <c r="G1408">
        <v>74</v>
      </c>
      <c r="I1408" t="s">
        <v>8221</v>
      </c>
      <c r="J1408">
        <v>3</v>
      </c>
    </row>
    <row r="1409" spans="6:10" x14ac:dyDescent="0.55000000000000004">
      <c r="F1409" t="s">
        <v>8219</v>
      </c>
      <c r="G1409">
        <v>38</v>
      </c>
      <c r="I1409" t="s">
        <v>8221</v>
      </c>
      <c r="J1409">
        <v>1</v>
      </c>
    </row>
    <row r="1410" spans="6:10" x14ac:dyDescent="0.55000000000000004">
      <c r="F1410" t="s">
        <v>8219</v>
      </c>
      <c r="G1410">
        <v>20</v>
      </c>
      <c r="I1410" t="s">
        <v>8221</v>
      </c>
      <c r="J1410">
        <v>9</v>
      </c>
    </row>
    <row r="1411" spans="6:10" x14ac:dyDescent="0.55000000000000004">
      <c r="F1411" t="s">
        <v>8219</v>
      </c>
      <c r="G1411">
        <v>24</v>
      </c>
      <c r="I1411" t="s">
        <v>8221</v>
      </c>
      <c r="J1411">
        <v>1</v>
      </c>
    </row>
    <row r="1412" spans="6:10" x14ac:dyDescent="0.55000000000000004">
      <c r="F1412" t="s">
        <v>8219</v>
      </c>
      <c r="G1412">
        <v>66</v>
      </c>
      <c r="I1412" t="s">
        <v>8221</v>
      </c>
      <c r="J1412">
        <v>1</v>
      </c>
    </row>
    <row r="1413" spans="6:10" x14ac:dyDescent="0.55000000000000004">
      <c r="F1413" t="s">
        <v>8219</v>
      </c>
      <c r="G1413">
        <v>28</v>
      </c>
      <c r="I1413" t="s">
        <v>8221</v>
      </c>
      <c r="J1413">
        <v>4</v>
      </c>
    </row>
    <row r="1414" spans="6:10" x14ac:dyDescent="0.55000000000000004">
      <c r="F1414" t="s">
        <v>8219</v>
      </c>
      <c r="G1414">
        <v>24</v>
      </c>
      <c r="I1414" t="s">
        <v>8221</v>
      </c>
      <c r="J1414">
        <v>17</v>
      </c>
    </row>
    <row r="1415" spans="6:10" x14ac:dyDescent="0.55000000000000004">
      <c r="F1415" t="s">
        <v>8219</v>
      </c>
      <c r="G1415">
        <v>73</v>
      </c>
      <c r="I1415" t="s">
        <v>8221</v>
      </c>
      <c r="J1415">
        <v>0</v>
      </c>
    </row>
    <row r="1416" spans="6:10" x14ac:dyDescent="0.55000000000000004">
      <c r="F1416" t="s">
        <v>8219</v>
      </c>
      <c r="G1416">
        <v>3</v>
      </c>
      <c r="I1416" t="s">
        <v>8221</v>
      </c>
      <c r="J1416">
        <v>12</v>
      </c>
    </row>
    <row r="1417" spans="6:10" x14ac:dyDescent="0.55000000000000004">
      <c r="F1417" t="s">
        <v>8219</v>
      </c>
      <c r="G1417">
        <v>20</v>
      </c>
      <c r="I1417" t="s">
        <v>8221</v>
      </c>
      <c r="J1417">
        <v>14</v>
      </c>
    </row>
    <row r="1418" spans="6:10" x14ac:dyDescent="0.55000000000000004">
      <c r="F1418" t="s">
        <v>8219</v>
      </c>
      <c r="G1418">
        <v>21</v>
      </c>
      <c r="I1418" t="s">
        <v>8221</v>
      </c>
      <c r="J1418">
        <v>1</v>
      </c>
    </row>
    <row r="1419" spans="6:10" x14ac:dyDescent="0.55000000000000004">
      <c r="F1419" t="s">
        <v>8219</v>
      </c>
      <c r="G1419">
        <v>94</v>
      </c>
      <c r="I1419" t="s">
        <v>8221</v>
      </c>
      <c r="J1419">
        <v>14</v>
      </c>
    </row>
    <row r="1420" spans="6:10" x14ac:dyDescent="0.55000000000000004">
      <c r="F1420" t="s">
        <v>8219</v>
      </c>
      <c r="G1420">
        <v>139</v>
      </c>
      <c r="I1420" t="s">
        <v>8221</v>
      </c>
      <c r="J1420">
        <v>4</v>
      </c>
    </row>
    <row r="1421" spans="6:10" x14ac:dyDescent="0.55000000000000004">
      <c r="F1421" t="s">
        <v>8219</v>
      </c>
      <c r="G1421">
        <v>130</v>
      </c>
      <c r="I1421" t="s">
        <v>8221</v>
      </c>
      <c r="J1421">
        <v>2</v>
      </c>
    </row>
    <row r="1422" spans="6:10" x14ac:dyDescent="0.55000000000000004">
      <c r="F1422" t="s">
        <v>8219</v>
      </c>
      <c r="G1422">
        <v>31</v>
      </c>
      <c r="I1422" t="s">
        <v>8221</v>
      </c>
      <c r="J1422">
        <v>1</v>
      </c>
    </row>
    <row r="1423" spans="6:10" x14ac:dyDescent="0.55000000000000004">
      <c r="F1423" t="s">
        <v>8219</v>
      </c>
      <c r="G1423">
        <v>13</v>
      </c>
      <c r="I1423" t="s">
        <v>8221</v>
      </c>
      <c r="J1423">
        <v>2</v>
      </c>
    </row>
    <row r="1424" spans="6:10" x14ac:dyDescent="0.55000000000000004">
      <c r="F1424" t="s">
        <v>8219</v>
      </c>
      <c r="G1424">
        <v>90</v>
      </c>
      <c r="I1424" t="s">
        <v>8221</v>
      </c>
      <c r="J1424">
        <v>1</v>
      </c>
    </row>
    <row r="1425" spans="6:10" x14ac:dyDescent="0.55000000000000004">
      <c r="F1425" t="s">
        <v>8219</v>
      </c>
      <c r="G1425">
        <v>141</v>
      </c>
      <c r="I1425" t="s">
        <v>8221</v>
      </c>
      <c r="J1425">
        <v>1</v>
      </c>
    </row>
    <row r="1426" spans="6:10" x14ac:dyDescent="0.55000000000000004">
      <c r="F1426" t="s">
        <v>8219</v>
      </c>
      <c r="G1426">
        <v>23</v>
      </c>
      <c r="I1426" t="s">
        <v>8221</v>
      </c>
      <c r="J1426">
        <v>4</v>
      </c>
    </row>
    <row r="1427" spans="6:10" x14ac:dyDescent="0.55000000000000004">
      <c r="F1427" t="s">
        <v>8219</v>
      </c>
      <c r="G1427">
        <v>18</v>
      </c>
      <c r="I1427" t="s">
        <v>8221</v>
      </c>
      <c r="J1427">
        <v>3</v>
      </c>
    </row>
    <row r="1428" spans="6:10" x14ac:dyDescent="0.55000000000000004">
      <c r="F1428" t="s">
        <v>8219</v>
      </c>
      <c r="G1428">
        <v>76</v>
      </c>
      <c r="I1428" t="s">
        <v>8221</v>
      </c>
      <c r="J1428">
        <v>38</v>
      </c>
    </row>
    <row r="1429" spans="6:10" x14ac:dyDescent="0.55000000000000004">
      <c r="F1429" t="s">
        <v>8219</v>
      </c>
      <c r="G1429">
        <v>93</v>
      </c>
      <c r="I1429" t="s">
        <v>8221</v>
      </c>
      <c r="J1429">
        <v>4</v>
      </c>
    </row>
    <row r="1430" spans="6:10" x14ac:dyDescent="0.55000000000000004">
      <c r="F1430" t="s">
        <v>8219</v>
      </c>
      <c r="G1430">
        <v>69</v>
      </c>
      <c r="I1430" t="s">
        <v>8221</v>
      </c>
      <c r="J1430">
        <v>0</v>
      </c>
    </row>
    <row r="1431" spans="6:10" x14ac:dyDescent="0.55000000000000004">
      <c r="F1431" t="s">
        <v>8219</v>
      </c>
      <c r="G1431">
        <v>21</v>
      </c>
      <c r="I1431" t="s">
        <v>8221</v>
      </c>
      <c r="J1431">
        <v>2</v>
      </c>
    </row>
    <row r="1432" spans="6:10" x14ac:dyDescent="0.55000000000000004">
      <c r="F1432" t="s">
        <v>8219</v>
      </c>
      <c r="G1432">
        <v>57</v>
      </c>
      <c r="I1432" t="s">
        <v>8221</v>
      </c>
      <c r="J1432">
        <v>0</v>
      </c>
    </row>
    <row r="1433" spans="6:10" x14ac:dyDescent="0.55000000000000004">
      <c r="F1433" t="s">
        <v>8219</v>
      </c>
      <c r="G1433">
        <v>108</v>
      </c>
      <c r="I1433" t="s">
        <v>8221</v>
      </c>
      <c r="J1433">
        <v>1</v>
      </c>
    </row>
    <row r="1434" spans="6:10" x14ac:dyDescent="0.55000000000000004">
      <c r="F1434" t="s">
        <v>8219</v>
      </c>
      <c r="G1434">
        <v>83</v>
      </c>
      <c r="I1434" t="s">
        <v>8221</v>
      </c>
      <c r="J1434">
        <v>7</v>
      </c>
    </row>
    <row r="1435" spans="6:10" x14ac:dyDescent="0.55000000000000004">
      <c r="F1435" t="s">
        <v>8219</v>
      </c>
      <c r="G1435">
        <v>96</v>
      </c>
      <c r="I1435" t="s">
        <v>8221</v>
      </c>
      <c r="J1435">
        <v>2</v>
      </c>
    </row>
    <row r="1436" spans="6:10" x14ac:dyDescent="0.55000000000000004">
      <c r="F1436" t="s">
        <v>8219</v>
      </c>
      <c r="G1436">
        <v>64</v>
      </c>
      <c r="I1436" t="s">
        <v>8221</v>
      </c>
      <c r="J1436">
        <v>4</v>
      </c>
    </row>
    <row r="1437" spans="6:10" x14ac:dyDescent="0.55000000000000004">
      <c r="F1437" t="s">
        <v>8219</v>
      </c>
      <c r="G1437">
        <v>14</v>
      </c>
      <c r="I1437" t="s">
        <v>8221</v>
      </c>
      <c r="J1437">
        <v>4</v>
      </c>
    </row>
    <row r="1438" spans="6:10" x14ac:dyDescent="0.55000000000000004">
      <c r="F1438" t="s">
        <v>8219</v>
      </c>
      <c r="G1438">
        <v>169</v>
      </c>
      <c r="I1438" t="s">
        <v>8221</v>
      </c>
      <c r="J1438">
        <v>3</v>
      </c>
    </row>
    <row r="1439" spans="6:10" x14ac:dyDescent="0.55000000000000004">
      <c r="F1439" t="s">
        <v>8219</v>
      </c>
      <c r="G1439">
        <v>33</v>
      </c>
      <c r="I1439" t="s">
        <v>8221</v>
      </c>
      <c r="J1439">
        <v>2</v>
      </c>
    </row>
    <row r="1440" spans="6:10" x14ac:dyDescent="0.55000000000000004">
      <c r="F1440" t="s">
        <v>8219</v>
      </c>
      <c r="G1440">
        <v>102</v>
      </c>
      <c r="I1440" t="s">
        <v>8221</v>
      </c>
      <c r="J1440">
        <v>197</v>
      </c>
    </row>
    <row r="1441" spans="6:10" x14ac:dyDescent="0.55000000000000004">
      <c r="F1441" t="s">
        <v>8219</v>
      </c>
      <c r="G1441">
        <v>104</v>
      </c>
      <c r="I1441" t="s">
        <v>8221</v>
      </c>
      <c r="J1441">
        <v>0</v>
      </c>
    </row>
    <row r="1442" spans="6:10" x14ac:dyDescent="0.55000000000000004">
      <c r="F1442" t="s">
        <v>8219</v>
      </c>
      <c r="G1442">
        <v>20</v>
      </c>
      <c r="I1442" t="s">
        <v>8221</v>
      </c>
      <c r="J1442">
        <v>1</v>
      </c>
    </row>
    <row r="1443" spans="6:10" x14ac:dyDescent="0.55000000000000004">
      <c r="F1443" t="s">
        <v>8219</v>
      </c>
      <c r="G1443">
        <v>35</v>
      </c>
      <c r="I1443" t="s">
        <v>8221</v>
      </c>
      <c r="J1443">
        <v>4</v>
      </c>
    </row>
    <row r="1444" spans="6:10" x14ac:dyDescent="0.55000000000000004">
      <c r="F1444" t="s">
        <v>8219</v>
      </c>
      <c r="G1444">
        <v>94</v>
      </c>
      <c r="I1444" t="s">
        <v>8221</v>
      </c>
      <c r="J1444">
        <v>0</v>
      </c>
    </row>
    <row r="1445" spans="6:10" x14ac:dyDescent="0.55000000000000004">
      <c r="F1445" t="s">
        <v>8219</v>
      </c>
      <c r="G1445">
        <v>14</v>
      </c>
      <c r="I1445" t="s">
        <v>8221</v>
      </c>
      <c r="J1445">
        <v>7</v>
      </c>
    </row>
    <row r="1446" spans="6:10" x14ac:dyDescent="0.55000000000000004">
      <c r="F1446" t="s">
        <v>8219</v>
      </c>
      <c r="G1446">
        <v>15</v>
      </c>
      <c r="I1446" t="s">
        <v>8221</v>
      </c>
      <c r="J1446">
        <v>11</v>
      </c>
    </row>
    <row r="1447" spans="6:10" x14ac:dyDescent="0.55000000000000004">
      <c r="F1447" t="s">
        <v>8219</v>
      </c>
      <c r="G1447">
        <v>51</v>
      </c>
      <c r="I1447" t="s">
        <v>8221</v>
      </c>
      <c r="J1447">
        <v>0</v>
      </c>
    </row>
    <row r="1448" spans="6:10" x14ac:dyDescent="0.55000000000000004">
      <c r="F1448" t="s">
        <v>8219</v>
      </c>
      <c r="G1448">
        <v>19</v>
      </c>
      <c r="I1448" t="s">
        <v>8221</v>
      </c>
      <c r="J1448">
        <v>6</v>
      </c>
    </row>
    <row r="1449" spans="6:10" x14ac:dyDescent="0.55000000000000004">
      <c r="F1449" t="s">
        <v>8219</v>
      </c>
      <c r="G1449">
        <v>23</v>
      </c>
      <c r="I1449" t="s">
        <v>8221</v>
      </c>
      <c r="J1449">
        <v>0</v>
      </c>
    </row>
    <row r="1450" spans="6:10" x14ac:dyDescent="0.55000000000000004">
      <c r="F1450" t="s">
        <v>8219</v>
      </c>
      <c r="G1450">
        <v>97</v>
      </c>
      <c r="I1450" t="s">
        <v>8221</v>
      </c>
      <c r="J1450">
        <v>7</v>
      </c>
    </row>
    <row r="1451" spans="6:10" x14ac:dyDescent="0.55000000000000004">
      <c r="F1451" t="s">
        <v>8219</v>
      </c>
      <c r="G1451">
        <v>76</v>
      </c>
      <c r="I1451" t="s">
        <v>8221</v>
      </c>
      <c r="J1451">
        <v>94</v>
      </c>
    </row>
    <row r="1452" spans="6:10" x14ac:dyDescent="0.55000000000000004">
      <c r="F1452" t="s">
        <v>8219</v>
      </c>
      <c r="G1452">
        <v>11</v>
      </c>
      <c r="I1452" t="s">
        <v>8221</v>
      </c>
      <c r="J1452">
        <v>2</v>
      </c>
    </row>
    <row r="1453" spans="6:10" x14ac:dyDescent="0.55000000000000004">
      <c r="F1453" t="s">
        <v>8219</v>
      </c>
      <c r="G1453">
        <v>52</v>
      </c>
      <c r="I1453" t="s">
        <v>8221</v>
      </c>
      <c r="J1453">
        <v>25</v>
      </c>
    </row>
    <row r="1454" spans="6:10" x14ac:dyDescent="0.55000000000000004">
      <c r="F1454" t="s">
        <v>8219</v>
      </c>
      <c r="G1454">
        <v>95</v>
      </c>
      <c r="I1454" t="s">
        <v>8221</v>
      </c>
      <c r="J1454">
        <v>17</v>
      </c>
    </row>
    <row r="1455" spans="6:10" x14ac:dyDescent="0.55000000000000004">
      <c r="F1455" t="s">
        <v>8219</v>
      </c>
      <c r="G1455">
        <v>35</v>
      </c>
      <c r="I1455" t="s">
        <v>8221</v>
      </c>
      <c r="J1455">
        <v>2</v>
      </c>
    </row>
    <row r="1456" spans="6:10" x14ac:dyDescent="0.55000000000000004">
      <c r="F1456" t="s">
        <v>8219</v>
      </c>
      <c r="G1456">
        <v>21</v>
      </c>
      <c r="I1456" t="s">
        <v>8221</v>
      </c>
      <c r="J1456">
        <v>4</v>
      </c>
    </row>
    <row r="1457" spans="6:10" x14ac:dyDescent="0.55000000000000004">
      <c r="F1457" t="s">
        <v>8219</v>
      </c>
      <c r="G1457">
        <v>93</v>
      </c>
      <c r="I1457" t="s">
        <v>8221</v>
      </c>
      <c r="J1457">
        <v>5</v>
      </c>
    </row>
    <row r="1458" spans="6:10" x14ac:dyDescent="0.55000000000000004">
      <c r="F1458" t="s">
        <v>8219</v>
      </c>
      <c r="G1458">
        <v>11</v>
      </c>
      <c r="I1458" t="s">
        <v>8221</v>
      </c>
      <c r="J1458">
        <v>2</v>
      </c>
    </row>
    <row r="1459" spans="6:10" x14ac:dyDescent="0.55000000000000004">
      <c r="F1459" t="s">
        <v>8219</v>
      </c>
      <c r="G1459">
        <v>21</v>
      </c>
      <c r="I1459" t="s">
        <v>8221</v>
      </c>
      <c r="J1459">
        <v>2</v>
      </c>
    </row>
    <row r="1460" spans="6:10" x14ac:dyDescent="0.55000000000000004">
      <c r="F1460" t="s">
        <v>8219</v>
      </c>
      <c r="G1460">
        <v>54</v>
      </c>
      <c r="I1460" t="s">
        <v>8221</v>
      </c>
      <c r="J1460">
        <v>3</v>
      </c>
    </row>
    <row r="1461" spans="6:10" x14ac:dyDescent="0.55000000000000004">
      <c r="F1461" t="s">
        <v>8219</v>
      </c>
      <c r="G1461">
        <v>31</v>
      </c>
      <c r="I1461" t="s">
        <v>8221</v>
      </c>
      <c r="J1461">
        <v>0</v>
      </c>
    </row>
    <row r="1462" spans="6:10" x14ac:dyDescent="0.55000000000000004">
      <c r="F1462" t="s">
        <v>8219</v>
      </c>
      <c r="G1462">
        <v>132</v>
      </c>
      <c r="I1462" t="s">
        <v>8221</v>
      </c>
      <c r="J1462">
        <v>4</v>
      </c>
    </row>
    <row r="1463" spans="6:10" x14ac:dyDescent="0.55000000000000004">
      <c r="F1463" t="s">
        <v>8219</v>
      </c>
      <c r="G1463">
        <v>3</v>
      </c>
      <c r="I1463" t="s">
        <v>8221</v>
      </c>
      <c r="J1463">
        <v>1</v>
      </c>
    </row>
    <row r="1464" spans="6:10" x14ac:dyDescent="0.55000000000000004">
      <c r="F1464" t="s">
        <v>8219</v>
      </c>
      <c r="G1464">
        <v>6</v>
      </c>
      <c r="I1464" t="s">
        <v>8221</v>
      </c>
      <c r="J1464">
        <v>12</v>
      </c>
    </row>
    <row r="1465" spans="6:10" x14ac:dyDescent="0.55000000000000004">
      <c r="F1465" t="s">
        <v>8219</v>
      </c>
      <c r="G1465">
        <v>10</v>
      </c>
      <c r="I1465" t="s">
        <v>8221</v>
      </c>
      <c r="J1465">
        <v>4</v>
      </c>
    </row>
    <row r="1466" spans="6:10" x14ac:dyDescent="0.55000000000000004">
      <c r="F1466" t="s">
        <v>8219</v>
      </c>
      <c r="G1466">
        <v>147</v>
      </c>
      <c r="I1466" t="s">
        <v>8221</v>
      </c>
      <c r="J1466">
        <v>91</v>
      </c>
    </row>
    <row r="1467" spans="6:10" x14ac:dyDescent="0.55000000000000004">
      <c r="F1467" t="s">
        <v>8219</v>
      </c>
      <c r="G1467">
        <v>199</v>
      </c>
      <c r="I1467" t="s">
        <v>8221</v>
      </c>
      <c r="J1467">
        <v>1</v>
      </c>
    </row>
    <row r="1468" spans="6:10" x14ac:dyDescent="0.55000000000000004">
      <c r="F1468" t="s">
        <v>8219</v>
      </c>
      <c r="G1468">
        <v>50</v>
      </c>
      <c r="I1468" t="s">
        <v>8221</v>
      </c>
      <c r="J1468">
        <v>1</v>
      </c>
    </row>
    <row r="1469" spans="6:10" x14ac:dyDescent="0.55000000000000004">
      <c r="F1469" t="s">
        <v>8219</v>
      </c>
      <c r="G1469">
        <v>21</v>
      </c>
      <c r="I1469" t="s">
        <v>8221</v>
      </c>
      <c r="J1469">
        <v>0</v>
      </c>
    </row>
    <row r="1470" spans="6:10" x14ac:dyDescent="0.55000000000000004">
      <c r="F1470" t="s">
        <v>8219</v>
      </c>
      <c r="G1470">
        <v>24</v>
      </c>
      <c r="I1470" t="s">
        <v>8221</v>
      </c>
      <c r="J1470">
        <v>13</v>
      </c>
    </row>
    <row r="1471" spans="6:10" x14ac:dyDescent="0.55000000000000004">
      <c r="F1471" t="s">
        <v>8219</v>
      </c>
      <c r="G1471">
        <v>32</v>
      </c>
      <c r="I1471" t="s">
        <v>8221</v>
      </c>
      <c r="J1471">
        <v>2</v>
      </c>
    </row>
    <row r="1472" spans="6:10" x14ac:dyDescent="0.55000000000000004">
      <c r="F1472" t="s">
        <v>8219</v>
      </c>
      <c r="G1472">
        <v>62</v>
      </c>
      <c r="I1472" t="s">
        <v>8221</v>
      </c>
      <c r="J1472">
        <v>0</v>
      </c>
    </row>
    <row r="1473" spans="6:10" x14ac:dyDescent="0.55000000000000004">
      <c r="F1473" t="s">
        <v>8219</v>
      </c>
      <c r="G1473">
        <v>9</v>
      </c>
      <c r="I1473" t="s">
        <v>8221</v>
      </c>
      <c r="J1473">
        <v>21</v>
      </c>
    </row>
    <row r="1474" spans="6:10" x14ac:dyDescent="0.55000000000000004">
      <c r="F1474" t="s">
        <v>8219</v>
      </c>
      <c r="G1474">
        <v>38</v>
      </c>
      <c r="I1474" t="s">
        <v>8221</v>
      </c>
      <c r="J1474">
        <v>9</v>
      </c>
    </row>
    <row r="1475" spans="6:10" x14ac:dyDescent="0.55000000000000004">
      <c r="F1475" t="s">
        <v>8219</v>
      </c>
      <c r="G1475">
        <v>54</v>
      </c>
      <c r="I1475" t="s">
        <v>8221</v>
      </c>
      <c r="J1475">
        <v>6</v>
      </c>
    </row>
    <row r="1476" spans="6:10" x14ac:dyDescent="0.55000000000000004">
      <c r="F1476" t="s">
        <v>8219</v>
      </c>
      <c r="G1476">
        <v>37</v>
      </c>
      <c r="I1476" t="s">
        <v>8221</v>
      </c>
      <c r="J1476">
        <v>4</v>
      </c>
    </row>
    <row r="1477" spans="6:10" x14ac:dyDescent="0.55000000000000004">
      <c r="F1477" t="s">
        <v>8219</v>
      </c>
      <c r="G1477">
        <v>39</v>
      </c>
      <c r="I1477" t="s">
        <v>8221</v>
      </c>
      <c r="J1477">
        <v>7</v>
      </c>
    </row>
    <row r="1478" spans="6:10" x14ac:dyDescent="0.55000000000000004">
      <c r="F1478" t="s">
        <v>8219</v>
      </c>
      <c r="G1478">
        <v>34</v>
      </c>
      <c r="I1478" t="s">
        <v>8221</v>
      </c>
      <c r="J1478">
        <v>5</v>
      </c>
    </row>
    <row r="1479" spans="6:10" x14ac:dyDescent="0.55000000000000004">
      <c r="F1479" t="s">
        <v>8219</v>
      </c>
      <c r="G1479">
        <v>55</v>
      </c>
      <c r="I1479" t="s">
        <v>8221</v>
      </c>
      <c r="J1479">
        <v>0</v>
      </c>
    </row>
    <row r="1480" spans="6:10" x14ac:dyDescent="0.55000000000000004">
      <c r="F1480" t="s">
        <v>8219</v>
      </c>
      <c r="G1480">
        <v>32</v>
      </c>
      <c r="I1480" t="s">
        <v>8221</v>
      </c>
      <c r="J1480">
        <v>3</v>
      </c>
    </row>
    <row r="1481" spans="6:10" x14ac:dyDescent="0.55000000000000004">
      <c r="F1481" t="s">
        <v>8219</v>
      </c>
      <c r="G1481">
        <v>25</v>
      </c>
      <c r="I1481" t="s">
        <v>8221</v>
      </c>
      <c r="J1481">
        <v>9</v>
      </c>
    </row>
    <row r="1482" spans="6:10" x14ac:dyDescent="0.55000000000000004">
      <c r="F1482" t="s">
        <v>8219</v>
      </c>
      <c r="G1482">
        <v>33</v>
      </c>
      <c r="I1482" t="s">
        <v>8221</v>
      </c>
      <c r="J1482">
        <v>6</v>
      </c>
    </row>
    <row r="1483" spans="6:10" x14ac:dyDescent="0.55000000000000004">
      <c r="F1483" t="s">
        <v>8219</v>
      </c>
      <c r="G1483">
        <v>108</v>
      </c>
      <c r="I1483" t="s">
        <v>8221</v>
      </c>
      <c r="J1483">
        <v>4</v>
      </c>
    </row>
    <row r="1484" spans="6:10" x14ac:dyDescent="0.55000000000000004">
      <c r="F1484" t="s">
        <v>8219</v>
      </c>
      <c r="G1484">
        <v>20</v>
      </c>
      <c r="I1484" t="s">
        <v>8221</v>
      </c>
      <c r="J1484">
        <v>1</v>
      </c>
    </row>
    <row r="1485" spans="6:10" x14ac:dyDescent="0.55000000000000004">
      <c r="F1485" t="s">
        <v>8219</v>
      </c>
      <c r="G1485">
        <v>98</v>
      </c>
      <c r="I1485" t="s">
        <v>8221</v>
      </c>
      <c r="J1485">
        <v>17</v>
      </c>
    </row>
    <row r="1486" spans="6:10" x14ac:dyDescent="0.55000000000000004">
      <c r="F1486" t="s">
        <v>8219</v>
      </c>
      <c r="G1486">
        <v>196</v>
      </c>
      <c r="I1486" t="s">
        <v>8221</v>
      </c>
      <c r="J1486">
        <v>1</v>
      </c>
    </row>
    <row r="1487" spans="6:10" x14ac:dyDescent="0.55000000000000004">
      <c r="F1487" t="s">
        <v>8219</v>
      </c>
      <c r="G1487">
        <v>39</v>
      </c>
      <c r="I1487" t="s">
        <v>8221</v>
      </c>
      <c r="J1487">
        <v>13</v>
      </c>
    </row>
    <row r="1488" spans="6:10" x14ac:dyDescent="0.55000000000000004">
      <c r="F1488" t="s">
        <v>8219</v>
      </c>
      <c r="G1488">
        <v>128</v>
      </c>
      <c r="I1488" t="s">
        <v>8221</v>
      </c>
      <c r="J1488">
        <v>6</v>
      </c>
    </row>
    <row r="1489" spans="6:10" x14ac:dyDescent="0.55000000000000004">
      <c r="F1489" t="s">
        <v>8219</v>
      </c>
      <c r="G1489">
        <v>71</v>
      </c>
      <c r="I1489" t="s">
        <v>8221</v>
      </c>
      <c r="J1489">
        <v>0</v>
      </c>
    </row>
    <row r="1490" spans="6:10" x14ac:dyDescent="0.55000000000000004">
      <c r="F1490" t="s">
        <v>8219</v>
      </c>
      <c r="G1490">
        <v>47</v>
      </c>
      <c r="I1490" t="s">
        <v>8221</v>
      </c>
      <c r="J1490">
        <v>2</v>
      </c>
    </row>
    <row r="1491" spans="6:10" x14ac:dyDescent="0.55000000000000004">
      <c r="F1491" t="s">
        <v>8219</v>
      </c>
      <c r="G1491">
        <v>17</v>
      </c>
      <c r="I1491" t="s">
        <v>8221</v>
      </c>
      <c r="J1491">
        <v>2</v>
      </c>
    </row>
    <row r="1492" spans="6:10" x14ac:dyDescent="0.55000000000000004">
      <c r="F1492" t="s">
        <v>8219</v>
      </c>
      <c r="G1492">
        <v>91</v>
      </c>
      <c r="I1492" t="s">
        <v>8221</v>
      </c>
      <c r="J1492">
        <v>21</v>
      </c>
    </row>
    <row r="1493" spans="6:10" x14ac:dyDescent="0.55000000000000004">
      <c r="F1493" t="s">
        <v>8219</v>
      </c>
      <c r="G1493">
        <v>43</v>
      </c>
      <c r="I1493" t="s">
        <v>8221</v>
      </c>
      <c r="J1493">
        <v>13</v>
      </c>
    </row>
    <row r="1494" spans="6:10" x14ac:dyDescent="0.55000000000000004">
      <c r="F1494" t="s">
        <v>8219</v>
      </c>
      <c r="G1494">
        <v>17</v>
      </c>
      <c r="I1494" t="s">
        <v>8221</v>
      </c>
      <c r="J1494">
        <v>0</v>
      </c>
    </row>
    <row r="1495" spans="6:10" x14ac:dyDescent="0.55000000000000004">
      <c r="F1495" t="s">
        <v>8219</v>
      </c>
      <c r="G1495">
        <v>33</v>
      </c>
      <c r="I1495" t="s">
        <v>8221</v>
      </c>
      <c r="J1495">
        <v>6</v>
      </c>
    </row>
    <row r="1496" spans="6:10" x14ac:dyDescent="0.55000000000000004">
      <c r="F1496" t="s">
        <v>8219</v>
      </c>
      <c r="G1496">
        <v>87</v>
      </c>
      <c r="I1496" t="s">
        <v>8221</v>
      </c>
      <c r="J1496">
        <v>0</v>
      </c>
    </row>
    <row r="1497" spans="6:10" x14ac:dyDescent="0.55000000000000004">
      <c r="F1497" t="s">
        <v>8219</v>
      </c>
      <c r="G1497">
        <v>113</v>
      </c>
      <c r="I1497" t="s">
        <v>8221</v>
      </c>
      <c r="J1497">
        <v>1</v>
      </c>
    </row>
    <row r="1498" spans="6:10" x14ac:dyDescent="0.55000000000000004">
      <c r="F1498" t="s">
        <v>8219</v>
      </c>
      <c r="G1498">
        <v>14</v>
      </c>
      <c r="I1498" t="s">
        <v>8221</v>
      </c>
      <c r="J1498">
        <v>0</v>
      </c>
    </row>
    <row r="1499" spans="6:10" x14ac:dyDescent="0.55000000000000004">
      <c r="F1499" t="s">
        <v>8219</v>
      </c>
      <c r="G1499">
        <v>30</v>
      </c>
      <c r="I1499" t="s">
        <v>8221</v>
      </c>
      <c r="J1499">
        <v>12</v>
      </c>
    </row>
    <row r="1500" spans="6:10" x14ac:dyDescent="0.55000000000000004">
      <c r="F1500" t="s">
        <v>8219</v>
      </c>
      <c r="G1500">
        <v>16</v>
      </c>
      <c r="I1500" t="s">
        <v>8221</v>
      </c>
      <c r="J1500">
        <v>2</v>
      </c>
    </row>
    <row r="1501" spans="6:10" x14ac:dyDescent="0.55000000000000004">
      <c r="F1501" t="s">
        <v>8219</v>
      </c>
      <c r="G1501">
        <v>46</v>
      </c>
      <c r="I1501" t="s">
        <v>8221</v>
      </c>
      <c r="J1501">
        <v>6</v>
      </c>
    </row>
    <row r="1502" spans="6:10" x14ac:dyDescent="0.55000000000000004">
      <c r="F1502" t="s">
        <v>8219</v>
      </c>
      <c r="G1502">
        <v>24</v>
      </c>
      <c r="I1502" t="s">
        <v>8221</v>
      </c>
      <c r="J1502">
        <v>1</v>
      </c>
    </row>
    <row r="1503" spans="6:10" x14ac:dyDescent="0.55000000000000004">
      <c r="F1503" t="s">
        <v>8219</v>
      </c>
      <c r="G1503">
        <v>97</v>
      </c>
      <c r="I1503" t="s">
        <v>8221</v>
      </c>
      <c r="J1503">
        <v>1</v>
      </c>
    </row>
    <row r="1504" spans="6:10" x14ac:dyDescent="0.55000000000000004">
      <c r="F1504" t="s">
        <v>8219</v>
      </c>
      <c r="G1504">
        <v>59</v>
      </c>
      <c r="I1504" t="s">
        <v>8221</v>
      </c>
      <c r="J1504">
        <v>5</v>
      </c>
    </row>
    <row r="1505" spans="6:10" x14ac:dyDescent="0.55000000000000004">
      <c r="F1505" t="s">
        <v>8219</v>
      </c>
      <c r="G1505">
        <v>1095</v>
      </c>
      <c r="I1505" t="s">
        <v>8221</v>
      </c>
      <c r="J1505">
        <v>0</v>
      </c>
    </row>
    <row r="1506" spans="6:10" x14ac:dyDescent="0.55000000000000004">
      <c r="F1506" t="s">
        <v>8219</v>
      </c>
      <c r="G1506">
        <v>218</v>
      </c>
      <c r="I1506" t="s">
        <v>8221</v>
      </c>
      <c r="J1506">
        <v>3</v>
      </c>
    </row>
    <row r="1507" spans="6:10" x14ac:dyDescent="0.55000000000000004">
      <c r="F1507" t="s">
        <v>8219</v>
      </c>
      <c r="G1507">
        <v>111</v>
      </c>
      <c r="I1507" t="s">
        <v>8221</v>
      </c>
      <c r="J1507">
        <v>8</v>
      </c>
    </row>
    <row r="1508" spans="6:10" x14ac:dyDescent="0.55000000000000004">
      <c r="F1508" t="s">
        <v>8219</v>
      </c>
      <c r="G1508">
        <v>56</v>
      </c>
      <c r="I1508" t="s">
        <v>8221</v>
      </c>
      <c r="J1508">
        <v>3</v>
      </c>
    </row>
    <row r="1509" spans="6:10" x14ac:dyDescent="0.55000000000000004">
      <c r="F1509" t="s">
        <v>8219</v>
      </c>
      <c r="G1509">
        <v>265</v>
      </c>
      <c r="I1509" t="s">
        <v>8221</v>
      </c>
      <c r="J1509">
        <v>8</v>
      </c>
    </row>
    <row r="1510" spans="6:10" x14ac:dyDescent="0.55000000000000004">
      <c r="F1510" t="s">
        <v>8219</v>
      </c>
      <c r="G1510">
        <v>28</v>
      </c>
      <c r="I1510" t="s">
        <v>8221</v>
      </c>
      <c r="J1510">
        <v>1</v>
      </c>
    </row>
    <row r="1511" spans="6:10" x14ac:dyDescent="0.55000000000000004">
      <c r="F1511" t="s">
        <v>8219</v>
      </c>
      <c r="G1511">
        <v>364</v>
      </c>
      <c r="I1511" t="s">
        <v>8221</v>
      </c>
      <c r="J1511">
        <v>4</v>
      </c>
    </row>
    <row r="1512" spans="6:10" x14ac:dyDescent="0.55000000000000004">
      <c r="F1512" t="s">
        <v>8219</v>
      </c>
      <c r="G1512">
        <v>27</v>
      </c>
      <c r="I1512" t="s">
        <v>8221</v>
      </c>
      <c r="J1512">
        <v>8</v>
      </c>
    </row>
    <row r="1513" spans="6:10" x14ac:dyDescent="0.55000000000000004">
      <c r="F1513" t="s">
        <v>8219</v>
      </c>
      <c r="G1513">
        <v>93</v>
      </c>
      <c r="I1513" t="s">
        <v>8221</v>
      </c>
      <c r="J1513">
        <v>1</v>
      </c>
    </row>
    <row r="1514" spans="6:10" x14ac:dyDescent="0.55000000000000004">
      <c r="F1514" t="s">
        <v>8219</v>
      </c>
      <c r="G1514">
        <v>64</v>
      </c>
      <c r="I1514" t="s">
        <v>8221</v>
      </c>
      <c r="J1514">
        <v>5</v>
      </c>
    </row>
    <row r="1515" spans="6:10" x14ac:dyDescent="0.55000000000000004">
      <c r="F1515" t="s">
        <v>8219</v>
      </c>
      <c r="G1515">
        <v>22</v>
      </c>
      <c r="I1515" t="s">
        <v>8221</v>
      </c>
      <c r="J1515">
        <v>0</v>
      </c>
    </row>
    <row r="1516" spans="6:10" x14ac:dyDescent="0.55000000000000004">
      <c r="F1516" t="s">
        <v>8219</v>
      </c>
      <c r="G1516">
        <v>59</v>
      </c>
      <c r="I1516" t="s">
        <v>8221</v>
      </c>
      <c r="J1516">
        <v>0</v>
      </c>
    </row>
    <row r="1517" spans="6:10" x14ac:dyDescent="0.55000000000000004">
      <c r="F1517" t="s">
        <v>8219</v>
      </c>
      <c r="G1517">
        <v>249</v>
      </c>
      <c r="I1517" t="s">
        <v>8221</v>
      </c>
      <c r="J1517">
        <v>1</v>
      </c>
    </row>
    <row r="1518" spans="6:10" x14ac:dyDescent="0.55000000000000004">
      <c r="F1518" t="s">
        <v>8219</v>
      </c>
      <c r="G1518">
        <v>392</v>
      </c>
      <c r="I1518" t="s">
        <v>8221</v>
      </c>
      <c r="J1518">
        <v>0</v>
      </c>
    </row>
    <row r="1519" spans="6:10" x14ac:dyDescent="0.55000000000000004">
      <c r="F1519" t="s">
        <v>8219</v>
      </c>
      <c r="G1519">
        <v>115</v>
      </c>
      <c r="I1519" t="s">
        <v>8221</v>
      </c>
      <c r="J1519">
        <v>0</v>
      </c>
    </row>
    <row r="1520" spans="6:10" x14ac:dyDescent="0.55000000000000004">
      <c r="F1520" t="s">
        <v>8219</v>
      </c>
      <c r="G1520">
        <v>433</v>
      </c>
      <c r="I1520" t="s">
        <v>8221</v>
      </c>
      <c r="J1520">
        <v>6</v>
      </c>
    </row>
    <row r="1521" spans="6:10" x14ac:dyDescent="0.55000000000000004">
      <c r="F1521" t="s">
        <v>8219</v>
      </c>
      <c r="G1521">
        <v>20</v>
      </c>
      <c r="I1521" t="s">
        <v>8221</v>
      </c>
      <c r="J1521">
        <v>6</v>
      </c>
    </row>
    <row r="1522" spans="6:10" x14ac:dyDescent="0.55000000000000004">
      <c r="F1522" t="s">
        <v>8219</v>
      </c>
      <c r="G1522">
        <v>8</v>
      </c>
      <c r="I1522" t="s">
        <v>8221</v>
      </c>
      <c r="J1522">
        <v>14</v>
      </c>
    </row>
    <row r="1523" spans="6:10" x14ac:dyDescent="0.55000000000000004">
      <c r="F1523" t="s">
        <v>8219</v>
      </c>
      <c r="G1523">
        <v>175</v>
      </c>
      <c r="I1523" t="s">
        <v>8221</v>
      </c>
      <c r="J1523">
        <v>6</v>
      </c>
    </row>
    <row r="1524" spans="6:10" x14ac:dyDescent="0.55000000000000004">
      <c r="F1524" t="s">
        <v>8219</v>
      </c>
      <c r="G1524">
        <v>104</v>
      </c>
      <c r="I1524" t="s">
        <v>8221</v>
      </c>
      <c r="J1524">
        <v>33</v>
      </c>
    </row>
    <row r="1525" spans="6:10" x14ac:dyDescent="0.55000000000000004">
      <c r="F1525" t="s">
        <v>8219</v>
      </c>
      <c r="G1525">
        <v>17</v>
      </c>
      <c r="I1525" t="s">
        <v>8221</v>
      </c>
      <c r="J1525">
        <v>4</v>
      </c>
    </row>
    <row r="1526" spans="6:10" x14ac:dyDescent="0.55000000000000004">
      <c r="F1526" t="s">
        <v>8219</v>
      </c>
      <c r="G1526">
        <v>277</v>
      </c>
      <c r="I1526" t="s">
        <v>8221</v>
      </c>
      <c r="J1526">
        <v>1</v>
      </c>
    </row>
    <row r="1527" spans="6:10" x14ac:dyDescent="0.55000000000000004">
      <c r="F1527" t="s">
        <v>8219</v>
      </c>
      <c r="G1527">
        <v>118</v>
      </c>
      <c r="I1527" t="s">
        <v>8221</v>
      </c>
      <c r="J1527">
        <v>0</v>
      </c>
    </row>
    <row r="1528" spans="6:10" x14ac:dyDescent="0.55000000000000004">
      <c r="F1528" t="s">
        <v>8219</v>
      </c>
      <c r="G1528">
        <v>97</v>
      </c>
      <c r="I1528" t="s">
        <v>8221</v>
      </c>
      <c r="J1528">
        <v>6</v>
      </c>
    </row>
    <row r="1529" spans="6:10" x14ac:dyDescent="0.55000000000000004">
      <c r="F1529" t="s">
        <v>8219</v>
      </c>
      <c r="G1529">
        <v>20</v>
      </c>
      <c r="I1529" t="s">
        <v>8221</v>
      </c>
      <c r="J1529">
        <v>6</v>
      </c>
    </row>
    <row r="1530" spans="6:10" x14ac:dyDescent="0.55000000000000004">
      <c r="F1530" t="s">
        <v>8219</v>
      </c>
      <c r="G1530">
        <v>26</v>
      </c>
      <c r="I1530" t="s">
        <v>8221</v>
      </c>
      <c r="J1530">
        <v>1</v>
      </c>
    </row>
    <row r="1531" spans="6:10" x14ac:dyDescent="0.55000000000000004">
      <c r="F1531" t="s">
        <v>8219</v>
      </c>
      <c r="G1531">
        <v>128</v>
      </c>
      <c r="I1531" t="s">
        <v>8221</v>
      </c>
      <c r="J1531">
        <v>3</v>
      </c>
    </row>
    <row r="1532" spans="6:10" x14ac:dyDescent="0.55000000000000004">
      <c r="F1532" t="s">
        <v>8219</v>
      </c>
      <c r="G1532">
        <v>15</v>
      </c>
    </row>
    <row r="1533" spans="6:10" x14ac:dyDescent="0.55000000000000004">
      <c r="F1533" t="s">
        <v>8219</v>
      </c>
      <c r="G1533">
        <v>25</v>
      </c>
    </row>
    <row r="1534" spans="6:10" x14ac:dyDescent="0.55000000000000004">
      <c r="F1534" t="s">
        <v>8219</v>
      </c>
      <c r="G1534">
        <v>55</v>
      </c>
    </row>
    <row r="1535" spans="6:10" x14ac:dyDescent="0.55000000000000004">
      <c r="F1535" t="s">
        <v>8219</v>
      </c>
      <c r="G1535">
        <v>107</v>
      </c>
    </row>
    <row r="1536" spans="6:10" x14ac:dyDescent="0.55000000000000004">
      <c r="F1536" t="s">
        <v>8219</v>
      </c>
      <c r="G1536">
        <v>557</v>
      </c>
    </row>
    <row r="1537" spans="6:7" x14ac:dyDescent="0.55000000000000004">
      <c r="F1537" t="s">
        <v>8219</v>
      </c>
      <c r="G1537">
        <v>40</v>
      </c>
    </row>
    <row r="1538" spans="6:7" x14ac:dyDescent="0.55000000000000004">
      <c r="F1538" t="s">
        <v>8219</v>
      </c>
      <c r="G1538">
        <v>36</v>
      </c>
    </row>
    <row r="1539" spans="6:7" x14ac:dyDescent="0.55000000000000004">
      <c r="F1539" t="s">
        <v>8219</v>
      </c>
      <c r="G1539">
        <v>159</v>
      </c>
    </row>
    <row r="1540" spans="6:7" x14ac:dyDescent="0.55000000000000004">
      <c r="F1540" t="s">
        <v>8219</v>
      </c>
      <c r="G1540">
        <v>41</v>
      </c>
    </row>
    <row r="1541" spans="6:7" x14ac:dyDescent="0.55000000000000004">
      <c r="F1541" t="s">
        <v>8219</v>
      </c>
      <c r="G1541">
        <v>226</v>
      </c>
    </row>
    <row r="1542" spans="6:7" x14ac:dyDescent="0.55000000000000004">
      <c r="F1542" t="s">
        <v>8219</v>
      </c>
      <c r="G1542">
        <v>30</v>
      </c>
    </row>
    <row r="1543" spans="6:7" x14ac:dyDescent="0.55000000000000004">
      <c r="F1543" t="s">
        <v>8219</v>
      </c>
      <c r="G1543">
        <v>103</v>
      </c>
    </row>
    <row r="1544" spans="6:7" x14ac:dyDescent="0.55000000000000004">
      <c r="F1544" t="s">
        <v>8219</v>
      </c>
      <c r="G1544">
        <v>62</v>
      </c>
    </row>
    <row r="1545" spans="6:7" x14ac:dyDescent="0.55000000000000004">
      <c r="F1545" t="s">
        <v>8219</v>
      </c>
      <c r="G1545">
        <v>6</v>
      </c>
    </row>
    <row r="1546" spans="6:7" x14ac:dyDescent="0.55000000000000004">
      <c r="F1546" t="s">
        <v>8219</v>
      </c>
      <c r="G1546">
        <v>182</v>
      </c>
    </row>
    <row r="1547" spans="6:7" x14ac:dyDescent="0.55000000000000004">
      <c r="F1547" t="s">
        <v>8219</v>
      </c>
      <c r="G1547">
        <v>145</v>
      </c>
    </row>
    <row r="1548" spans="6:7" x14ac:dyDescent="0.55000000000000004">
      <c r="F1548" t="s">
        <v>8219</v>
      </c>
      <c r="G1548">
        <v>25</v>
      </c>
    </row>
    <row r="1549" spans="6:7" x14ac:dyDescent="0.55000000000000004">
      <c r="F1549" t="s">
        <v>8219</v>
      </c>
      <c r="G1549">
        <v>320</v>
      </c>
    </row>
    <row r="1550" spans="6:7" x14ac:dyDescent="0.55000000000000004">
      <c r="F1550" t="s">
        <v>8219</v>
      </c>
      <c r="G1550">
        <v>99</v>
      </c>
    </row>
    <row r="1551" spans="6:7" x14ac:dyDescent="0.55000000000000004">
      <c r="F1551" t="s">
        <v>8219</v>
      </c>
      <c r="G1551">
        <v>348</v>
      </c>
    </row>
    <row r="1552" spans="6:7" x14ac:dyDescent="0.55000000000000004">
      <c r="F1552" t="s">
        <v>8219</v>
      </c>
      <c r="G1552">
        <v>41</v>
      </c>
    </row>
    <row r="1553" spans="6:7" x14ac:dyDescent="0.55000000000000004">
      <c r="F1553" t="s">
        <v>8219</v>
      </c>
      <c r="G1553">
        <v>29</v>
      </c>
    </row>
    <row r="1554" spans="6:7" x14ac:dyDescent="0.55000000000000004">
      <c r="F1554" t="s">
        <v>8219</v>
      </c>
      <c r="G1554">
        <v>25</v>
      </c>
    </row>
    <row r="1555" spans="6:7" x14ac:dyDescent="0.55000000000000004">
      <c r="F1555" t="s">
        <v>8219</v>
      </c>
      <c r="G1555">
        <v>23</v>
      </c>
    </row>
    <row r="1556" spans="6:7" x14ac:dyDescent="0.55000000000000004">
      <c r="F1556" t="s">
        <v>8219</v>
      </c>
      <c r="G1556">
        <v>1260</v>
      </c>
    </row>
    <row r="1557" spans="6:7" x14ac:dyDescent="0.55000000000000004">
      <c r="F1557" t="s">
        <v>8219</v>
      </c>
      <c r="G1557">
        <v>307</v>
      </c>
    </row>
    <row r="1558" spans="6:7" x14ac:dyDescent="0.55000000000000004">
      <c r="F1558" t="s">
        <v>8219</v>
      </c>
      <c r="G1558">
        <v>329</v>
      </c>
    </row>
    <row r="1559" spans="6:7" x14ac:dyDescent="0.55000000000000004">
      <c r="F1559" t="s">
        <v>8219</v>
      </c>
      <c r="G1559">
        <v>32</v>
      </c>
    </row>
    <row r="1560" spans="6:7" x14ac:dyDescent="0.55000000000000004">
      <c r="F1560" t="s">
        <v>8219</v>
      </c>
      <c r="G1560">
        <v>27</v>
      </c>
    </row>
    <row r="1561" spans="6:7" x14ac:dyDescent="0.55000000000000004">
      <c r="F1561" t="s">
        <v>8219</v>
      </c>
      <c r="G1561">
        <v>236</v>
      </c>
    </row>
    <row r="1562" spans="6:7" x14ac:dyDescent="0.55000000000000004">
      <c r="F1562" t="s">
        <v>8219</v>
      </c>
      <c r="G1562">
        <v>42</v>
      </c>
    </row>
    <row r="1563" spans="6:7" x14ac:dyDescent="0.55000000000000004">
      <c r="F1563" t="s">
        <v>8219</v>
      </c>
      <c r="G1563">
        <v>95</v>
      </c>
    </row>
    <row r="1564" spans="6:7" x14ac:dyDescent="0.55000000000000004">
      <c r="F1564" t="s">
        <v>8219</v>
      </c>
      <c r="G1564">
        <v>37</v>
      </c>
    </row>
    <row r="1565" spans="6:7" x14ac:dyDescent="0.55000000000000004">
      <c r="F1565" t="s">
        <v>8219</v>
      </c>
      <c r="G1565">
        <v>128</v>
      </c>
    </row>
    <row r="1566" spans="6:7" x14ac:dyDescent="0.55000000000000004">
      <c r="F1566" t="s">
        <v>8219</v>
      </c>
      <c r="G1566">
        <v>156</v>
      </c>
    </row>
    <row r="1567" spans="6:7" x14ac:dyDescent="0.55000000000000004">
      <c r="F1567" t="s">
        <v>8219</v>
      </c>
      <c r="G1567">
        <v>64</v>
      </c>
    </row>
    <row r="1568" spans="6:7" x14ac:dyDescent="0.55000000000000004">
      <c r="F1568" t="s">
        <v>8219</v>
      </c>
      <c r="G1568">
        <v>58</v>
      </c>
    </row>
    <row r="1569" spans="6:7" x14ac:dyDescent="0.55000000000000004">
      <c r="F1569" t="s">
        <v>8219</v>
      </c>
      <c r="G1569">
        <v>20</v>
      </c>
    </row>
    <row r="1570" spans="6:7" x14ac:dyDescent="0.55000000000000004">
      <c r="F1570" t="s">
        <v>8219</v>
      </c>
      <c r="G1570">
        <v>47</v>
      </c>
    </row>
    <row r="1571" spans="6:7" x14ac:dyDescent="0.55000000000000004">
      <c r="F1571" t="s">
        <v>8219</v>
      </c>
      <c r="G1571">
        <v>54</v>
      </c>
    </row>
    <row r="1572" spans="6:7" x14ac:dyDescent="0.55000000000000004">
      <c r="F1572" t="s">
        <v>8219</v>
      </c>
      <c r="G1572">
        <v>9</v>
      </c>
    </row>
    <row r="1573" spans="6:7" x14ac:dyDescent="0.55000000000000004">
      <c r="F1573" t="s">
        <v>8219</v>
      </c>
      <c r="G1573">
        <v>213</v>
      </c>
    </row>
    <row r="1574" spans="6:7" x14ac:dyDescent="0.55000000000000004">
      <c r="F1574" t="s">
        <v>8219</v>
      </c>
      <c r="G1574">
        <v>57</v>
      </c>
    </row>
    <row r="1575" spans="6:7" x14ac:dyDescent="0.55000000000000004">
      <c r="F1575" t="s">
        <v>8219</v>
      </c>
      <c r="G1575">
        <v>25</v>
      </c>
    </row>
    <row r="1576" spans="6:7" x14ac:dyDescent="0.55000000000000004">
      <c r="F1576" t="s">
        <v>8219</v>
      </c>
      <c r="G1576">
        <v>104</v>
      </c>
    </row>
    <row r="1577" spans="6:7" x14ac:dyDescent="0.55000000000000004">
      <c r="F1577" t="s">
        <v>8219</v>
      </c>
      <c r="G1577">
        <v>34</v>
      </c>
    </row>
    <row r="1578" spans="6:7" x14ac:dyDescent="0.55000000000000004">
      <c r="F1578" t="s">
        <v>8219</v>
      </c>
      <c r="G1578">
        <v>67</v>
      </c>
    </row>
    <row r="1579" spans="6:7" x14ac:dyDescent="0.55000000000000004">
      <c r="F1579" t="s">
        <v>8219</v>
      </c>
      <c r="G1579">
        <v>241</v>
      </c>
    </row>
    <row r="1580" spans="6:7" x14ac:dyDescent="0.55000000000000004">
      <c r="F1580" t="s">
        <v>8219</v>
      </c>
      <c r="G1580">
        <v>123</v>
      </c>
    </row>
    <row r="1581" spans="6:7" x14ac:dyDescent="0.55000000000000004">
      <c r="F1581" t="s">
        <v>8219</v>
      </c>
      <c r="G1581">
        <v>302</v>
      </c>
    </row>
    <row r="1582" spans="6:7" x14ac:dyDescent="0.55000000000000004">
      <c r="F1582" t="s">
        <v>8219</v>
      </c>
      <c r="G1582">
        <v>89</v>
      </c>
    </row>
    <row r="1583" spans="6:7" x14ac:dyDescent="0.55000000000000004">
      <c r="F1583" t="s">
        <v>8219</v>
      </c>
      <c r="G1583">
        <v>41</v>
      </c>
    </row>
    <row r="1584" spans="6:7" x14ac:dyDescent="0.55000000000000004">
      <c r="F1584" t="s">
        <v>8219</v>
      </c>
      <c r="G1584">
        <v>69</v>
      </c>
    </row>
    <row r="1585" spans="6:7" x14ac:dyDescent="0.55000000000000004">
      <c r="F1585" t="s">
        <v>8219</v>
      </c>
      <c r="G1585">
        <v>52</v>
      </c>
    </row>
    <row r="1586" spans="6:7" x14ac:dyDescent="0.55000000000000004">
      <c r="F1586" t="s">
        <v>8219</v>
      </c>
      <c r="G1586">
        <v>57</v>
      </c>
    </row>
    <row r="1587" spans="6:7" x14ac:dyDescent="0.55000000000000004">
      <c r="F1587" t="s">
        <v>8219</v>
      </c>
      <c r="G1587">
        <v>74</v>
      </c>
    </row>
    <row r="1588" spans="6:7" x14ac:dyDescent="0.55000000000000004">
      <c r="F1588" t="s">
        <v>8219</v>
      </c>
      <c r="G1588">
        <v>63</v>
      </c>
    </row>
    <row r="1589" spans="6:7" x14ac:dyDescent="0.55000000000000004">
      <c r="F1589" t="s">
        <v>8219</v>
      </c>
      <c r="G1589">
        <v>72</v>
      </c>
    </row>
    <row r="1590" spans="6:7" x14ac:dyDescent="0.55000000000000004">
      <c r="F1590" t="s">
        <v>8219</v>
      </c>
      <c r="G1590">
        <v>71</v>
      </c>
    </row>
    <row r="1591" spans="6:7" x14ac:dyDescent="0.55000000000000004">
      <c r="F1591" t="s">
        <v>8219</v>
      </c>
      <c r="G1591">
        <v>21</v>
      </c>
    </row>
    <row r="1592" spans="6:7" x14ac:dyDescent="0.55000000000000004">
      <c r="F1592" t="s">
        <v>8219</v>
      </c>
      <c r="G1592">
        <v>930</v>
      </c>
    </row>
    <row r="1593" spans="6:7" x14ac:dyDescent="0.55000000000000004">
      <c r="F1593" t="s">
        <v>8219</v>
      </c>
      <c r="G1593">
        <v>55</v>
      </c>
    </row>
    <row r="1594" spans="6:7" x14ac:dyDescent="0.55000000000000004">
      <c r="F1594" t="s">
        <v>8219</v>
      </c>
      <c r="G1594">
        <v>61</v>
      </c>
    </row>
    <row r="1595" spans="6:7" x14ac:dyDescent="0.55000000000000004">
      <c r="F1595" t="s">
        <v>8219</v>
      </c>
      <c r="G1595">
        <v>82</v>
      </c>
    </row>
    <row r="1596" spans="6:7" x14ac:dyDescent="0.55000000000000004">
      <c r="F1596" t="s">
        <v>8219</v>
      </c>
      <c r="G1596">
        <v>71</v>
      </c>
    </row>
    <row r="1597" spans="6:7" x14ac:dyDescent="0.55000000000000004">
      <c r="F1597" t="s">
        <v>8219</v>
      </c>
      <c r="G1597">
        <v>117</v>
      </c>
    </row>
    <row r="1598" spans="6:7" x14ac:dyDescent="0.55000000000000004">
      <c r="F1598" t="s">
        <v>8219</v>
      </c>
      <c r="G1598">
        <v>29</v>
      </c>
    </row>
    <row r="1599" spans="6:7" x14ac:dyDescent="0.55000000000000004">
      <c r="F1599" t="s">
        <v>8219</v>
      </c>
      <c r="G1599">
        <v>74</v>
      </c>
    </row>
    <row r="1600" spans="6:7" x14ac:dyDescent="0.55000000000000004">
      <c r="F1600" t="s">
        <v>8219</v>
      </c>
      <c r="G1600">
        <v>23</v>
      </c>
    </row>
    <row r="1601" spans="6:7" x14ac:dyDescent="0.55000000000000004">
      <c r="F1601" t="s">
        <v>8219</v>
      </c>
      <c r="G1601">
        <v>60</v>
      </c>
    </row>
    <row r="1602" spans="6:7" x14ac:dyDescent="0.55000000000000004">
      <c r="F1602" t="s">
        <v>8219</v>
      </c>
      <c r="G1602">
        <v>55</v>
      </c>
    </row>
    <row r="1603" spans="6:7" x14ac:dyDescent="0.55000000000000004">
      <c r="F1603" t="s">
        <v>8219</v>
      </c>
      <c r="G1603">
        <v>51</v>
      </c>
    </row>
    <row r="1604" spans="6:7" x14ac:dyDescent="0.55000000000000004">
      <c r="F1604" t="s">
        <v>8219</v>
      </c>
      <c r="G1604">
        <v>78</v>
      </c>
    </row>
    <row r="1605" spans="6:7" x14ac:dyDescent="0.55000000000000004">
      <c r="F1605" t="s">
        <v>8219</v>
      </c>
      <c r="G1605">
        <v>62</v>
      </c>
    </row>
    <row r="1606" spans="6:7" x14ac:dyDescent="0.55000000000000004">
      <c r="F1606" t="s">
        <v>8219</v>
      </c>
      <c r="G1606">
        <v>45</v>
      </c>
    </row>
    <row r="1607" spans="6:7" x14ac:dyDescent="0.55000000000000004">
      <c r="F1607" t="s">
        <v>8219</v>
      </c>
      <c r="G1607">
        <v>15</v>
      </c>
    </row>
    <row r="1608" spans="6:7" x14ac:dyDescent="0.55000000000000004">
      <c r="F1608" t="s">
        <v>8219</v>
      </c>
      <c r="G1608">
        <v>151</v>
      </c>
    </row>
    <row r="1609" spans="6:7" x14ac:dyDescent="0.55000000000000004">
      <c r="F1609" t="s">
        <v>8219</v>
      </c>
      <c r="G1609">
        <v>68</v>
      </c>
    </row>
    <row r="1610" spans="6:7" x14ac:dyDescent="0.55000000000000004">
      <c r="F1610" t="s">
        <v>8219</v>
      </c>
      <c r="G1610">
        <v>46</v>
      </c>
    </row>
    <row r="1611" spans="6:7" x14ac:dyDescent="0.55000000000000004">
      <c r="F1611" t="s">
        <v>8219</v>
      </c>
      <c r="G1611">
        <v>24</v>
      </c>
    </row>
    <row r="1612" spans="6:7" x14ac:dyDescent="0.55000000000000004">
      <c r="F1612" t="s">
        <v>8219</v>
      </c>
      <c r="G1612">
        <v>70</v>
      </c>
    </row>
    <row r="1613" spans="6:7" x14ac:dyDescent="0.55000000000000004">
      <c r="F1613" t="s">
        <v>8219</v>
      </c>
      <c r="G1613">
        <v>244</v>
      </c>
    </row>
    <row r="1614" spans="6:7" x14ac:dyDescent="0.55000000000000004">
      <c r="F1614" t="s">
        <v>8219</v>
      </c>
      <c r="G1614">
        <v>82</v>
      </c>
    </row>
    <row r="1615" spans="6:7" x14ac:dyDescent="0.55000000000000004">
      <c r="F1615" t="s">
        <v>8219</v>
      </c>
      <c r="G1615">
        <v>226</v>
      </c>
    </row>
    <row r="1616" spans="6:7" x14ac:dyDescent="0.55000000000000004">
      <c r="F1616" t="s">
        <v>8219</v>
      </c>
      <c r="G1616">
        <v>60</v>
      </c>
    </row>
    <row r="1617" spans="6:7" x14ac:dyDescent="0.55000000000000004">
      <c r="F1617" t="s">
        <v>8219</v>
      </c>
      <c r="G1617">
        <v>322</v>
      </c>
    </row>
    <row r="1618" spans="6:7" x14ac:dyDescent="0.55000000000000004">
      <c r="F1618" t="s">
        <v>8219</v>
      </c>
      <c r="G1618">
        <v>94</v>
      </c>
    </row>
    <row r="1619" spans="6:7" x14ac:dyDescent="0.55000000000000004">
      <c r="F1619" t="s">
        <v>8219</v>
      </c>
      <c r="G1619">
        <v>47</v>
      </c>
    </row>
    <row r="1620" spans="6:7" x14ac:dyDescent="0.55000000000000004">
      <c r="F1620" t="s">
        <v>8219</v>
      </c>
      <c r="G1620">
        <v>115</v>
      </c>
    </row>
    <row r="1621" spans="6:7" x14ac:dyDescent="0.55000000000000004">
      <c r="F1621" t="s">
        <v>8219</v>
      </c>
      <c r="G1621">
        <v>134</v>
      </c>
    </row>
    <row r="1622" spans="6:7" x14ac:dyDescent="0.55000000000000004">
      <c r="F1622" t="s">
        <v>8219</v>
      </c>
      <c r="G1622">
        <v>35</v>
      </c>
    </row>
    <row r="1623" spans="6:7" x14ac:dyDescent="0.55000000000000004">
      <c r="F1623" t="s">
        <v>8219</v>
      </c>
      <c r="G1623">
        <v>104</v>
      </c>
    </row>
    <row r="1624" spans="6:7" x14ac:dyDescent="0.55000000000000004">
      <c r="F1624" t="s">
        <v>8219</v>
      </c>
      <c r="G1624">
        <v>184</v>
      </c>
    </row>
    <row r="1625" spans="6:7" x14ac:dyDescent="0.55000000000000004">
      <c r="F1625" t="s">
        <v>8219</v>
      </c>
      <c r="G1625">
        <v>119</v>
      </c>
    </row>
    <row r="1626" spans="6:7" x14ac:dyDescent="0.55000000000000004">
      <c r="F1626" t="s">
        <v>8219</v>
      </c>
      <c r="G1626">
        <v>59</v>
      </c>
    </row>
    <row r="1627" spans="6:7" x14ac:dyDescent="0.55000000000000004">
      <c r="F1627" t="s">
        <v>8219</v>
      </c>
      <c r="G1627">
        <v>113</v>
      </c>
    </row>
    <row r="1628" spans="6:7" x14ac:dyDescent="0.55000000000000004">
      <c r="F1628" t="s">
        <v>8219</v>
      </c>
      <c r="G1628">
        <v>84</v>
      </c>
    </row>
    <row r="1629" spans="6:7" x14ac:dyDescent="0.55000000000000004">
      <c r="F1629" t="s">
        <v>8219</v>
      </c>
      <c r="G1629">
        <v>74</v>
      </c>
    </row>
    <row r="1630" spans="6:7" x14ac:dyDescent="0.55000000000000004">
      <c r="F1630" t="s">
        <v>8219</v>
      </c>
      <c r="G1630">
        <v>216</v>
      </c>
    </row>
    <row r="1631" spans="6:7" x14ac:dyDescent="0.55000000000000004">
      <c r="F1631" t="s">
        <v>8219</v>
      </c>
      <c r="G1631">
        <v>39</v>
      </c>
    </row>
    <row r="1632" spans="6:7" x14ac:dyDescent="0.55000000000000004">
      <c r="F1632" t="s">
        <v>8219</v>
      </c>
      <c r="G1632">
        <v>21</v>
      </c>
    </row>
    <row r="1633" spans="6:7" x14ac:dyDescent="0.55000000000000004">
      <c r="F1633" t="s">
        <v>8219</v>
      </c>
      <c r="G1633">
        <v>30</v>
      </c>
    </row>
    <row r="1634" spans="6:7" x14ac:dyDescent="0.55000000000000004">
      <c r="F1634" t="s">
        <v>8219</v>
      </c>
      <c r="G1634">
        <v>37</v>
      </c>
    </row>
    <row r="1635" spans="6:7" x14ac:dyDescent="0.55000000000000004">
      <c r="F1635" t="s">
        <v>8219</v>
      </c>
      <c r="G1635">
        <v>202</v>
      </c>
    </row>
    <row r="1636" spans="6:7" x14ac:dyDescent="0.55000000000000004">
      <c r="F1636" t="s">
        <v>8219</v>
      </c>
      <c r="G1636">
        <v>37</v>
      </c>
    </row>
    <row r="1637" spans="6:7" x14ac:dyDescent="0.55000000000000004">
      <c r="F1637" t="s">
        <v>8219</v>
      </c>
      <c r="G1637">
        <v>28</v>
      </c>
    </row>
    <row r="1638" spans="6:7" x14ac:dyDescent="0.55000000000000004">
      <c r="F1638" t="s">
        <v>8219</v>
      </c>
      <c r="G1638">
        <v>26</v>
      </c>
    </row>
    <row r="1639" spans="6:7" x14ac:dyDescent="0.55000000000000004">
      <c r="F1639" t="s">
        <v>8219</v>
      </c>
      <c r="G1639">
        <v>61</v>
      </c>
    </row>
    <row r="1640" spans="6:7" x14ac:dyDescent="0.55000000000000004">
      <c r="F1640" t="s">
        <v>8219</v>
      </c>
      <c r="G1640">
        <v>115</v>
      </c>
    </row>
    <row r="1641" spans="6:7" x14ac:dyDescent="0.55000000000000004">
      <c r="F1641" t="s">
        <v>8219</v>
      </c>
      <c r="G1641">
        <v>181</v>
      </c>
    </row>
    <row r="1642" spans="6:7" x14ac:dyDescent="0.55000000000000004">
      <c r="F1642" t="s">
        <v>8219</v>
      </c>
      <c r="G1642">
        <v>110</v>
      </c>
    </row>
    <row r="1643" spans="6:7" x14ac:dyDescent="0.55000000000000004">
      <c r="F1643" t="s">
        <v>8219</v>
      </c>
      <c r="G1643">
        <v>269</v>
      </c>
    </row>
    <row r="1644" spans="6:7" x14ac:dyDescent="0.55000000000000004">
      <c r="F1644" t="s">
        <v>8219</v>
      </c>
      <c r="G1644">
        <v>79</v>
      </c>
    </row>
    <row r="1645" spans="6:7" x14ac:dyDescent="0.55000000000000004">
      <c r="F1645" t="s">
        <v>8219</v>
      </c>
      <c r="G1645">
        <v>104</v>
      </c>
    </row>
    <row r="1646" spans="6:7" x14ac:dyDescent="0.55000000000000004">
      <c r="F1646" t="s">
        <v>8219</v>
      </c>
      <c r="G1646">
        <v>34</v>
      </c>
    </row>
    <row r="1647" spans="6:7" x14ac:dyDescent="0.55000000000000004">
      <c r="F1647" t="s">
        <v>8219</v>
      </c>
      <c r="G1647">
        <v>167</v>
      </c>
    </row>
    <row r="1648" spans="6:7" x14ac:dyDescent="0.55000000000000004">
      <c r="F1648" t="s">
        <v>8219</v>
      </c>
      <c r="G1648">
        <v>183</v>
      </c>
    </row>
    <row r="1649" spans="6:7" x14ac:dyDescent="0.55000000000000004">
      <c r="F1649" t="s">
        <v>8219</v>
      </c>
      <c r="G1649">
        <v>71</v>
      </c>
    </row>
    <row r="1650" spans="6:7" x14ac:dyDescent="0.55000000000000004">
      <c r="F1650" t="s">
        <v>8219</v>
      </c>
      <c r="G1650">
        <v>69</v>
      </c>
    </row>
    <row r="1651" spans="6:7" x14ac:dyDescent="0.55000000000000004">
      <c r="F1651" t="s">
        <v>8219</v>
      </c>
      <c r="G1651">
        <v>270</v>
      </c>
    </row>
    <row r="1652" spans="6:7" x14ac:dyDescent="0.55000000000000004">
      <c r="F1652" t="s">
        <v>8219</v>
      </c>
      <c r="G1652">
        <v>193</v>
      </c>
    </row>
    <row r="1653" spans="6:7" x14ac:dyDescent="0.55000000000000004">
      <c r="F1653" t="s">
        <v>8219</v>
      </c>
      <c r="G1653">
        <v>57</v>
      </c>
    </row>
    <row r="1654" spans="6:7" x14ac:dyDescent="0.55000000000000004">
      <c r="F1654" t="s">
        <v>8219</v>
      </c>
      <c r="G1654">
        <v>200</v>
      </c>
    </row>
    <row r="1655" spans="6:7" x14ac:dyDescent="0.55000000000000004">
      <c r="F1655" t="s">
        <v>8219</v>
      </c>
      <c r="G1655">
        <v>88</v>
      </c>
    </row>
    <row r="1656" spans="6:7" x14ac:dyDescent="0.55000000000000004">
      <c r="F1656" t="s">
        <v>8219</v>
      </c>
      <c r="G1656">
        <v>213</v>
      </c>
    </row>
    <row r="1657" spans="6:7" x14ac:dyDescent="0.55000000000000004">
      <c r="F1657" t="s">
        <v>8219</v>
      </c>
      <c r="G1657">
        <v>20</v>
      </c>
    </row>
    <row r="1658" spans="6:7" x14ac:dyDescent="0.55000000000000004">
      <c r="F1658" t="s">
        <v>8219</v>
      </c>
      <c r="G1658">
        <v>50</v>
      </c>
    </row>
    <row r="1659" spans="6:7" x14ac:dyDescent="0.55000000000000004">
      <c r="F1659" t="s">
        <v>8219</v>
      </c>
      <c r="G1659">
        <v>115</v>
      </c>
    </row>
    <row r="1660" spans="6:7" x14ac:dyDescent="0.55000000000000004">
      <c r="F1660" t="s">
        <v>8219</v>
      </c>
      <c r="G1660">
        <v>186</v>
      </c>
    </row>
    <row r="1661" spans="6:7" x14ac:dyDescent="0.55000000000000004">
      <c r="F1661" t="s">
        <v>8219</v>
      </c>
      <c r="G1661">
        <v>18</v>
      </c>
    </row>
    <row r="1662" spans="6:7" x14ac:dyDescent="0.55000000000000004">
      <c r="F1662" t="s">
        <v>8219</v>
      </c>
      <c r="G1662">
        <v>176</v>
      </c>
    </row>
    <row r="1663" spans="6:7" x14ac:dyDescent="0.55000000000000004">
      <c r="F1663" t="s">
        <v>8219</v>
      </c>
      <c r="G1663">
        <v>41</v>
      </c>
    </row>
    <row r="1664" spans="6:7" x14ac:dyDescent="0.55000000000000004">
      <c r="F1664" t="s">
        <v>8219</v>
      </c>
      <c r="G1664">
        <v>75</v>
      </c>
    </row>
    <row r="1665" spans="6:7" x14ac:dyDescent="0.55000000000000004">
      <c r="F1665" t="s">
        <v>8219</v>
      </c>
      <c r="G1665">
        <v>97</v>
      </c>
    </row>
    <row r="1666" spans="6:7" x14ac:dyDescent="0.55000000000000004">
      <c r="F1666" t="s">
        <v>8219</v>
      </c>
      <c r="G1666">
        <v>73</v>
      </c>
    </row>
    <row r="1667" spans="6:7" x14ac:dyDescent="0.55000000000000004">
      <c r="F1667" t="s">
        <v>8219</v>
      </c>
      <c r="G1667">
        <v>49</v>
      </c>
    </row>
    <row r="1668" spans="6:7" x14ac:dyDescent="0.55000000000000004">
      <c r="F1668" t="s">
        <v>8219</v>
      </c>
      <c r="G1668">
        <v>134</v>
      </c>
    </row>
    <row r="1669" spans="6:7" x14ac:dyDescent="0.55000000000000004">
      <c r="F1669" t="s">
        <v>8219</v>
      </c>
      <c r="G1669">
        <v>68</v>
      </c>
    </row>
    <row r="1670" spans="6:7" x14ac:dyDescent="0.55000000000000004">
      <c r="F1670" t="s">
        <v>8219</v>
      </c>
      <c r="G1670">
        <v>49</v>
      </c>
    </row>
    <row r="1671" spans="6:7" x14ac:dyDescent="0.55000000000000004">
      <c r="F1671" t="s">
        <v>8219</v>
      </c>
      <c r="G1671">
        <v>63</v>
      </c>
    </row>
    <row r="1672" spans="6:7" x14ac:dyDescent="0.55000000000000004">
      <c r="F1672" t="s">
        <v>8219</v>
      </c>
      <c r="G1672">
        <v>163</v>
      </c>
    </row>
    <row r="1673" spans="6:7" x14ac:dyDescent="0.55000000000000004">
      <c r="F1673" t="s">
        <v>8219</v>
      </c>
      <c r="G1673">
        <v>288</v>
      </c>
    </row>
    <row r="1674" spans="6:7" x14ac:dyDescent="0.55000000000000004">
      <c r="F1674" t="s">
        <v>8219</v>
      </c>
      <c r="G1674">
        <v>42</v>
      </c>
    </row>
    <row r="1675" spans="6:7" x14ac:dyDescent="0.55000000000000004">
      <c r="F1675" t="s">
        <v>8219</v>
      </c>
      <c r="G1675">
        <v>70</v>
      </c>
    </row>
    <row r="1676" spans="6:7" x14ac:dyDescent="0.55000000000000004">
      <c r="F1676" t="s">
        <v>8219</v>
      </c>
      <c r="G1676">
        <v>30</v>
      </c>
    </row>
    <row r="1677" spans="6:7" x14ac:dyDescent="0.55000000000000004">
      <c r="F1677" t="s">
        <v>8219</v>
      </c>
      <c r="G1677">
        <v>51</v>
      </c>
    </row>
    <row r="1678" spans="6:7" x14ac:dyDescent="0.55000000000000004">
      <c r="F1678" t="s">
        <v>8219</v>
      </c>
      <c r="G1678">
        <v>145</v>
      </c>
    </row>
    <row r="1679" spans="6:7" x14ac:dyDescent="0.55000000000000004">
      <c r="F1679" t="s">
        <v>8219</v>
      </c>
      <c r="G1679">
        <v>21</v>
      </c>
    </row>
    <row r="1680" spans="6:7" x14ac:dyDescent="0.55000000000000004">
      <c r="F1680" t="s">
        <v>8219</v>
      </c>
      <c r="G1680">
        <v>286</v>
      </c>
    </row>
    <row r="1681" spans="6:7" x14ac:dyDescent="0.55000000000000004">
      <c r="F1681" t="s">
        <v>8219</v>
      </c>
      <c r="G1681">
        <v>12</v>
      </c>
    </row>
    <row r="1682" spans="6:7" x14ac:dyDescent="0.55000000000000004">
      <c r="F1682" t="s">
        <v>8219</v>
      </c>
      <c r="G1682">
        <v>100</v>
      </c>
    </row>
    <row r="1683" spans="6:7" x14ac:dyDescent="0.55000000000000004">
      <c r="F1683" t="s">
        <v>8219</v>
      </c>
      <c r="G1683">
        <v>100</v>
      </c>
    </row>
    <row r="1684" spans="6:7" x14ac:dyDescent="0.55000000000000004">
      <c r="F1684" t="s">
        <v>8219</v>
      </c>
      <c r="G1684">
        <v>34</v>
      </c>
    </row>
    <row r="1685" spans="6:7" x14ac:dyDescent="0.55000000000000004">
      <c r="F1685" t="s">
        <v>8219</v>
      </c>
      <c r="G1685">
        <v>63</v>
      </c>
    </row>
    <row r="1686" spans="6:7" x14ac:dyDescent="0.55000000000000004">
      <c r="F1686" t="s">
        <v>8219</v>
      </c>
      <c r="G1686">
        <v>30</v>
      </c>
    </row>
    <row r="1687" spans="6:7" x14ac:dyDescent="0.55000000000000004">
      <c r="F1687" t="s">
        <v>8219</v>
      </c>
      <c r="G1687">
        <v>47</v>
      </c>
    </row>
    <row r="1688" spans="6:7" x14ac:dyDescent="0.55000000000000004">
      <c r="F1688" t="s">
        <v>8219</v>
      </c>
      <c r="G1688">
        <v>237</v>
      </c>
    </row>
    <row r="1689" spans="6:7" x14ac:dyDescent="0.55000000000000004">
      <c r="F1689" t="s">
        <v>8219</v>
      </c>
      <c r="G1689">
        <v>47</v>
      </c>
    </row>
    <row r="1690" spans="6:7" x14ac:dyDescent="0.55000000000000004">
      <c r="F1690" t="s">
        <v>8219</v>
      </c>
      <c r="G1690">
        <v>15</v>
      </c>
    </row>
    <row r="1691" spans="6:7" x14ac:dyDescent="0.55000000000000004">
      <c r="F1691" t="s">
        <v>8219</v>
      </c>
      <c r="G1691">
        <v>81</v>
      </c>
    </row>
    <row r="1692" spans="6:7" x14ac:dyDescent="0.55000000000000004">
      <c r="F1692" t="s">
        <v>8219</v>
      </c>
      <c r="G1692">
        <v>122</v>
      </c>
    </row>
    <row r="1693" spans="6:7" x14ac:dyDescent="0.55000000000000004">
      <c r="F1693" t="s">
        <v>8219</v>
      </c>
      <c r="G1693">
        <v>34</v>
      </c>
    </row>
    <row r="1694" spans="6:7" x14ac:dyDescent="0.55000000000000004">
      <c r="F1694" t="s">
        <v>8219</v>
      </c>
      <c r="G1694">
        <v>207</v>
      </c>
    </row>
    <row r="1695" spans="6:7" x14ac:dyDescent="0.55000000000000004">
      <c r="F1695" t="s">
        <v>8219</v>
      </c>
      <c r="G1695">
        <v>25</v>
      </c>
    </row>
    <row r="1696" spans="6:7" x14ac:dyDescent="0.55000000000000004">
      <c r="F1696" t="s">
        <v>8219</v>
      </c>
      <c r="G1696">
        <v>72</v>
      </c>
    </row>
    <row r="1697" spans="6:7" x14ac:dyDescent="0.55000000000000004">
      <c r="F1697" t="s">
        <v>8219</v>
      </c>
      <c r="G1697">
        <v>14</v>
      </c>
    </row>
    <row r="1698" spans="6:7" x14ac:dyDescent="0.55000000000000004">
      <c r="F1698" t="s">
        <v>8219</v>
      </c>
      <c r="G1698">
        <v>15</v>
      </c>
    </row>
    <row r="1699" spans="6:7" x14ac:dyDescent="0.55000000000000004">
      <c r="F1699" t="s">
        <v>8219</v>
      </c>
      <c r="G1699">
        <v>91</v>
      </c>
    </row>
    <row r="1700" spans="6:7" x14ac:dyDescent="0.55000000000000004">
      <c r="F1700" t="s">
        <v>8219</v>
      </c>
      <c r="G1700">
        <v>24</v>
      </c>
    </row>
    <row r="1701" spans="6:7" x14ac:dyDescent="0.55000000000000004">
      <c r="F1701" t="s">
        <v>8219</v>
      </c>
      <c r="G1701">
        <v>27</v>
      </c>
    </row>
    <row r="1702" spans="6:7" x14ac:dyDescent="0.55000000000000004">
      <c r="F1702" t="s">
        <v>8219</v>
      </c>
      <c r="G1702">
        <v>47</v>
      </c>
    </row>
    <row r="1703" spans="6:7" x14ac:dyDescent="0.55000000000000004">
      <c r="F1703" t="s">
        <v>8219</v>
      </c>
      <c r="G1703">
        <v>44</v>
      </c>
    </row>
    <row r="1704" spans="6:7" x14ac:dyDescent="0.55000000000000004">
      <c r="F1704" t="s">
        <v>8219</v>
      </c>
      <c r="G1704">
        <v>72</v>
      </c>
    </row>
    <row r="1705" spans="6:7" x14ac:dyDescent="0.55000000000000004">
      <c r="F1705" t="s">
        <v>8219</v>
      </c>
      <c r="G1705">
        <v>63</v>
      </c>
    </row>
    <row r="1706" spans="6:7" x14ac:dyDescent="0.55000000000000004">
      <c r="F1706" t="s">
        <v>8219</v>
      </c>
      <c r="G1706">
        <v>88</v>
      </c>
    </row>
    <row r="1707" spans="6:7" x14ac:dyDescent="0.55000000000000004">
      <c r="F1707" t="s">
        <v>8219</v>
      </c>
      <c r="G1707">
        <v>70</v>
      </c>
    </row>
    <row r="1708" spans="6:7" x14ac:dyDescent="0.55000000000000004">
      <c r="F1708" t="s">
        <v>8219</v>
      </c>
      <c r="G1708">
        <v>50</v>
      </c>
    </row>
    <row r="1709" spans="6:7" x14ac:dyDescent="0.55000000000000004">
      <c r="F1709" t="s">
        <v>8219</v>
      </c>
      <c r="G1709">
        <v>35</v>
      </c>
    </row>
    <row r="1710" spans="6:7" x14ac:dyDescent="0.55000000000000004">
      <c r="F1710" t="s">
        <v>8219</v>
      </c>
      <c r="G1710">
        <v>175</v>
      </c>
    </row>
    <row r="1711" spans="6:7" x14ac:dyDescent="0.55000000000000004">
      <c r="F1711" t="s">
        <v>8219</v>
      </c>
      <c r="G1711">
        <v>20</v>
      </c>
    </row>
    <row r="1712" spans="6:7" x14ac:dyDescent="0.55000000000000004">
      <c r="F1712" t="s">
        <v>8219</v>
      </c>
      <c r="G1712">
        <v>54</v>
      </c>
    </row>
    <row r="1713" spans="6:7" x14ac:dyDescent="0.55000000000000004">
      <c r="F1713" t="s">
        <v>8219</v>
      </c>
      <c r="G1713">
        <v>20</v>
      </c>
    </row>
    <row r="1714" spans="6:7" x14ac:dyDescent="0.55000000000000004">
      <c r="F1714" t="s">
        <v>8219</v>
      </c>
      <c r="G1714">
        <v>57</v>
      </c>
    </row>
    <row r="1715" spans="6:7" x14ac:dyDescent="0.55000000000000004">
      <c r="F1715" t="s">
        <v>8219</v>
      </c>
      <c r="G1715">
        <v>31</v>
      </c>
    </row>
    <row r="1716" spans="6:7" x14ac:dyDescent="0.55000000000000004">
      <c r="F1716" t="s">
        <v>8219</v>
      </c>
      <c r="G1716">
        <v>31</v>
      </c>
    </row>
    <row r="1717" spans="6:7" x14ac:dyDescent="0.55000000000000004">
      <c r="F1717" t="s">
        <v>8219</v>
      </c>
      <c r="G1717">
        <v>45</v>
      </c>
    </row>
    <row r="1718" spans="6:7" x14ac:dyDescent="0.55000000000000004">
      <c r="F1718" t="s">
        <v>8219</v>
      </c>
      <c r="G1718">
        <v>41</v>
      </c>
    </row>
    <row r="1719" spans="6:7" x14ac:dyDescent="0.55000000000000004">
      <c r="F1719" t="s">
        <v>8219</v>
      </c>
      <c r="G1719">
        <v>29</v>
      </c>
    </row>
    <row r="1720" spans="6:7" x14ac:dyDescent="0.55000000000000004">
      <c r="F1720" t="s">
        <v>8219</v>
      </c>
      <c r="G1720">
        <v>58</v>
      </c>
    </row>
    <row r="1721" spans="6:7" x14ac:dyDescent="0.55000000000000004">
      <c r="F1721" t="s">
        <v>8219</v>
      </c>
      <c r="G1721">
        <v>89</v>
      </c>
    </row>
    <row r="1722" spans="6:7" x14ac:dyDescent="0.55000000000000004">
      <c r="F1722" t="s">
        <v>8219</v>
      </c>
      <c r="G1722">
        <v>125</v>
      </c>
    </row>
    <row r="1723" spans="6:7" x14ac:dyDescent="0.55000000000000004">
      <c r="F1723" t="s">
        <v>8219</v>
      </c>
      <c r="G1723">
        <v>18</v>
      </c>
    </row>
    <row r="1724" spans="6:7" x14ac:dyDescent="0.55000000000000004">
      <c r="F1724" t="s">
        <v>8219</v>
      </c>
      <c r="G1724">
        <v>32</v>
      </c>
    </row>
    <row r="1725" spans="6:7" x14ac:dyDescent="0.55000000000000004">
      <c r="F1725" t="s">
        <v>8219</v>
      </c>
      <c r="G1725">
        <v>16</v>
      </c>
    </row>
    <row r="1726" spans="6:7" x14ac:dyDescent="0.55000000000000004">
      <c r="F1726" t="s">
        <v>8219</v>
      </c>
      <c r="G1726">
        <v>38</v>
      </c>
    </row>
    <row r="1727" spans="6:7" x14ac:dyDescent="0.55000000000000004">
      <c r="F1727" t="s">
        <v>8219</v>
      </c>
      <c r="G1727">
        <v>15</v>
      </c>
    </row>
    <row r="1728" spans="6:7" x14ac:dyDescent="0.55000000000000004">
      <c r="F1728" t="s">
        <v>8219</v>
      </c>
      <c r="G1728">
        <v>23</v>
      </c>
    </row>
    <row r="1729" spans="6:7" x14ac:dyDescent="0.55000000000000004">
      <c r="F1729" t="s">
        <v>8219</v>
      </c>
      <c r="G1729">
        <v>49</v>
      </c>
    </row>
    <row r="1730" spans="6:7" x14ac:dyDescent="0.55000000000000004">
      <c r="F1730" t="s">
        <v>8219</v>
      </c>
      <c r="G1730">
        <v>10</v>
      </c>
    </row>
    <row r="1731" spans="6:7" x14ac:dyDescent="0.55000000000000004">
      <c r="F1731" t="s">
        <v>8219</v>
      </c>
      <c r="G1731">
        <v>15</v>
      </c>
    </row>
    <row r="1732" spans="6:7" x14ac:dyDescent="0.55000000000000004">
      <c r="F1732" t="s">
        <v>8219</v>
      </c>
      <c r="G1732">
        <v>57</v>
      </c>
    </row>
    <row r="1733" spans="6:7" x14ac:dyDescent="0.55000000000000004">
      <c r="F1733" t="s">
        <v>8219</v>
      </c>
      <c r="G1733">
        <v>33</v>
      </c>
    </row>
    <row r="1734" spans="6:7" x14ac:dyDescent="0.55000000000000004">
      <c r="F1734" t="s">
        <v>8219</v>
      </c>
      <c r="G1734">
        <v>9</v>
      </c>
    </row>
    <row r="1735" spans="6:7" x14ac:dyDescent="0.55000000000000004">
      <c r="F1735" t="s">
        <v>8219</v>
      </c>
      <c r="G1735">
        <v>26</v>
      </c>
    </row>
    <row r="1736" spans="6:7" x14ac:dyDescent="0.55000000000000004">
      <c r="F1736" t="s">
        <v>8219</v>
      </c>
      <c r="G1736">
        <v>69</v>
      </c>
    </row>
    <row r="1737" spans="6:7" x14ac:dyDescent="0.55000000000000004">
      <c r="F1737" t="s">
        <v>8219</v>
      </c>
      <c r="G1737">
        <v>65</v>
      </c>
    </row>
    <row r="1738" spans="6:7" x14ac:dyDescent="0.55000000000000004">
      <c r="F1738" t="s">
        <v>8219</v>
      </c>
      <c r="G1738">
        <v>83</v>
      </c>
    </row>
    <row r="1739" spans="6:7" x14ac:dyDescent="0.55000000000000004">
      <c r="F1739" t="s">
        <v>8219</v>
      </c>
      <c r="G1739">
        <v>111</v>
      </c>
    </row>
    <row r="1740" spans="6:7" x14ac:dyDescent="0.55000000000000004">
      <c r="F1740" t="s">
        <v>8219</v>
      </c>
      <c r="G1740">
        <v>46</v>
      </c>
    </row>
    <row r="1741" spans="6:7" x14ac:dyDescent="0.55000000000000004">
      <c r="F1741" t="s">
        <v>8219</v>
      </c>
      <c r="G1741">
        <v>63</v>
      </c>
    </row>
    <row r="1742" spans="6:7" x14ac:dyDescent="0.55000000000000004">
      <c r="F1742" t="s">
        <v>8219</v>
      </c>
      <c r="G1742">
        <v>9</v>
      </c>
    </row>
    <row r="1743" spans="6:7" x14ac:dyDescent="0.55000000000000004">
      <c r="F1743" t="s">
        <v>8219</v>
      </c>
      <c r="G1743">
        <v>34</v>
      </c>
    </row>
    <row r="1744" spans="6:7" x14ac:dyDescent="0.55000000000000004">
      <c r="F1744" t="s">
        <v>8219</v>
      </c>
      <c r="G1744">
        <v>112</v>
      </c>
    </row>
    <row r="1745" spans="6:7" x14ac:dyDescent="0.55000000000000004">
      <c r="F1745" t="s">
        <v>8219</v>
      </c>
      <c r="G1745">
        <v>47</v>
      </c>
    </row>
    <row r="1746" spans="6:7" x14ac:dyDescent="0.55000000000000004">
      <c r="F1746" t="s">
        <v>8219</v>
      </c>
      <c r="G1746">
        <v>38</v>
      </c>
    </row>
    <row r="1747" spans="6:7" x14ac:dyDescent="0.55000000000000004">
      <c r="F1747" t="s">
        <v>8219</v>
      </c>
      <c r="G1747">
        <v>28</v>
      </c>
    </row>
    <row r="1748" spans="6:7" x14ac:dyDescent="0.55000000000000004">
      <c r="F1748" t="s">
        <v>8219</v>
      </c>
      <c r="G1748">
        <v>78</v>
      </c>
    </row>
    <row r="1749" spans="6:7" x14ac:dyDescent="0.55000000000000004">
      <c r="F1749" t="s">
        <v>8219</v>
      </c>
      <c r="G1749">
        <v>23</v>
      </c>
    </row>
    <row r="1750" spans="6:7" x14ac:dyDescent="0.55000000000000004">
      <c r="F1750" t="s">
        <v>8219</v>
      </c>
      <c r="G1750">
        <v>40</v>
      </c>
    </row>
    <row r="1751" spans="6:7" x14ac:dyDescent="0.55000000000000004">
      <c r="F1751" t="s">
        <v>8219</v>
      </c>
      <c r="G1751">
        <v>13</v>
      </c>
    </row>
    <row r="1752" spans="6:7" x14ac:dyDescent="0.55000000000000004">
      <c r="F1752" t="s">
        <v>8219</v>
      </c>
      <c r="G1752">
        <v>18</v>
      </c>
    </row>
    <row r="1753" spans="6:7" x14ac:dyDescent="0.55000000000000004">
      <c r="F1753" t="s">
        <v>8219</v>
      </c>
      <c r="G1753">
        <v>22</v>
      </c>
    </row>
    <row r="1754" spans="6:7" x14ac:dyDescent="0.55000000000000004">
      <c r="F1754" t="s">
        <v>8219</v>
      </c>
      <c r="G1754">
        <v>79</v>
      </c>
    </row>
    <row r="1755" spans="6:7" x14ac:dyDescent="0.55000000000000004">
      <c r="F1755" t="s">
        <v>8219</v>
      </c>
      <c r="G1755">
        <v>14</v>
      </c>
    </row>
    <row r="1756" spans="6:7" x14ac:dyDescent="0.55000000000000004">
      <c r="F1756" t="s">
        <v>8219</v>
      </c>
      <c r="G1756">
        <v>51</v>
      </c>
    </row>
    <row r="1757" spans="6:7" x14ac:dyDescent="0.55000000000000004">
      <c r="F1757" t="s">
        <v>8219</v>
      </c>
      <c r="G1757">
        <v>54</v>
      </c>
    </row>
    <row r="1758" spans="6:7" x14ac:dyDescent="0.55000000000000004">
      <c r="F1758" t="s">
        <v>8219</v>
      </c>
      <c r="G1758">
        <v>70</v>
      </c>
    </row>
    <row r="1759" spans="6:7" x14ac:dyDescent="0.55000000000000004">
      <c r="F1759" t="s">
        <v>8219</v>
      </c>
      <c r="G1759">
        <v>44</v>
      </c>
    </row>
    <row r="1760" spans="6:7" x14ac:dyDescent="0.55000000000000004">
      <c r="F1760" t="s">
        <v>8219</v>
      </c>
      <c r="G1760">
        <v>55</v>
      </c>
    </row>
    <row r="1761" spans="6:7" x14ac:dyDescent="0.55000000000000004">
      <c r="F1761" t="s">
        <v>8219</v>
      </c>
      <c r="G1761">
        <v>15</v>
      </c>
    </row>
    <row r="1762" spans="6:7" x14ac:dyDescent="0.55000000000000004">
      <c r="F1762" t="s">
        <v>8219</v>
      </c>
      <c r="G1762">
        <v>27</v>
      </c>
    </row>
    <row r="1763" spans="6:7" x14ac:dyDescent="0.55000000000000004">
      <c r="F1763" t="s">
        <v>8219</v>
      </c>
      <c r="G1763">
        <v>21</v>
      </c>
    </row>
    <row r="1764" spans="6:7" x14ac:dyDescent="0.55000000000000004">
      <c r="F1764" t="s">
        <v>8219</v>
      </c>
      <c r="G1764">
        <v>162</v>
      </c>
    </row>
    <row r="1765" spans="6:7" x14ac:dyDescent="0.55000000000000004">
      <c r="F1765" t="s">
        <v>8219</v>
      </c>
      <c r="G1765">
        <v>23</v>
      </c>
    </row>
    <row r="1766" spans="6:7" x14ac:dyDescent="0.55000000000000004">
      <c r="F1766" t="s">
        <v>8219</v>
      </c>
      <c r="G1766">
        <v>72</v>
      </c>
    </row>
    <row r="1767" spans="6:7" x14ac:dyDescent="0.55000000000000004">
      <c r="F1767" t="s">
        <v>8219</v>
      </c>
      <c r="G1767">
        <v>68</v>
      </c>
    </row>
    <row r="1768" spans="6:7" x14ac:dyDescent="0.55000000000000004">
      <c r="F1768" t="s">
        <v>8219</v>
      </c>
      <c r="G1768">
        <v>20</v>
      </c>
    </row>
    <row r="1769" spans="6:7" x14ac:dyDescent="0.55000000000000004">
      <c r="F1769" t="s">
        <v>8219</v>
      </c>
      <c r="G1769">
        <v>26</v>
      </c>
    </row>
    <row r="1770" spans="6:7" x14ac:dyDescent="0.55000000000000004">
      <c r="F1770" t="s">
        <v>8219</v>
      </c>
      <c r="G1770">
        <v>72</v>
      </c>
    </row>
    <row r="1771" spans="6:7" x14ac:dyDescent="0.55000000000000004">
      <c r="F1771" t="s">
        <v>8219</v>
      </c>
      <c r="G1771">
        <v>3</v>
      </c>
    </row>
    <row r="1772" spans="6:7" x14ac:dyDescent="0.55000000000000004">
      <c r="F1772" t="s">
        <v>8219</v>
      </c>
      <c r="G1772">
        <v>18</v>
      </c>
    </row>
    <row r="1773" spans="6:7" x14ac:dyDescent="0.55000000000000004">
      <c r="F1773" t="s">
        <v>8219</v>
      </c>
      <c r="G1773">
        <v>30</v>
      </c>
    </row>
    <row r="1774" spans="6:7" x14ac:dyDescent="0.55000000000000004">
      <c r="F1774" t="s">
        <v>8219</v>
      </c>
      <c r="G1774">
        <v>23</v>
      </c>
    </row>
    <row r="1775" spans="6:7" x14ac:dyDescent="0.55000000000000004">
      <c r="F1775" t="s">
        <v>8219</v>
      </c>
      <c r="G1775">
        <v>54</v>
      </c>
    </row>
    <row r="1776" spans="6:7" x14ac:dyDescent="0.55000000000000004">
      <c r="F1776" t="s">
        <v>8219</v>
      </c>
      <c r="G1776">
        <v>26</v>
      </c>
    </row>
    <row r="1777" spans="6:7" x14ac:dyDescent="0.55000000000000004">
      <c r="F1777" t="s">
        <v>8219</v>
      </c>
      <c r="G1777">
        <v>9</v>
      </c>
    </row>
    <row r="1778" spans="6:7" x14ac:dyDescent="0.55000000000000004">
      <c r="F1778" t="s">
        <v>8219</v>
      </c>
      <c r="G1778">
        <v>27</v>
      </c>
    </row>
    <row r="1779" spans="6:7" x14ac:dyDescent="0.55000000000000004">
      <c r="F1779" t="s">
        <v>8219</v>
      </c>
      <c r="G1779">
        <v>30</v>
      </c>
    </row>
    <row r="1780" spans="6:7" x14ac:dyDescent="0.55000000000000004">
      <c r="F1780" t="s">
        <v>8219</v>
      </c>
      <c r="G1780">
        <v>52</v>
      </c>
    </row>
    <row r="1781" spans="6:7" x14ac:dyDescent="0.55000000000000004">
      <c r="F1781" t="s">
        <v>8219</v>
      </c>
      <c r="G1781">
        <v>17</v>
      </c>
    </row>
    <row r="1782" spans="6:7" x14ac:dyDescent="0.55000000000000004">
      <c r="F1782" t="s">
        <v>8219</v>
      </c>
      <c r="G1782">
        <v>19</v>
      </c>
    </row>
    <row r="1783" spans="6:7" x14ac:dyDescent="0.55000000000000004">
      <c r="F1783" t="s">
        <v>8219</v>
      </c>
      <c r="G1783">
        <v>77</v>
      </c>
    </row>
    <row r="1784" spans="6:7" x14ac:dyDescent="0.55000000000000004">
      <c r="F1784" t="s">
        <v>8219</v>
      </c>
      <c r="G1784">
        <v>21</v>
      </c>
    </row>
    <row r="1785" spans="6:7" x14ac:dyDescent="0.55000000000000004">
      <c r="F1785" t="s">
        <v>8219</v>
      </c>
      <c r="G1785">
        <v>38</v>
      </c>
    </row>
    <row r="1786" spans="6:7" x14ac:dyDescent="0.55000000000000004">
      <c r="F1786" t="s">
        <v>8219</v>
      </c>
      <c r="G1786">
        <v>28</v>
      </c>
    </row>
    <row r="1787" spans="6:7" x14ac:dyDescent="0.55000000000000004">
      <c r="F1787" t="s">
        <v>8219</v>
      </c>
      <c r="G1787">
        <v>48</v>
      </c>
    </row>
    <row r="1788" spans="6:7" x14ac:dyDescent="0.55000000000000004">
      <c r="F1788" t="s">
        <v>8219</v>
      </c>
      <c r="G1788">
        <v>46</v>
      </c>
    </row>
    <row r="1789" spans="6:7" x14ac:dyDescent="0.55000000000000004">
      <c r="F1789" t="s">
        <v>8219</v>
      </c>
      <c r="G1789">
        <v>30</v>
      </c>
    </row>
    <row r="1790" spans="6:7" x14ac:dyDescent="0.55000000000000004">
      <c r="F1790" t="s">
        <v>8219</v>
      </c>
      <c r="G1790">
        <v>64</v>
      </c>
    </row>
    <row r="1791" spans="6:7" x14ac:dyDescent="0.55000000000000004">
      <c r="F1791" t="s">
        <v>8219</v>
      </c>
      <c r="G1791">
        <v>15</v>
      </c>
    </row>
    <row r="1792" spans="6:7" x14ac:dyDescent="0.55000000000000004">
      <c r="F1792" t="s">
        <v>8219</v>
      </c>
      <c r="G1792">
        <v>41</v>
      </c>
    </row>
    <row r="1793" spans="6:7" x14ac:dyDescent="0.55000000000000004">
      <c r="F1793" t="s">
        <v>8219</v>
      </c>
      <c r="G1793">
        <v>35</v>
      </c>
    </row>
    <row r="1794" spans="6:7" x14ac:dyDescent="0.55000000000000004">
      <c r="F1794" t="s">
        <v>8219</v>
      </c>
      <c r="G1794">
        <v>45</v>
      </c>
    </row>
    <row r="1795" spans="6:7" x14ac:dyDescent="0.55000000000000004">
      <c r="F1795" t="s">
        <v>8219</v>
      </c>
      <c r="G1795">
        <v>62</v>
      </c>
    </row>
    <row r="1796" spans="6:7" x14ac:dyDescent="0.55000000000000004">
      <c r="F1796" t="s">
        <v>8219</v>
      </c>
      <c r="G1796">
        <v>22</v>
      </c>
    </row>
    <row r="1797" spans="6:7" x14ac:dyDescent="0.55000000000000004">
      <c r="F1797" t="s">
        <v>8219</v>
      </c>
      <c r="G1797">
        <v>18</v>
      </c>
    </row>
    <row r="1798" spans="6:7" x14ac:dyDescent="0.55000000000000004">
      <c r="F1798" t="s">
        <v>8219</v>
      </c>
      <c r="G1798">
        <v>12</v>
      </c>
    </row>
    <row r="1799" spans="6:7" x14ac:dyDescent="0.55000000000000004">
      <c r="F1799" t="s">
        <v>8219</v>
      </c>
      <c r="G1799">
        <v>44</v>
      </c>
    </row>
    <row r="1800" spans="6:7" x14ac:dyDescent="0.55000000000000004">
      <c r="F1800" t="s">
        <v>8219</v>
      </c>
      <c r="G1800">
        <v>27</v>
      </c>
    </row>
    <row r="1801" spans="6:7" x14ac:dyDescent="0.55000000000000004">
      <c r="F1801" t="s">
        <v>8219</v>
      </c>
      <c r="G1801">
        <v>38</v>
      </c>
    </row>
    <row r="1802" spans="6:7" x14ac:dyDescent="0.55000000000000004">
      <c r="F1802" t="s">
        <v>8219</v>
      </c>
      <c r="G1802">
        <v>28</v>
      </c>
    </row>
    <row r="1803" spans="6:7" x14ac:dyDescent="0.55000000000000004">
      <c r="F1803" t="s">
        <v>8219</v>
      </c>
      <c r="G1803">
        <v>24</v>
      </c>
    </row>
    <row r="1804" spans="6:7" x14ac:dyDescent="0.55000000000000004">
      <c r="F1804" t="s">
        <v>8219</v>
      </c>
      <c r="G1804">
        <v>65</v>
      </c>
    </row>
    <row r="1805" spans="6:7" x14ac:dyDescent="0.55000000000000004">
      <c r="F1805" t="s">
        <v>8219</v>
      </c>
      <c r="G1805">
        <v>46</v>
      </c>
    </row>
    <row r="1806" spans="6:7" x14ac:dyDescent="0.55000000000000004">
      <c r="F1806" t="s">
        <v>8219</v>
      </c>
      <c r="G1806">
        <v>85</v>
      </c>
    </row>
    <row r="1807" spans="6:7" x14ac:dyDescent="0.55000000000000004">
      <c r="F1807" t="s">
        <v>8219</v>
      </c>
      <c r="G1807">
        <v>66</v>
      </c>
    </row>
    <row r="1808" spans="6:7" x14ac:dyDescent="0.55000000000000004">
      <c r="F1808" t="s">
        <v>8219</v>
      </c>
      <c r="G1808">
        <v>165</v>
      </c>
    </row>
    <row r="1809" spans="6:7" x14ac:dyDescent="0.55000000000000004">
      <c r="F1809" t="s">
        <v>8219</v>
      </c>
      <c r="G1809">
        <v>17</v>
      </c>
    </row>
    <row r="1810" spans="6:7" x14ac:dyDescent="0.55000000000000004">
      <c r="F1810" t="s">
        <v>8219</v>
      </c>
      <c r="G1810">
        <v>3</v>
      </c>
    </row>
    <row r="1811" spans="6:7" x14ac:dyDescent="0.55000000000000004">
      <c r="F1811" t="s">
        <v>8219</v>
      </c>
      <c r="G1811">
        <v>17</v>
      </c>
    </row>
    <row r="1812" spans="6:7" x14ac:dyDescent="0.55000000000000004">
      <c r="F1812" t="s">
        <v>8219</v>
      </c>
      <c r="G1812">
        <v>91</v>
      </c>
    </row>
    <row r="1813" spans="6:7" x14ac:dyDescent="0.55000000000000004">
      <c r="F1813" t="s">
        <v>8219</v>
      </c>
      <c r="G1813">
        <v>67</v>
      </c>
    </row>
    <row r="1814" spans="6:7" x14ac:dyDescent="0.55000000000000004">
      <c r="F1814" t="s">
        <v>8219</v>
      </c>
      <c r="G1814">
        <v>18</v>
      </c>
    </row>
    <row r="1815" spans="6:7" x14ac:dyDescent="0.55000000000000004">
      <c r="F1815" t="s">
        <v>8219</v>
      </c>
      <c r="G1815">
        <v>21</v>
      </c>
    </row>
    <row r="1816" spans="6:7" x14ac:dyDescent="0.55000000000000004">
      <c r="F1816" t="s">
        <v>8219</v>
      </c>
      <c r="G1816">
        <v>40</v>
      </c>
    </row>
    <row r="1817" spans="6:7" x14ac:dyDescent="0.55000000000000004">
      <c r="F1817" t="s">
        <v>8219</v>
      </c>
      <c r="G1817">
        <v>78</v>
      </c>
    </row>
    <row r="1818" spans="6:7" x14ac:dyDescent="0.55000000000000004">
      <c r="F1818" t="s">
        <v>8219</v>
      </c>
      <c r="G1818">
        <v>26</v>
      </c>
    </row>
    <row r="1819" spans="6:7" x14ac:dyDescent="0.55000000000000004">
      <c r="F1819" t="s">
        <v>8219</v>
      </c>
      <c r="G1819">
        <v>14</v>
      </c>
    </row>
    <row r="1820" spans="6:7" x14ac:dyDescent="0.55000000000000004">
      <c r="F1820" t="s">
        <v>8219</v>
      </c>
      <c r="G1820">
        <v>44</v>
      </c>
    </row>
    <row r="1821" spans="6:7" x14ac:dyDescent="0.55000000000000004">
      <c r="F1821" t="s">
        <v>8219</v>
      </c>
      <c r="G1821">
        <v>9</v>
      </c>
    </row>
    <row r="1822" spans="6:7" x14ac:dyDescent="0.55000000000000004">
      <c r="F1822" t="s">
        <v>8219</v>
      </c>
      <c r="G1822">
        <v>30</v>
      </c>
    </row>
    <row r="1823" spans="6:7" x14ac:dyDescent="0.55000000000000004">
      <c r="F1823" t="s">
        <v>8219</v>
      </c>
      <c r="G1823">
        <v>45</v>
      </c>
    </row>
    <row r="1824" spans="6:7" x14ac:dyDescent="0.55000000000000004">
      <c r="F1824" t="s">
        <v>8219</v>
      </c>
      <c r="G1824">
        <v>56</v>
      </c>
    </row>
    <row r="1825" spans="6:7" x14ac:dyDescent="0.55000000000000004">
      <c r="F1825" t="s">
        <v>8219</v>
      </c>
      <c r="G1825">
        <v>46</v>
      </c>
    </row>
    <row r="1826" spans="6:7" x14ac:dyDescent="0.55000000000000004">
      <c r="F1826" t="s">
        <v>8219</v>
      </c>
      <c r="G1826">
        <v>34</v>
      </c>
    </row>
    <row r="1827" spans="6:7" x14ac:dyDescent="0.55000000000000004">
      <c r="F1827" t="s">
        <v>8219</v>
      </c>
      <c r="G1827">
        <v>98</v>
      </c>
    </row>
    <row r="1828" spans="6:7" x14ac:dyDescent="0.55000000000000004">
      <c r="F1828" t="s">
        <v>8219</v>
      </c>
      <c r="G1828">
        <v>46</v>
      </c>
    </row>
    <row r="1829" spans="6:7" x14ac:dyDescent="0.55000000000000004">
      <c r="F1829" t="s">
        <v>8219</v>
      </c>
      <c r="G1829">
        <v>10</v>
      </c>
    </row>
    <row r="1830" spans="6:7" x14ac:dyDescent="0.55000000000000004">
      <c r="F1830" t="s">
        <v>8219</v>
      </c>
      <c r="G1830">
        <v>76</v>
      </c>
    </row>
    <row r="1831" spans="6:7" x14ac:dyDescent="0.55000000000000004">
      <c r="F1831" t="s">
        <v>8219</v>
      </c>
      <c r="G1831">
        <v>104</v>
      </c>
    </row>
    <row r="1832" spans="6:7" x14ac:dyDescent="0.55000000000000004">
      <c r="F1832" t="s">
        <v>8219</v>
      </c>
      <c r="G1832">
        <v>87</v>
      </c>
    </row>
    <row r="1833" spans="6:7" x14ac:dyDescent="0.55000000000000004">
      <c r="F1833" t="s">
        <v>8219</v>
      </c>
      <c r="G1833">
        <v>29</v>
      </c>
    </row>
    <row r="1834" spans="6:7" x14ac:dyDescent="0.55000000000000004">
      <c r="F1834" t="s">
        <v>8219</v>
      </c>
      <c r="G1834">
        <v>51</v>
      </c>
    </row>
    <row r="1835" spans="6:7" x14ac:dyDescent="0.55000000000000004">
      <c r="F1835" t="s">
        <v>8219</v>
      </c>
      <c r="G1835">
        <v>12</v>
      </c>
    </row>
    <row r="1836" spans="6:7" x14ac:dyDescent="0.55000000000000004">
      <c r="F1836" t="s">
        <v>8219</v>
      </c>
      <c r="G1836">
        <v>72</v>
      </c>
    </row>
    <row r="1837" spans="6:7" x14ac:dyDescent="0.55000000000000004">
      <c r="F1837" t="s">
        <v>8219</v>
      </c>
      <c r="G1837">
        <v>21</v>
      </c>
    </row>
    <row r="1838" spans="6:7" x14ac:dyDescent="0.55000000000000004">
      <c r="F1838" t="s">
        <v>8219</v>
      </c>
      <c r="G1838">
        <v>42</v>
      </c>
    </row>
    <row r="1839" spans="6:7" x14ac:dyDescent="0.55000000000000004">
      <c r="F1839" t="s">
        <v>8219</v>
      </c>
      <c r="G1839">
        <v>71</v>
      </c>
    </row>
    <row r="1840" spans="6:7" x14ac:dyDescent="0.55000000000000004">
      <c r="F1840" t="s">
        <v>8219</v>
      </c>
      <c r="G1840">
        <v>168</v>
      </c>
    </row>
    <row r="1841" spans="6:7" x14ac:dyDescent="0.55000000000000004">
      <c r="F1841" t="s">
        <v>8219</v>
      </c>
      <c r="G1841">
        <v>19</v>
      </c>
    </row>
    <row r="1842" spans="6:7" x14ac:dyDescent="0.55000000000000004">
      <c r="F1842" t="s">
        <v>8219</v>
      </c>
      <c r="G1842">
        <v>37</v>
      </c>
    </row>
    <row r="1843" spans="6:7" x14ac:dyDescent="0.55000000000000004">
      <c r="F1843" t="s">
        <v>8219</v>
      </c>
      <c r="G1843">
        <v>36</v>
      </c>
    </row>
    <row r="1844" spans="6:7" x14ac:dyDescent="0.55000000000000004">
      <c r="F1844" t="s">
        <v>8219</v>
      </c>
      <c r="G1844">
        <v>14</v>
      </c>
    </row>
    <row r="1845" spans="6:7" x14ac:dyDescent="0.55000000000000004">
      <c r="F1845" t="s">
        <v>8219</v>
      </c>
      <c r="G1845">
        <v>18</v>
      </c>
    </row>
    <row r="1846" spans="6:7" x14ac:dyDescent="0.55000000000000004">
      <c r="F1846" t="s">
        <v>8219</v>
      </c>
      <c r="G1846">
        <v>82</v>
      </c>
    </row>
    <row r="1847" spans="6:7" x14ac:dyDescent="0.55000000000000004">
      <c r="F1847" t="s">
        <v>8219</v>
      </c>
      <c r="G1847">
        <v>43</v>
      </c>
    </row>
    <row r="1848" spans="6:7" x14ac:dyDescent="0.55000000000000004">
      <c r="F1848" t="s">
        <v>8219</v>
      </c>
      <c r="G1848">
        <v>8</v>
      </c>
    </row>
    <row r="1849" spans="6:7" x14ac:dyDescent="0.55000000000000004">
      <c r="F1849" t="s">
        <v>8219</v>
      </c>
      <c r="G1849">
        <v>45</v>
      </c>
    </row>
    <row r="1850" spans="6:7" x14ac:dyDescent="0.55000000000000004">
      <c r="F1850" t="s">
        <v>8219</v>
      </c>
      <c r="G1850">
        <v>20</v>
      </c>
    </row>
    <row r="1851" spans="6:7" x14ac:dyDescent="0.55000000000000004">
      <c r="F1851" t="s">
        <v>8219</v>
      </c>
      <c r="G1851">
        <v>31</v>
      </c>
    </row>
    <row r="1852" spans="6:7" x14ac:dyDescent="0.55000000000000004">
      <c r="F1852" t="s">
        <v>8219</v>
      </c>
      <c r="G1852">
        <v>25</v>
      </c>
    </row>
    <row r="1853" spans="6:7" x14ac:dyDescent="0.55000000000000004">
      <c r="F1853" t="s">
        <v>8219</v>
      </c>
      <c r="G1853">
        <v>14</v>
      </c>
    </row>
    <row r="1854" spans="6:7" x14ac:dyDescent="0.55000000000000004">
      <c r="F1854" t="s">
        <v>8219</v>
      </c>
      <c r="G1854">
        <v>45</v>
      </c>
    </row>
    <row r="1855" spans="6:7" x14ac:dyDescent="0.55000000000000004">
      <c r="F1855" t="s">
        <v>8219</v>
      </c>
      <c r="G1855">
        <v>20</v>
      </c>
    </row>
    <row r="1856" spans="6:7" x14ac:dyDescent="0.55000000000000004">
      <c r="F1856" t="s">
        <v>8219</v>
      </c>
      <c r="G1856">
        <v>39</v>
      </c>
    </row>
    <row r="1857" spans="6:7" x14ac:dyDescent="0.55000000000000004">
      <c r="F1857" t="s">
        <v>8219</v>
      </c>
      <c r="G1857">
        <v>16</v>
      </c>
    </row>
    <row r="1858" spans="6:7" x14ac:dyDescent="0.55000000000000004">
      <c r="F1858" t="s">
        <v>8219</v>
      </c>
      <c r="G1858">
        <v>37</v>
      </c>
    </row>
    <row r="1859" spans="6:7" x14ac:dyDescent="0.55000000000000004">
      <c r="F1859" t="s">
        <v>8219</v>
      </c>
      <c r="G1859">
        <v>14</v>
      </c>
    </row>
    <row r="1860" spans="6:7" x14ac:dyDescent="0.55000000000000004">
      <c r="F1860" t="s">
        <v>8219</v>
      </c>
      <c r="G1860">
        <v>21</v>
      </c>
    </row>
    <row r="1861" spans="6:7" x14ac:dyDescent="0.55000000000000004">
      <c r="F1861" t="s">
        <v>8219</v>
      </c>
      <c r="G1861">
        <v>69</v>
      </c>
    </row>
    <row r="1862" spans="6:7" x14ac:dyDescent="0.55000000000000004">
      <c r="F1862" t="s">
        <v>8219</v>
      </c>
      <c r="G1862">
        <v>16</v>
      </c>
    </row>
    <row r="1863" spans="6:7" x14ac:dyDescent="0.55000000000000004">
      <c r="F1863" t="s">
        <v>8219</v>
      </c>
      <c r="G1863">
        <v>55</v>
      </c>
    </row>
    <row r="1864" spans="6:7" x14ac:dyDescent="0.55000000000000004">
      <c r="F1864" t="s">
        <v>8219</v>
      </c>
      <c r="G1864">
        <v>27</v>
      </c>
    </row>
    <row r="1865" spans="6:7" x14ac:dyDescent="0.55000000000000004">
      <c r="F1865" t="s">
        <v>8219</v>
      </c>
      <c r="G1865">
        <v>36</v>
      </c>
    </row>
    <row r="1866" spans="6:7" x14ac:dyDescent="0.55000000000000004">
      <c r="F1866" t="s">
        <v>8219</v>
      </c>
      <c r="G1866">
        <v>19</v>
      </c>
    </row>
    <row r="1867" spans="6:7" x14ac:dyDescent="0.55000000000000004">
      <c r="F1867" t="s">
        <v>8219</v>
      </c>
      <c r="G1867">
        <v>12</v>
      </c>
    </row>
    <row r="1868" spans="6:7" x14ac:dyDescent="0.55000000000000004">
      <c r="F1868" t="s">
        <v>8219</v>
      </c>
      <c r="G1868">
        <v>17</v>
      </c>
    </row>
    <row r="1869" spans="6:7" x14ac:dyDescent="0.55000000000000004">
      <c r="F1869" t="s">
        <v>8219</v>
      </c>
      <c r="G1869">
        <v>114</v>
      </c>
    </row>
    <row r="1870" spans="6:7" x14ac:dyDescent="0.55000000000000004">
      <c r="F1870" t="s">
        <v>8219</v>
      </c>
      <c r="G1870">
        <v>93</v>
      </c>
    </row>
    <row r="1871" spans="6:7" x14ac:dyDescent="0.55000000000000004">
      <c r="F1871" t="s">
        <v>8219</v>
      </c>
      <c r="G1871">
        <v>36</v>
      </c>
    </row>
    <row r="1872" spans="6:7" x14ac:dyDescent="0.55000000000000004">
      <c r="F1872" t="s">
        <v>8219</v>
      </c>
      <c r="G1872">
        <v>61</v>
      </c>
    </row>
    <row r="1873" spans="6:7" x14ac:dyDescent="0.55000000000000004">
      <c r="F1873" t="s">
        <v>8219</v>
      </c>
      <c r="G1873">
        <v>47</v>
      </c>
    </row>
    <row r="1874" spans="6:7" x14ac:dyDescent="0.55000000000000004">
      <c r="F1874" t="s">
        <v>8219</v>
      </c>
      <c r="G1874">
        <v>17</v>
      </c>
    </row>
    <row r="1875" spans="6:7" x14ac:dyDescent="0.55000000000000004">
      <c r="F1875" t="s">
        <v>8219</v>
      </c>
      <c r="G1875">
        <v>63</v>
      </c>
    </row>
    <row r="1876" spans="6:7" x14ac:dyDescent="0.55000000000000004">
      <c r="F1876" t="s">
        <v>8219</v>
      </c>
      <c r="G1876">
        <v>9</v>
      </c>
    </row>
    <row r="1877" spans="6:7" x14ac:dyDescent="0.55000000000000004">
      <c r="F1877" t="s">
        <v>8219</v>
      </c>
      <c r="G1877">
        <v>30</v>
      </c>
    </row>
    <row r="1878" spans="6:7" x14ac:dyDescent="0.55000000000000004">
      <c r="F1878" t="s">
        <v>8219</v>
      </c>
      <c r="G1878">
        <v>23</v>
      </c>
    </row>
    <row r="1879" spans="6:7" x14ac:dyDescent="0.55000000000000004">
      <c r="F1879" t="s">
        <v>8219</v>
      </c>
      <c r="G1879">
        <v>33</v>
      </c>
    </row>
    <row r="1880" spans="6:7" x14ac:dyDescent="0.55000000000000004">
      <c r="F1880" t="s">
        <v>8219</v>
      </c>
      <c r="G1880">
        <v>39</v>
      </c>
    </row>
    <row r="1881" spans="6:7" x14ac:dyDescent="0.55000000000000004">
      <c r="F1881" t="s">
        <v>8219</v>
      </c>
      <c r="G1881">
        <v>17</v>
      </c>
    </row>
    <row r="1882" spans="6:7" x14ac:dyDescent="0.55000000000000004">
      <c r="F1882" t="s">
        <v>8219</v>
      </c>
      <c r="G1882">
        <v>6</v>
      </c>
    </row>
    <row r="1883" spans="6:7" x14ac:dyDescent="0.55000000000000004">
      <c r="F1883" t="s">
        <v>8219</v>
      </c>
      <c r="G1883">
        <v>39</v>
      </c>
    </row>
    <row r="1884" spans="6:7" x14ac:dyDescent="0.55000000000000004">
      <c r="F1884" t="s">
        <v>8219</v>
      </c>
      <c r="G1884">
        <v>57</v>
      </c>
    </row>
    <row r="1885" spans="6:7" x14ac:dyDescent="0.55000000000000004">
      <c r="F1885" t="s">
        <v>8219</v>
      </c>
      <c r="G1885">
        <v>56</v>
      </c>
    </row>
    <row r="1886" spans="6:7" x14ac:dyDescent="0.55000000000000004">
      <c r="F1886" t="s">
        <v>8219</v>
      </c>
      <c r="G1886">
        <v>13</v>
      </c>
    </row>
    <row r="1887" spans="6:7" x14ac:dyDescent="0.55000000000000004">
      <c r="F1887" t="s">
        <v>8219</v>
      </c>
      <c r="G1887">
        <v>95</v>
      </c>
    </row>
    <row r="1888" spans="6:7" x14ac:dyDescent="0.55000000000000004">
      <c r="F1888" t="s">
        <v>8219</v>
      </c>
      <c r="G1888">
        <v>80</v>
      </c>
    </row>
    <row r="1889" spans="6:7" x14ac:dyDescent="0.55000000000000004">
      <c r="F1889" t="s">
        <v>8219</v>
      </c>
      <c r="G1889">
        <v>133</v>
      </c>
    </row>
    <row r="1890" spans="6:7" x14ac:dyDescent="0.55000000000000004">
      <c r="F1890" t="s">
        <v>8219</v>
      </c>
      <c r="G1890">
        <v>44</v>
      </c>
    </row>
    <row r="1891" spans="6:7" x14ac:dyDescent="0.55000000000000004">
      <c r="F1891" t="s">
        <v>8219</v>
      </c>
      <c r="G1891">
        <v>30</v>
      </c>
    </row>
    <row r="1892" spans="6:7" x14ac:dyDescent="0.55000000000000004">
      <c r="F1892" t="s">
        <v>8219</v>
      </c>
      <c r="G1892">
        <v>56</v>
      </c>
    </row>
    <row r="1893" spans="6:7" x14ac:dyDescent="0.55000000000000004">
      <c r="F1893" t="s">
        <v>8219</v>
      </c>
      <c r="G1893">
        <v>66</v>
      </c>
    </row>
    <row r="1894" spans="6:7" x14ac:dyDescent="0.55000000000000004">
      <c r="F1894" t="s">
        <v>8219</v>
      </c>
      <c r="G1894">
        <v>29</v>
      </c>
    </row>
    <row r="1895" spans="6:7" x14ac:dyDescent="0.55000000000000004">
      <c r="F1895" t="s">
        <v>8219</v>
      </c>
      <c r="G1895">
        <v>72</v>
      </c>
    </row>
    <row r="1896" spans="6:7" x14ac:dyDescent="0.55000000000000004">
      <c r="F1896" t="s">
        <v>8219</v>
      </c>
      <c r="G1896">
        <v>27</v>
      </c>
    </row>
    <row r="1897" spans="6:7" x14ac:dyDescent="0.55000000000000004">
      <c r="F1897" t="s">
        <v>8219</v>
      </c>
      <c r="G1897">
        <v>10</v>
      </c>
    </row>
    <row r="1898" spans="6:7" x14ac:dyDescent="0.55000000000000004">
      <c r="F1898" t="s">
        <v>8219</v>
      </c>
      <c r="G1898">
        <v>35</v>
      </c>
    </row>
    <row r="1899" spans="6:7" x14ac:dyDescent="0.55000000000000004">
      <c r="F1899" t="s">
        <v>8219</v>
      </c>
      <c r="G1899">
        <v>29</v>
      </c>
    </row>
    <row r="1900" spans="6:7" x14ac:dyDescent="0.55000000000000004">
      <c r="F1900" t="s">
        <v>8219</v>
      </c>
      <c r="G1900">
        <v>13</v>
      </c>
    </row>
    <row r="1901" spans="6:7" x14ac:dyDescent="0.55000000000000004">
      <c r="F1901" t="s">
        <v>8219</v>
      </c>
      <c r="G1901">
        <v>72</v>
      </c>
    </row>
    <row r="1902" spans="6:7" x14ac:dyDescent="0.55000000000000004">
      <c r="F1902" t="s">
        <v>8219</v>
      </c>
      <c r="G1902">
        <v>78</v>
      </c>
    </row>
    <row r="1903" spans="6:7" x14ac:dyDescent="0.55000000000000004">
      <c r="F1903" t="s">
        <v>8219</v>
      </c>
      <c r="G1903">
        <v>49</v>
      </c>
    </row>
    <row r="1904" spans="6:7" x14ac:dyDescent="0.55000000000000004">
      <c r="F1904" t="s">
        <v>8219</v>
      </c>
      <c r="G1904">
        <v>42</v>
      </c>
    </row>
    <row r="1905" spans="6:7" x14ac:dyDescent="0.55000000000000004">
      <c r="F1905" t="s">
        <v>8219</v>
      </c>
      <c r="G1905">
        <v>35</v>
      </c>
    </row>
    <row r="1906" spans="6:7" x14ac:dyDescent="0.55000000000000004">
      <c r="F1906" t="s">
        <v>8219</v>
      </c>
      <c r="G1906">
        <v>42</v>
      </c>
    </row>
    <row r="1907" spans="6:7" x14ac:dyDescent="0.55000000000000004">
      <c r="F1907" t="s">
        <v>8219</v>
      </c>
      <c r="G1907">
        <v>42</v>
      </c>
    </row>
    <row r="1908" spans="6:7" x14ac:dyDescent="0.55000000000000004">
      <c r="F1908" t="s">
        <v>8219</v>
      </c>
      <c r="G1908">
        <v>31</v>
      </c>
    </row>
    <row r="1909" spans="6:7" x14ac:dyDescent="0.55000000000000004">
      <c r="F1909" t="s">
        <v>8219</v>
      </c>
      <c r="G1909">
        <v>38</v>
      </c>
    </row>
    <row r="1910" spans="6:7" x14ac:dyDescent="0.55000000000000004">
      <c r="F1910" t="s">
        <v>8219</v>
      </c>
      <c r="G1910">
        <v>8</v>
      </c>
    </row>
    <row r="1911" spans="6:7" x14ac:dyDescent="0.55000000000000004">
      <c r="F1911" t="s">
        <v>8219</v>
      </c>
      <c r="G1911">
        <v>39</v>
      </c>
    </row>
    <row r="1912" spans="6:7" x14ac:dyDescent="0.55000000000000004">
      <c r="F1912" t="s">
        <v>8219</v>
      </c>
      <c r="G1912">
        <v>29</v>
      </c>
    </row>
    <row r="1913" spans="6:7" x14ac:dyDescent="0.55000000000000004">
      <c r="F1913" t="s">
        <v>8219</v>
      </c>
      <c r="G1913">
        <v>72</v>
      </c>
    </row>
    <row r="1914" spans="6:7" x14ac:dyDescent="0.55000000000000004">
      <c r="F1914" t="s">
        <v>8219</v>
      </c>
      <c r="G1914">
        <v>15</v>
      </c>
    </row>
    <row r="1915" spans="6:7" x14ac:dyDescent="0.55000000000000004">
      <c r="F1915" t="s">
        <v>8219</v>
      </c>
      <c r="G1915">
        <v>33</v>
      </c>
    </row>
    <row r="1916" spans="6:7" x14ac:dyDescent="0.55000000000000004">
      <c r="F1916" t="s">
        <v>8219</v>
      </c>
      <c r="G1916">
        <v>15</v>
      </c>
    </row>
    <row r="1917" spans="6:7" x14ac:dyDescent="0.55000000000000004">
      <c r="F1917" t="s">
        <v>8219</v>
      </c>
      <c r="G1917">
        <v>19</v>
      </c>
    </row>
    <row r="1918" spans="6:7" x14ac:dyDescent="0.55000000000000004">
      <c r="F1918" t="s">
        <v>8219</v>
      </c>
      <c r="G1918">
        <v>17</v>
      </c>
    </row>
    <row r="1919" spans="6:7" x14ac:dyDescent="0.55000000000000004">
      <c r="F1919" t="s">
        <v>8219</v>
      </c>
      <c r="G1919">
        <v>44</v>
      </c>
    </row>
    <row r="1920" spans="6:7" x14ac:dyDescent="0.55000000000000004">
      <c r="F1920" t="s">
        <v>8219</v>
      </c>
      <c r="G1920">
        <v>10</v>
      </c>
    </row>
    <row r="1921" spans="6:7" x14ac:dyDescent="0.55000000000000004">
      <c r="F1921" t="s">
        <v>8219</v>
      </c>
      <c r="G1921">
        <v>46</v>
      </c>
    </row>
    <row r="1922" spans="6:7" x14ac:dyDescent="0.55000000000000004">
      <c r="F1922" t="s">
        <v>8219</v>
      </c>
      <c r="G1922">
        <v>11</v>
      </c>
    </row>
    <row r="1923" spans="6:7" x14ac:dyDescent="0.55000000000000004">
      <c r="F1923" t="s">
        <v>8219</v>
      </c>
      <c r="G1923">
        <v>13</v>
      </c>
    </row>
    <row r="1924" spans="6:7" x14ac:dyDescent="0.55000000000000004">
      <c r="F1924" t="s">
        <v>8219</v>
      </c>
      <c r="G1924">
        <v>33</v>
      </c>
    </row>
    <row r="1925" spans="6:7" x14ac:dyDescent="0.55000000000000004">
      <c r="F1925" t="s">
        <v>8219</v>
      </c>
      <c r="G1925">
        <v>28</v>
      </c>
    </row>
    <row r="1926" spans="6:7" x14ac:dyDescent="0.55000000000000004">
      <c r="F1926" t="s">
        <v>8219</v>
      </c>
      <c r="G1926">
        <v>21</v>
      </c>
    </row>
    <row r="1927" spans="6:7" x14ac:dyDescent="0.55000000000000004">
      <c r="F1927" t="s">
        <v>8219</v>
      </c>
      <c r="G1927">
        <v>13</v>
      </c>
    </row>
    <row r="1928" spans="6:7" x14ac:dyDescent="0.55000000000000004">
      <c r="F1928" t="s">
        <v>8219</v>
      </c>
      <c r="G1928">
        <v>34</v>
      </c>
    </row>
    <row r="1929" spans="6:7" x14ac:dyDescent="0.55000000000000004">
      <c r="F1929" t="s">
        <v>8219</v>
      </c>
      <c r="G1929">
        <v>80</v>
      </c>
    </row>
    <row r="1930" spans="6:7" x14ac:dyDescent="0.55000000000000004">
      <c r="F1930" t="s">
        <v>8219</v>
      </c>
      <c r="G1930">
        <v>74</v>
      </c>
    </row>
    <row r="1931" spans="6:7" x14ac:dyDescent="0.55000000000000004">
      <c r="F1931" t="s">
        <v>8219</v>
      </c>
      <c r="G1931">
        <v>7</v>
      </c>
    </row>
    <row r="1932" spans="6:7" x14ac:dyDescent="0.55000000000000004">
      <c r="F1932" t="s">
        <v>8219</v>
      </c>
      <c r="G1932">
        <v>34</v>
      </c>
    </row>
    <row r="1933" spans="6:7" x14ac:dyDescent="0.55000000000000004">
      <c r="F1933" t="s">
        <v>8219</v>
      </c>
      <c r="G1933">
        <v>86</v>
      </c>
    </row>
    <row r="1934" spans="6:7" x14ac:dyDescent="0.55000000000000004">
      <c r="F1934" t="s">
        <v>8219</v>
      </c>
      <c r="G1934">
        <v>37</v>
      </c>
    </row>
    <row r="1935" spans="6:7" x14ac:dyDescent="0.55000000000000004">
      <c r="F1935" t="s">
        <v>8219</v>
      </c>
      <c r="G1935">
        <v>18</v>
      </c>
    </row>
    <row r="1936" spans="6:7" x14ac:dyDescent="0.55000000000000004">
      <c r="F1936" t="s">
        <v>8219</v>
      </c>
      <c r="G1936">
        <v>22</v>
      </c>
    </row>
    <row r="1937" spans="6:7" x14ac:dyDescent="0.55000000000000004">
      <c r="F1937" t="s">
        <v>8219</v>
      </c>
      <c r="G1937">
        <v>26</v>
      </c>
    </row>
    <row r="1938" spans="6:7" x14ac:dyDescent="0.55000000000000004">
      <c r="F1938" t="s">
        <v>8219</v>
      </c>
      <c r="G1938">
        <v>27</v>
      </c>
    </row>
    <row r="1939" spans="6:7" x14ac:dyDescent="0.55000000000000004">
      <c r="F1939" t="s">
        <v>8219</v>
      </c>
      <c r="G1939">
        <v>8</v>
      </c>
    </row>
    <row r="1940" spans="6:7" x14ac:dyDescent="0.55000000000000004">
      <c r="F1940" t="s">
        <v>8219</v>
      </c>
      <c r="G1940">
        <v>204</v>
      </c>
    </row>
    <row r="1941" spans="6:7" x14ac:dyDescent="0.55000000000000004">
      <c r="F1941" t="s">
        <v>8219</v>
      </c>
      <c r="G1941">
        <v>46</v>
      </c>
    </row>
    <row r="1942" spans="6:7" x14ac:dyDescent="0.55000000000000004">
      <c r="F1942" t="s">
        <v>8219</v>
      </c>
      <c r="G1942">
        <v>17</v>
      </c>
    </row>
    <row r="1943" spans="6:7" x14ac:dyDescent="0.55000000000000004">
      <c r="F1943" t="s">
        <v>8219</v>
      </c>
      <c r="G1943">
        <v>28</v>
      </c>
    </row>
    <row r="1944" spans="6:7" x14ac:dyDescent="0.55000000000000004">
      <c r="F1944" t="s">
        <v>8219</v>
      </c>
      <c r="G1944">
        <v>83</v>
      </c>
    </row>
    <row r="1945" spans="6:7" x14ac:dyDescent="0.55000000000000004">
      <c r="F1945" t="s">
        <v>8219</v>
      </c>
      <c r="G1945">
        <v>13</v>
      </c>
    </row>
    <row r="1946" spans="6:7" x14ac:dyDescent="0.55000000000000004">
      <c r="F1946" t="s">
        <v>8219</v>
      </c>
      <c r="G1946">
        <v>8</v>
      </c>
    </row>
    <row r="1947" spans="6:7" x14ac:dyDescent="0.55000000000000004">
      <c r="F1947" t="s">
        <v>8219</v>
      </c>
      <c r="G1947">
        <v>32</v>
      </c>
    </row>
    <row r="1948" spans="6:7" x14ac:dyDescent="0.55000000000000004">
      <c r="F1948" t="s">
        <v>8219</v>
      </c>
      <c r="G1948">
        <v>85</v>
      </c>
    </row>
    <row r="1949" spans="6:7" x14ac:dyDescent="0.55000000000000004">
      <c r="F1949" t="s">
        <v>8219</v>
      </c>
      <c r="G1949">
        <v>29</v>
      </c>
    </row>
    <row r="1950" spans="6:7" x14ac:dyDescent="0.55000000000000004">
      <c r="F1950" t="s">
        <v>8219</v>
      </c>
      <c r="G1950">
        <v>24</v>
      </c>
    </row>
    <row r="1951" spans="6:7" x14ac:dyDescent="0.55000000000000004">
      <c r="F1951" t="s">
        <v>8219</v>
      </c>
      <c r="G1951">
        <v>8</v>
      </c>
    </row>
    <row r="1952" spans="6:7" x14ac:dyDescent="0.55000000000000004">
      <c r="F1952" t="s">
        <v>8219</v>
      </c>
      <c r="G1952">
        <v>19</v>
      </c>
    </row>
    <row r="1953" spans="6:7" x14ac:dyDescent="0.55000000000000004">
      <c r="F1953" t="s">
        <v>8219</v>
      </c>
      <c r="G1953">
        <v>336</v>
      </c>
    </row>
    <row r="1954" spans="6:7" x14ac:dyDescent="0.55000000000000004">
      <c r="F1954" t="s">
        <v>8219</v>
      </c>
      <c r="G1954">
        <v>13</v>
      </c>
    </row>
    <row r="1955" spans="6:7" x14ac:dyDescent="0.55000000000000004">
      <c r="F1955" t="s">
        <v>8219</v>
      </c>
      <c r="G1955">
        <v>42</v>
      </c>
    </row>
    <row r="1956" spans="6:7" x14ac:dyDescent="0.55000000000000004">
      <c r="F1956" t="s">
        <v>8219</v>
      </c>
      <c r="G1956">
        <v>64</v>
      </c>
    </row>
    <row r="1957" spans="6:7" x14ac:dyDescent="0.55000000000000004">
      <c r="F1957" t="s">
        <v>8219</v>
      </c>
      <c r="G1957">
        <v>25</v>
      </c>
    </row>
    <row r="1958" spans="6:7" x14ac:dyDescent="0.55000000000000004">
      <c r="F1958" t="s">
        <v>8219</v>
      </c>
      <c r="G1958">
        <v>20</v>
      </c>
    </row>
    <row r="1959" spans="6:7" x14ac:dyDescent="0.55000000000000004">
      <c r="F1959" t="s">
        <v>8219</v>
      </c>
      <c r="G1959">
        <v>104</v>
      </c>
    </row>
    <row r="1960" spans="6:7" x14ac:dyDescent="0.55000000000000004">
      <c r="F1960" t="s">
        <v>8219</v>
      </c>
      <c r="G1960">
        <v>53</v>
      </c>
    </row>
    <row r="1961" spans="6:7" x14ac:dyDescent="0.55000000000000004">
      <c r="F1961" t="s">
        <v>8219</v>
      </c>
      <c r="G1961">
        <v>14</v>
      </c>
    </row>
    <row r="1962" spans="6:7" x14ac:dyDescent="0.55000000000000004">
      <c r="F1962" t="s">
        <v>8219</v>
      </c>
      <c r="G1962">
        <v>20</v>
      </c>
    </row>
    <row r="1963" spans="6:7" x14ac:dyDescent="0.55000000000000004">
      <c r="F1963" t="s">
        <v>8219</v>
      </c>
      <c r="G1963">
        <v>558</v>
      </c>
    </row>
    <row r="1964" spans="6:7" x14ac:dyDescent="0.55000000000000004">
      <c r="F1964" t="s">
        <v>8219</v>
      </c>
      <c r="G1964">
        <v>22</v>
      </c>
    </row>
    <row r="1965" spans="6:7" x14ac:dyDescent="0.55000000000000004">
      <c r="F1965" t="s">
        <v>8219</v>
      </c>
      <c r="G1965">
        <v>24</v>
      </c>
    </row>
    <row r="1966" spans="6:7" x14ac:dyDescent="0.55000000000000004">
      <c r="F1966" t="s">
        <v>8219</v>
      </c>
      <c r="G1966">
        <v>74</v>
      </c>
    </row>
    <row r="1967" spans="6:7" x14ac:dyDescent="0.55000000000000004">
      <c r="F1967" t="s">
        <v>8219</v>
      </c>
      <c r="G1967">
        <v>54</v>
      </c>
    </row>
    <row r="1968" spans="6:7" x14ac:dyDescent="0.55000000000000004">
      <c r="F1968" t="s">
        <v>8219</v>
      </c>
      <c r="G1968">
        <v>31</v>
      </c>
    </row>
    <row r="1969" spans="6:7" x14ac:dyDescent="0.55000000000000004">
      <c r="F1969" t="s">
        <v>8219</v>
      </c>
      <c r="G1969">
        <v>25</v>
      </c>
    </row>
    <row r="1970" spans="6:7" x14ac:dyDescent="0.55000000000000004">
      <c r="F1970" t="s">
        <v>8219</v>
      </c>
      <c r="G1970">
        <v>17</v>
      </c>
    </row>
    <row r="1971" spans="6:7" x14ac:dyDescent="0.55000000000000004">
      <c r="F1971" t="s">
        <v>8219</v>
      </c>
      <c r="G1971">
        <v>12</v>
      </c>
    </row>
    <row r="1972" spans="6:7" x14ac:dyDescent="0.55000000000000004">
      <c r="F1972" t="s">
        <v>8219</v>
      </c>
      <c r="G1972">
        <v>38</v>
      </c>
    </row>
    <row r="1973" spans="6:7" x14ac:dyDescent="0.55000000000000004">
      <c r="F1973" t="s">
        <v>8219</v>
      </c>
      <c r="G1973">
        <v>41</v>
      </c>
    </row>
    <row r="1974" spans="6:7" x14ac:dyDescent="0.55000000000000004">
      <c r="F1974" t="s">
        <v>8219</v>
      </c>
      <c r="G1974">
        <v>19</v>
      </c>
    </row>
    <row r="1975" spans="6:7" x14ac:dyDescent="0.55000000000000004">
      <c r="F1975" t="s">
        <v>8219</v>
      </c>
      <c r="G1975">
        <v>41</v>
      </c>
    </row>
    <row r="1976" spans="6:7" x14ac:dyDescent="0.55000000000000004">
      <c r="F1976" t="s">
        <v>8219</v>
      </c>
      <c r="G1976">
        <v>26</v>
      </c>
    </row>
    <row r="1977" spans="6:7" x14ac:dyDescent="0.55000000000000004">
      <c r="F1977" t="s">
        <v>8219</v>
      </c>
      <c r="G1977">
        <v>25</v>
      </c>
    </row>
    <row r="1978" spans="6:7" x14ac:dyDescent="0.55000000000000004">
      <c r="F1978" t="s">
        <v>8219</v>
      </c>
      <c r="G1978">
        <v>9</v>
      </c>
    </row>
    <row r="1979" spans="6:7" x14ac:dyDescent="0.55000000000000004">
      <c r="F1979" t="s">
        <v>8219</v>
      </c>
      <c r="G1979">
        <v>78</v>
      </c>
    </row>
    <row r="1980" spans="6:7" x14ac:dyDescent="0.55000000000000004">
      <c r="F1980" t="s">
        <v>8219</v>
      </c>
      <c r="G1980">
        <v>45</v>
      </c>
    </row>
    <row r="1981" spans="6:7" x14ac:dyDescent="0.55000000000000004">
      <c r="F1981" t="s">
        <v>8219</v>
      </c>
      <c r="G1981">
        <v>102</v>
      </c>
    </row>
    <row r="1982" spans="6:7" x14ac:dyDescent="0.55000000000000004">
      <c r="F1982" t="s">
        <v>8219</v>
      </c>
      <c r="G1982">
        <v>5</v>
      </c>
    </row>
    <row r="1983" spans="6:7" x14ac:dyDescent="0.55000000000000004">
      <c r="F1983" t="s">
        <v>8219</v>
      </c>
      <c r="G1983">
        <v>27</v>
      </c>
    </row>
    <row r="1984" spans="6:7" x14ac:dyDescent="0.55000000000000004">
      <c r="F1984" t="s">
        <v>8219</v>
      </c>
      <c r="G1984">
        <v>37</v>
      </c>
    </row>
    <row r="1985" spans="6:7" x14ac:dyDescent="0.55000000000000004">
      <c r="F1985" t="s">
        <v>8219</v>
      </c>
      <c r="G1985">
        <v>14</v>
      </c>
    </row>
    <row r="1986" spans="6:7" x14ac:dyDescent="0.55000000000000004">
      <c r="F1986" t="s">
        <v>8219</v>
      </c>
      <c r="G1986">
        <v>27</v>
      </c>
    </row>
    <row r="1987" spans="6:7" x14ac:dyDescent="0.55000000000000004">
      <c r="F1987" t="s">
        <v>8219</v>
      </c>
      <c r="G1987">
        <v>45</v>
      </c>
    </row>
    <row r="1988" spans="6:7" x14ac:dyDescent="0.55000000000000004">
      <c r="F1988" t="s">
        <v>8219</v>
      </c>
      <c r="G1988">
        <v>49</v>
      </c>
    </row>
    <row r="1989" spans="6:7" x14ac:dyDescent="0.55000000000000004">
      <c r="F1989" t="s">
        <v>8219</v>
      </c>
      <c r="G1989">
        <v>24</v>
      </c>
    </row>
    <row r="1990" spans="6:7" x14ac:dyDescent="0.55000000000000004">
      <c r="F1990" t="s">
        <v>8219</v>
      </c>
      <c r="G1990">
        <v>112</v>
      </c>
    </row>
    <row r="1991" spans="6:7" x14ac:dyDescent="0.55000000000000004">
      <c r="F1991" t="s">
        <v>8219</v>
      </c>
      <c r="G1991">
        <v>23</v>
      </c>
    </row>
    <row r="1992" spans="6:7" x14ac:dyDescent="0.55000000000000004">
      <c r="F1992" t="s">
        <v>8219</v>
      </c>
      <c r="G1992">
        <v>54</v>
      </c>
    </row>
    <row r="1993" spans="6:7" x14ac:dyDescent="0.55000000000000004">
      <c r="F1993" t="s">
        <v>8219</v>
      </c>
      <c r="G1993">
        <v>28</v>
      </c>
    </row>
    <row r="1994" spans="6:7" x14ac:dyDescent="0.55000000000000004">
      <c r="F1994" t="s">
        <v>8219</v>
      </c>
      <c r="G1994">
        <v>11</v>
      </c>
    </row>
    <row r="1995" spans="6:7" x14ac:dyDescent="0.55000000000000004">
      <c r="F1995" t="s">
        <v>8219</v>
      </c>
      <c r="G1995">
        <v>62</v>
      </c>
    </row>
    <row r="1996" spans="6:7" x14ac:dyDescent="0.55000000000000004">
      <c r="F1996" t="s">
        <v>8219</v>
      </c>
      <c r="G1996">
        <v>73</v>
      </c>
    </row>
    <row r="1997" spans="6:7" x14ac:dyDescent="0.55000000000000004">
      <c r="F1997" t="s">
        <v>8219</v>
      </c>
      <c r="G1997">
        <v>18</v>
      </c>
    </row>
    <row r="1998" spans="6:7" x14ac:dyDescent="0.55000000000000004">
      <c r="F1998" t="s">
        <v>8219</v>
      </c>
      <c r="G1998">
        <v>35</v>
      </c>
    </row>
    <row r="1999" spans="6:7" x14ac:dyDescent="0.55000000000000004">
      <c r="F1999" t="s">
        <v>8219</v>
      </c>
      <c r="G1999">
        <v>43</v>
      </c>
    </row>
    <row r="2000" spans="6:7" x14ac:dyDescent="0.55000000000000004">
      <c r="F2000" t="s">
        <v>8219</v>
      </c>
      <c r="G2000">
        <v>36</v>
      </c>
    </row>
    <row r="2001" spans="6:7" x14ac:dyDescent="0.55000000000000004">
      <c r="F2001" t="s">
        <v>8219</v>
      </c>
      <c r="G2001">
        <v>62</v>
      </c>
    </row>
    <row r="2002" spans="6:7" x14ac:dyDescent="0.55000000000000004">
      <c r="F2002" t="s">
        <v>8219</v>
      </c>
      <c r="G2002">
        <v>15</v>
      </c>
    </row>
    <row r="2003" spans="6:7" x14ac:dyDescent="0.55000000000000004">
      <c r="F2003" t="s">
        <v>8219</v>
      </c>
      <c r="G2003">
        <v>33</v>
      </c>
    </row>
    <row r="2004" spans="6:7" x14ac:dyDescent="0.55000000000000004">
      <c r="F2004" t="s">
        <v>8219</v>
      </c>
      <c r="G2004">
        <v>27</v>
      </c>
    </row>
    <row r="2005" spans="6:7" x14ac:dyDescent="0.55000000000000004">
      <c r="F2005" t="s">
        <v>8219</v>
      </c>
      <c r="G2005">
        <v>17</v>
      </c>
    </row>
    <row r="2006" spans="6:7" x14ac:dyDescent="0.55000000000000004">
      <c r="F2006" t="s">
        <v>8219</v>
      </c>
      <c r="G2006">
        <v>4</v>
      </c>
    </row>
    <row r="2007" spans="6:7" x14ac:dyDescent="0.55000000000000004">
      <c r="F2007" t="s">
        <v>8219</v>
      </c>
      <c r="G2007">
        <v>53</v>
      </c>
    </row>
    <row r="2008" spans="6:7" x14ac:dyDescent="0.55000000000000004">
      <c r="F2008" t="s">
        <v>8219</v>
      </c>
      <c r="G2008">
        <v>49</v>
      </c>
    </row>
    <row r="2009" spans="6:7" x14ac:dyDescent="0.55000000000000004">
      <c r="F2009" t="s">
        <v>8219</v>
      </c>
      <c r="G2009">
        <v>57</v>
      </c>
    </row>
    <row r="2010" spans="6:7" x14ac:dyDescent="0.55000000000000004">
      <c r="F2010" t="s">
        <v>8219</v>
      </c>
      <c r="G2010">
        <v>69</v>
      </c>
    </row>
    <row r="2011" spans="6:7" x14ac:dyDescent="0.55000000000000004">
      <c r="F2011" t="s">
        <v>8219</v>
      </c>
      <c r="G2011">
        <v>15</v>
      </c>
    </row>
    <row r="2012" spans="6:7" x14ac:dyDescent="0.55000000000000004">
      <c r="F2012" t="s">
        <v>8219</v>
      </c>
      <c r="G2012">
        <v>64</v>
      </c>
    </row>
    <row r="2013" spans="6:7" x14ac:dyDescent="0.55000000000000004">
      <c r="F2013" t="s">
        <v>8219</v>
      </c>
      <c r="G2013">
        <v>20</v>
      </c>
    </row>
    <row r="2014" spans="6:7" x14ac:dyDescent="0.55000000000000004">
      <c r="F2014" t="s">
        <v>8219</v>
      </c>
      <c r="G2014">
        <v>27</v>
      </c>
    </row>
    <row r="2015" spans="6:7" x14ac:dyDescent="0.55000000000000004">
      <c r="F2015" t="s">
        <v>8219</v>
      </c>
      <c r="G2015">
        <v>21</v>
      </c>
    </row>
    <row r="2016" spans="6:7" x14ac:dyDescent="0.55000000000000004">
      <c r="F2016" t="s">
        <v>8219</v>
      </c>
      <c r="G2016">
        <v>31</v>
      </c>
    </row>
    <row r="2017" spans="6:7" x14ac:dyDescent="0.55000000000000004">
      <c r="F2017" t="s">
        <v>8219</v>
      </c>
      <c r="G2017">
        <v>51</v>
      </c>
    </row>
    <row r="2018" spans="6:7" x14ac:dyDescent="0.55000000000000004">
      <c r="F2018" t="s">
        <v>8219</v>
      </c>
      <c r="G2018">
        <v>57</v>
      </c>
    </row>
    <row r="2019" spans="6:7" x14ac:dyDescent="0.55000000000000004">
      <c r="F2019" t="s">
        <v>8219</v>
      </c>
      <c r="G2019">
        <v>20</v>
      </c>
    </row>
    <row r="2020" spans="6:7" x14ac:dyDescent="0.55000000000000004">
      <c r="F2020" t="s">
        <v>8219</v>
      </c>
      <c r="G2020">
        <v>71</v>
      </c>
    </row>
    <row r="2021" spans="6:7" x14ac:dyDescent="0.55000000000000004">
      <c r="F2021" t="s">
        <v>8219</v>
      </c>
      <c r="G2021">
        <v>72</v>
      </c>
    </row>
    <row r="2022" spans="6:7" x14ac:dyDescent="0.55000000000000004">
      <c r="F2022" t="s">
        <v>8219</v>
      </c>
      <c r="G2022">
        <v>45</v>
      </c>
    </row>
    <row r="2023" spans="6:7" x14ac:dyDescent="0.55000000000000004">
      <c r="F2023" t="s">
        <v>8219</v>
      </c>
      <c r="G2023">
        <v>51</v>
      </c>
    </row>
    <row r="2024" spans="6:7" x14ac:dyDescent="0.55000000000000004">
      <c r="F2024" t="s">
        <v>8219</v>
      </c>
      <c r="G2024">
        <v>56</v>
      </c>
    </row>
    <row r="2025" spans="6:7" x14ac:dyDescent="0.55000000000000004">
      <c r="F2025" t="s">
        <v>8219</v>
      </c>
      <c r="G2025">
        <v>17</v>
      </c>
    </row>
    <row r="2026" spans="6:7" x14ac:dyDescent="0.55000000000000004">
      <c r="F2026" t="s">
        <v>8219</v>
      </c>
      <c r="G2026">
        <v>197</v>
      </c>
    </row>
    <row r="2027" spans="6:7" x14ac:dyDescent="0.55000000000000004">
      <c r="F2027" t="s">
        <v>8219</v>
      </c>
      <c r="G2027">
        <v>70</v>
      </c>
    </row>
    <row r="2028" spans="6:7" x14ac:dyDescent="0.55000000000000004">
      <c r="F2028" t="s">
        <v>8219</v>
      </c>
      <c r="G2028">
        <v>21</v>
      </c>
    </row>
    <row r="2029" spans="6:7" x14ac:dyDescent="0.55000000000000004">
      <c r="F2029" t="s">
        <v>8219</v>
      </c>
      <c r="G2029">
        <v>34</v>
      </c>
    </row>
    <row r="2030" spans="6:7" x14ac:dyDescent="0.55000000000000004">
      <c r="F2030" t="s">
        <v>8219</v>
      </c>
      <c r="G2030">
        <v>39</v>
      </c>
    </row>
    <row r="2031" spans="6:7" x14ac:dyDescent="0.55000000000000004">
      <c r="F2031" t="s">
        <v>8219</v>
      </c>
      <c r="G2031">
        <v>78</v>
      </c>
    </row>
    <row r="2032" spans="6:7" x14ac:dyDescent="0.55000000000000004">
      <c r="F2032" t="s">
        <v>8219</v>
      </c>
      <c r="G2032">
        <v>48</v>
      </c>
    </row>
    <row r="2033" spans="6:7" x14ac:dyDescent="0.55000000000000004">
      <c r="F2033" t="s">
        <v>8219</v>
      </c>
      <c r="G2033">
        <v>29</v>
      </c>
    </row>
    <row r="2034" spans="6:7" x14ac:dyDescent="0.55000000000000004">
      <c r="F2034" t="s">
        <v>8219</v>
      </c>
      <c r="G2034">
        <v>73</v>
      </c>
    </row>
    <row r="2035" spans="6:7" x14ac:dyDescent="0.55000000000000004">
      <c r="F2035" t="s">
        <v>8219</v>
      </c>
      <c r="G2035">
        <v>8</v>
      </c>
    </row>
    <row r="2036" spans="6:7" x14ac:dyDescent="0.55000000000000004">
      <c r="F2036" t="s">
        <v>8219</v>
      </c>
      <c r="G2036">
        <v>17</v>
      </c>
    </row>
    <row r="2037" spans="6:7" x14ac:dyDescent="0.55000000000000004">
      <c r="F2037" t="s">
        <v>8219</v>
      </c>
      <c r="G2037">
        <v>9</v>
      </c>
    </row>
    <row r="2038" spans="6:7" x14ac:dyDescent="0.55000000000000004">
      <c r="F2038" t="s">
        <v>8219</v>
      </c>
      <c r="G2038">
        <v>17</v>
      </c>
    </row>
    <row r="2039" spans="6:7" x14ac:dyDescent="0.55000000000000004">
      <c r="F2039" t="s">
        <v>8219</v>
      </c>
      <c r="G2039">
        <v>33</v>
      </c>
    </row>
    <row r="2040" spans="6:7" x14ac:dyDescent="0.55000000000000004">
      <c r="F2040" t="s">
        <v>8219</v>
      </c>
      <c r="G2040">
        <v>38</v>
      </c>
    </row>
    <row r="2041" spans="6:7" x14ac:dyDescent="0.55000000000000004">
      <c r="F2041" t="s">
        <v>8219</v>
      </c>
      <c r="G2041">
        <v>79</v>
      </c>
    </row>
    <row r="2042" spans="6:7" x14ac:dyDescent="0.55000000000000004">
      <c r="F2042" t="s">
        <v>8219</v>
      </c>
      <c r="G2042">
        <v>46</v>
      </c>
    </row>
    <row r="2043" spans="6:7" x14ac:dyDescent="0.55000000000000004">
      <c r="F2043" t="s">
        <v>8219</v>
      </c>
      <c r="G2043">
        <v>20</v>
      </c>
    </row>
    <row r="2044" spans="6:7" x14ac:dyDescent="0.55000000000000004">
      <c r="F2044" t="s">
        <v>8219</v>
      </c>
      <c r="G2044">
        <v>20</v>
      </c>
    </row>
    <row r="2045" spans="6:7" x14ac:dyDescent="0.55000000000000004">
      <c r="F2045" t="s">
        <v>8219</v>
      </c>
      <c r="G2045">
        <v>13</v>
      </c>
    </row>
    <row r="2046" spans="6:7" x14ac:dyDescent="0.55000000000000004">
      <c r="F2046" t="s">
        <v>8219</v>
      </c>
      <c r="G2046">
        <v>22</v>
      </c>
    </row>
    <row r="2047" spans="6:7" x14ac:dyDescent="0.55000000000000004">
      <c r="F2047" t="s">
        <v>8219</v>
      </c>
      <c r="G2047">
        <v>36</v>
      </c>
    </row>
    <row r="2048" spans="6:7" x14ac:dyDescent="0.55000000000000004">
      <c r="F2048" t="s">
        <v>8219</v>
      </c>
      <c r="G2048">
        <v>40</v>
      </c>
    </row>
    <row r="2049" spans="6:7" x14ac:dyDescent="0.55000000000000004">
      <c r="F2049" t="s">
        <v>8219</v>
      </c>
      <c r="G2049">
        <v>9</v>
      </c>
    </row>
    <row r="2050" spans="6:7" x14ac:dyDescent="0.55000000000000004">
      <c r="F2050" t="s">
        <v>8219</v>
      </c>
      <c r="G2050">
        <v>19</v>
      </c>
    </row>
    <row r="2051" spans="6:7" x14ac:dyDescent="0.55000000000000004">
      <c r="F2051" t="s">
        <v>8219</v>
      </c>
      <c r="G2051">
        <v>14</v>
      </c>
    </row>
    <row r="2052" spans="6:7" x14ac:dyDescent="0.55000000000000004">
      <c r="F2052" t="s">
        <v>8219</v>
      </c>
      <c r="G2052">
        <v>38</v>
      </c>
    </row>
    <row r="2053" spans="6:7" x14ac:dyDescent="0.55000000000000004">
      <c r="F2053" t="s">
        <v>8219</v>
      </c>
      <c r="G2053">
        <v>58</v>
      </c>
    </row>
    <row r="2054" spans="6:7" x14ac:dyDescent="0.55000000000000004">
      <c r="F2054" t="s">
        <v>8219</v>
      </c>
      <c r="G2054">
        <v>28</v>
      </c>
    </row>
    <row r="2055" spans="6:7" x14ac:dyDescent="0.55000000000000004">
      <c r="F2055" t="s">
        <v>8219</v>
      </c>
      <c r="G2055">
        <v>17</v>
      </c>
    </row>
    <row r="2056" spans="6:7" x14ac:dyDescent="0.55000000000000004">
      <c r="F2056" t="s">
        <v>8219</v>
      </c>
      <c r="G2056">
        <v>12</v>
      </c>
    </row>
    <row r="2057" spans="6:7" x14ac:dyDescent="0.55000000000000004">
      <c r="F2057" t="s">
        <v>8219</v>
      </c>
      <c r="G2057">
        <v>40</v>
      </c>
    </row>
    <row r="2058" spans="6:7" x14ac:dyDescent="0.55000000000000004">
      <c r="F2058" t="s">
        <v>8219</v>
      </c>
      <c r="G2058">
        <v>57</v>
      </c>
    </row>
    <row r="2059" spans="6:7" x14ac:dyDescent="0.55000000000000004">
      <c r="F2059" t="s">
        <v>8219</v>
      </c>
      <c r="G2059">
        <v>114</v>
      </c>
    </row>
    <row r="2060" spans="6:7" x14ac:dyDescent="0.55000000000000004">
      <c r="F2060" t="s">
        <v>8219</v>
      </c>
      <c r="G2060">
        <v>31</v>
      </c>
    </row>
    <row r="2061" spans="6:7" x14ac:dyDescent="0.55000000000000004">
      <c r="F2061" t="s">
        <v>8219</v>
      </c>
      <c r="G2061">
        <v>3</v>
      </c>
    </row>
    <row r="2062" spans="6:7" x14ac:dyDescent="0.55000000000000004">
      <c r="F2062" t="s">
        <v>8219</v>
      </c>
      <c r="G2062">
        <v>16</v>
      </c>
    </row>
    <row r="2063" spans="6:7" x14ac:dyDescent="0.55000000000000004">
      <c r="F2063" t="s">
        <v>8219</v>
      </c>
      <c r="G2063">
        <v>199</v>
      </c>
    </row>
    <row r="2064" spans="6:7" x14ac:dyDescent="0.55000000000000004">
      <c r="F2064" t="s">
        <v>8219</v>
      </c>
      <c r="G2064">
        <v>31</v>
      </c>
    </row>
    <row r="2065" spans="6:7" x14ac:dyDescent="0.55000000000000004">
      <c r="F2065" t="s">
        <v>8219</v>
      </c>
      <c r="G2065">
        <v>30</v>
      </c>
    </row>
    <row r="2066" spans="6:7" x14ac:dyDescent="0.55000000000000004">
      <c r="F2066" t="s">
        <v>8219</v>
      </c>
      <c r="G2066">
        <v>34</v>
      </c>
    </row>
    <row r="2067" spans="6:7" x14ac:dyDescent="0.55000000000000004">
      <c r="F2067" t="s">
        <v>8219</v>
      </c>
      <c r="G2067">
        <v>18</v>
      </c>
    </row>
    <row r="2068" spans="6:7" x14ac:dyDescent="0.55000000000000004">
      <c r="F2068" t="s">
        <v>8219</v>
      </c>
      <c r="G2068">
        <v>67</v>
      </c>
    </row>
    <row r="2069" spans="6:7" x14ac:dyDescent="0.55000000000000004">
      <c r="F2069" t="s">
        <v>8219</v>
      </c>
      <c r="G2069">
        <v>66</v>
      </c>
    </row>
    <row r="2070" spans="6:7" x14ac:dyDescent="0.55000000000000004">
      <c r="F2070" t="s">
        <v>8219</v>
      </c>
      <c r="G2070">
        <v>23</v>
      </c>
    </row>
    <row r="2071" spans="6:7" x14ac:dyDescent="0.55000000000000004">
      <c r="F2071" t="s">
        <v>8219</v>
      </c>
      <c r="G2071">
        <v>126</v>
      </c>
    </row>
    <row r="2072" spans="6:7" x14ac:dyDescent="0.55000000000000004">
      <c r="F2072" t="s">
        <v>8219</v>
      </c>
      <c r="G2072">
        <v>6</v>
      </c>
    </row>
    <row r="2073" spans="6:7" x14ac:dyDescent="0.55000000000000004">
      <c r="F2073" t="s">
        <v>8219</v>
      </c>
      <c r="G2073">
        <v>25</v>
      </c>
    </row>
    <row r="2074" spans="6:7" x14ac:dyDescent="0.55000000000000004">
      <c r="F2074" t="s">
        <v>8219</v>
      </c>
      <c r="G2074">
        <v>39</v>
      </c>
    </row>
    <row r="2075" spans="6:7" x14ac:dyDescent="0.55000000000000004">
      <c r="F2075" t="s">
        <v>8219</v>
      </c>
      <c r="G2075">
        <v>62</v>
      </c>
    </row>
    <row r="2076" spans="6:7" x14ac:dyDescent="0.55000000000000004">
      <c r="F2076" t="s">
        <v>8219</v>
      </c>
      <c r="G2076">
        <v>31</v>
      </c>
    </row>
    <row r="2077" spans="6:7" x14ac:dyDescent="0.55000000000000004">
      <c r="F2077" t="s">
        <v>8219</v>
      </c>
      <c r="G2077">
        <v>274</v>
      </c>
    </row>
    <row r="2078" spans="6:7" x14ac:dyDescent="0.55000000000000004">
      <c r="F2078" t="s">
        <v>8219</v>
      </c>
      <c r="G2078">
        <v>17</v>
      </c>
    </row>
    <row r="2079" spans="6:7" x14ac:dyDescent="0.55000000000000004">
      <c r="F2079" t="s">
        <v>8219</v>
      </c>
      <c r="G2079">
        <v>14</v>
      </c>
    </row>
    <row r="2080" spans="6:7" x14ac:dyDescent="0.55000000000000004">
      <c r="F2080" t="s">
        <v>8219</v>
      </c>
      <c r="G2080">
        <v>60</v>
      </c>
    </row>
    <row r="2081" spans="6:7" x14ac:dyDescent="0.55000000000000004">
      <c r="F2081" t="s">
        <v>8219</v>
      </c>
      <c r="G2081">
        <v>33</v>
      </c>
    </row>
    <row r="2082" spans="6:7" x14ac:dyDescent="0.55000000000000004">
      <c r="F2082" t="s">
        <v>8219</v>
      </c>
      <c r="G2082">
        <v>78</v>
      </c>
    </row>
    <row r="2083" spans="6:7" x14ac:dyDescent="0.55000000000000004">
      <c r="F2083" t="s">
        <v>8219</v>
      </c>
      <c r="G2083">
        <v>30</v>
      </c>
    </row>
    <row r="2084" spans="6:7" x14ac:dyDescent="0.55000000000000004">
      <c r="F2084" t="s">
        <v>8219</v>
      </c>
      <c r="G2084">
        <v>136</v>
      </c>
    </row>
    <row r="2085" spans="6:7" x14ac:dyDescent="0.55000000000000004">
      <c r="F2085" t="s">
        <v>8219</v>
      </c>
      <c r="G2085">
        <v>40</v>
      </c>
    </row>
    <row r="2086" spans="6:7" x14ac:dyDescent="0.55000000000000004">
      <c r="F2086" t="s">
        <v>8219</v>
      </c>
      <c r="G2086">
        <v>18</v>
      </c>
    </row>
    <row r="2087" spans="6:7" x14ac:dyDescent="0.55000000000000004">
      <c r="F2087" t="s">
        <v>8219</v>
      </c>
      <c r="G2087">
        <v>39</v>
      </c>
    </row>
    <row r="2088" spans="6:7" x14ac:dyDescent="0.55000000000000004">
      <c r="F2088" t="s">
        <v>8219</v>
      </c>
      <c r="G2088">
        <v>21</v>
      </c>
    </row>
    <row r="2089" spans="6:7" x14ac:dyDescent="0.55000000000000004">
      <c r="F2089" t="s">
        <v>8219</v>
      </c>
      <c r="G2089">
        <v>30</v>
      </c>
    </row>
    <row r="2090" spans="6:7" x14ac:dyDescent="0.55000000000000004">
      <c r="F2090" t="s">
        <v>8219</v>
      </c>
      <c r="G2090">
        <v>27</v>
      </c>
    </row>
    <row r="2091" spans="6:7" x14ac:dyDescent="0.55000000000000004">
      <c r="F2091" t="s">
        <v>8219</v>
      </c>
      <c r="G2091">
        <v>35</v>
      </c>
    </row>
    <row r="2092" spans="6:7" x14ac:dyDescent="0.55000000000000004">
      <c r="F2092" t="s">
        <v>8219</v>
      </c>
      <c r="G2092">
        <v>13</v>
      </c>
    </row>
    <row r="2093" spans="6:7" x14ac:dyDescent="0.55000000000000004">
      <c r="F2093" t="s">
        <v>8219</v>
      </c>
      <c r="G2093">
        <v>23</v>
      </c>
    </row>
    <row r="2094" spans="6:7" x14ac:dyDescent="0.55000000000000004">
      <c r="F2094" t="s">
        <v>8219</v>
      </c>
      <c r="G2094">
        <v>39</v>
      </c>
    </row>
    <row r="2095" spans="6:7" x14ac:dyDescent="0.55000000000000004">
      <c r="F2095" t="s">
        <v>8219</v>
      </c>
      <c r="G2095">
        <v>35</v>
      </c>
    </row>
    <row r="2096" spans="6:7" x14ac:dyDescent="0.55000000000000004">
      <c r="F2096" t="s">
        <v>8219</v>
      </c>
      <c r="G2096">
        <v>27</v>
      </c>
    </row>
    <row r="2097" spans="6:7" x14ac:dyDescent="0.55000000000000004">
      <c r="F2097" t="s">
        <v>8219</v>
      </c>
      <c r="G2097">
        <v>21</v>
      </c>
    </row>
    <row r="2098" spans="6:7" x14ac:dyDescent="0.55000000000000004">
      <c r="F2098" t="s">
        <v>8219</v>
      </c>
      <c r="G2098">
        <v>104</v>
      </c>
    </row>
    <row r="2099" spans="6:7" x14ac:dyDescent="0.55000000000000004">
      <c r="F2099" t="s">
        <v>8219</v>
      </c>
      <c r="G2099">
        <v>19</v>
      </c>
    </row>
    <row r="2100" spans="6:7" x14ac:dyDescent="0.55000000000000004">
      <c r="F2100" t="s">
        <v>8219</v>
      </c>
      <c r="G2100">
        <v>97</v>
      </c>
    </row>
    <row r="2101" spans="6:7" x14ac:dyDescent="0.55000000000000004">
      <c r="F2101" t="s">
        <v>8219</v>
      </c>
      <c r="G2101">
        <v>27</v>
      </c>
    </row>
    <row r="2102" spans="6:7" x14ac:dyDescent="0.55000000000000004">
      <c r="F2102" t="s">
        <v>8219</v>
      </c>
      <c r="G2102">
        <v>24</v>
      </c>
    </row>
    <row r="2103" spans="6:7" x14ac:dyDescent="0.55000000000000004">
      <c r="F2103" t="s">
        <v>8219</v>
      </c>
      <c r="G2103">
        <v>13</v>
      </c>
    </row>
    <row r="2104" spans="6:7" x14ac:dyDescent="0.55000000000000004">
      <c r="F2104" t="s">
        <v>8219</v>
      </c>
      <c r="G2104">
        <v>46</v>
      </c>
    </row>
    <row r="2105" spans="6:7" x14ac:dyDescent="0.55000000000000004">
      <c r="F2105" t="s">
        <v>8219</v>
      </c>
      <c r="G2105">
        <v>4</v>
      </c>
    </row>
    <row r="2106" spans="6:7" x14ac:dyDescent="0.55000000000000004">
      <c r="F2106" t="s">
        <v>8219</v>
      </c>
      <c r="G2106">
        <v>40</v>
      </c>
    </row>
    <row r="2107" spans="6:7" x14ac:dyDescent="0.55000000000000004">
      <c r="F2107" t="s">
        <v>8219</v>
      </c>
      <c r="G2107">
        <v>44</v>
      </c>
    </row>
    <row r="2108" spans="6:7" x14ac:dyDescent="0.55000000000000004">
      <c r="F2108" t="s">
        <v>8219</v>
      </c>
      <c r="G2108">
        <v>35</v>
      </c>
    </row>
    <row r="2109" spans="6:7" x14ac:dyDescent="0.55000000000000004">
      <c r="F2109" t="s">
        <v>8219</v>
      </c>
      <c r="G2109">
        <v>63</v>
      </c>
    </row>
    <row r="2110" spans="6:7" x14ac:dyDescent="0.55000000000000004">
      <c r="F2110" t="s">
        <v>8219</v>
      </c>
      <c r="G2110">
        <v>89</v>
      </c>
    </row>
    <row r="2111" spans="6:7" x14ac:dyDescent="0.55000000000000004">
      <c r="F2111" t="s">
        <v>8219</v>
      </c>
      <c r="G2111">
        <v>15</v>
      </c>
    </row>
    <row r="2112" spans="6:7" x14ac:dyDescent="0.55000000000000004">
      <c r="F2112" t="s">
        <v>8219</v>
      </c>
      <c r="G2112">
        <v>46</v>
      </c>
    </row>
    <row r="2113" spans="6:7" x14ac:dyDescent="0.55000000000000004">
      <c r="F2113" t="s">
        <v>8219</v>
      </c>
      <c r="G2113">
        <v>33</v>
      </c>
    </row>
    <row r="2114" spans="6:7" x14ac:dyDescent="0.55000000000000004">
      <c r="F2114" t="s">
        <v>8219</v>
      </c>
      <c r="G2114">
        <v>52</v>
      </c>
    </row>
    <row r="2115" spans="6:7" x14ac:dyDescent="0.55000000000000004">
      <c r="F2115" t="s">
        <v>8219</v>
      </c>
      <c r="G2115">
        <v>7</v>
      </c>
    </row>
    <row r="2116" spans="6:7" x14ac:dyDescent="0.55000000000000004">
      <c r="F2116" t="s">
        <v>8219</v>
      </c>
      <c r="G2116">
        <v>28</v>
      </c>
    </row>
    <row r="2117" spans="6:7" x14ac:dyDescent="0.55000000000000004">
      <c r="F2117" t="s">
        <v>8219</v>
      </c>
      <c r="G2117">
        <v>11</v>
      </c>
    </row>
    <row r="2118" spans="6:7" x14ac:dyDescent="0.55000000000000004">
      <c r="F2118" t="s">
        <v>8219</v>
      </c>
      <c r="G2118">
        <v>15</v>
      </c>
    </row>
    <row r="2119" spans="6:7" x14ac:dyDescent="0.55000000000000004">
      <c r="F2119" t="s">
        <v>8219</v>
      </c>
      <c r="G2119">
        <v>30</v>
      </c>
    </row>
    <row r="2120" spans="6:7" x14ac:dyDescent="0.55000000000000004">
      <c r="F2120" t="s">
        <v>8219</v>
      </c>
      <c r="G2120">
        <v>27</v>
      </c>
    </row>
    <row r="2121" spans="6:7" x14ac:dyDescent="0.55000000000000004">
      <c r="F2121" t="s">
        <v>8219</v>
      </c>
      <c r="G2121">
        <v>28</v>
      </c>
    </row>
    <row r="2122" spans="6:7" x14ac:dyDescent="0.55000000000000004">
      <c r="F2122" t="s">
        <v>8219</v>
      </c>
      <c r="G2122">
        <v>17</v>
      </c>
    </row>
    <row r="2123" spans="6:7" x14ac:dyDescent="0.55000000000000004">
      <c r="F2123" t="s">
        <v>8219</v>
      </c>
      <c r="G2123">
        <v>50</v>
      </c>
    </row>
    <row r="2124" spans="6:7" x14ac:dyDescent="0.55000000000000004">
      <c r="F2124" t="s">
        <v>8219</v>
      </c>
      <c r="G2124">
        <v>26</v>
      </c>
    </row>
    <row r="2125" spans="6:7" x14ac:dyDescent="0.55000000000000004">
      <c r="F2125" t="s">
        <v>8219</v>
      </c>
      <c r="G2125">
        <v>88</v>
      </c>
    </row>
    <row r="2126" spans="6:7" x14ac:dyDescent="0.55000000000000004">
      <c r="F2126" t="s">
        <v>8219</v>
      </c>
      <c r="G2126">
        <v>91</v>
      </c>
    </row>
    <row r="2127" spans="6:7" x14ac:dyDescent="0.55000000000000004">
      <c r="F2127" t="s">
        <v>8219</v>
      </c>
      <c r="G2127">
        <v>3</v>
      </c>
    </row>
    <row r="2128" spans="6:7" x14ac:dyDescent="0.55000000000000004">
      <c r="F2128" t="s">
        <v>8219</v>
      </c>
      <c r="G2128">
        <v>28</v>
      </c>
    </row>
    <row r="2129" spans="6:7" x14ac:dyDescent="0.55000000000000004">
      <c r="F2129" t="s">
        <v>8219</v>
      </c>
      <c r="G2129">
        <v>77</v>
      </c>
    </row>
    <row r="2130" spans="6:7" x14ac:dyDescent="0.55000000000000004">
      <c r="F2130" t="s">
        <v>8219</v>
      </c>
      <c r="G2130">
        <v>27</v>
      </c>
    </row>
    <row r="2131" spans="6:7" x14ac:dyDescent="0.55000000000000004">
      <c r="F2131" t="s">
        <v>8219</v>
      </c>
      <c r="G2131">
        <v>107</v>
      </c>
    </row>
    <row r="2132" spans="6:7" x14ac:dyDescent="0.55000000000000004">
      <c r="F2132" t="s">
        <v>8219</v>
      </c>
      <c r="G2132">
        <v>96</v>
      </c>
    </row>
    <row r="2133" spans="6:7" x14ac:dyDescent="0.55000000000000004">
      <c r="F2133" t="s">
        <v>8219</v>
      </c>
      <c r="G2133">
        <v>56</v>
      </c>
    </row>
    <row r="2134" spans="6:7" x14ac:dyDescent="0.55000000000000004">
      <c r="F2134" t="s">
        <v>8219</v>
      </c>
      <c r="G2134">
        <v>58</v>
      </c>
    </row>
    <row r="2135" spans="6:7" x14ac:dyDescent="0.55000000000000004">
      <c r="F2135" t="s">
        <v>8219</v>
      </c>
      <c r="G2135">
        <v>15</v>
      </c>
    </row>
    <row r="2136" spans="6:7" x14ac:dyDescent="0.55000000000000004">
      <c r="F2136" t="s">
        <v>8219</v>
      </c>
      <c r="G2136">
        <v>20</v>
      </c>
    </row>
    <row r="2137" spans="6:7" x14ac:dyDescent="0.55000000000000004">
      <c r="F2137" t="s">
        <v>8219</v>
      </c>
      <c r="G2137">
        <v>38</v>
      </c>
    </row>
    <row r="2138" spans="6:7" x14ac:dyDescent="0.55000000000000004">
      <c r="F2138" t="s">
        <v>8219</v>
      </c>
      <c r="G2138">
        <v>33</v>
      </c>
    </row>
    <row r="2139" spans="6:7" x14ac:dyDescent="0.55000000000000004">
      <c r="F2139" t="s">
        <v>8219</v>
      </c>
      <c r="G2139">
        <v>57</v>
      </c>
    </row>
    <row r="2140" spans="6:7" x14ac:dyDescent="0.55000000000000004">
      <c r="F2140" t="s">
        <v>8219</v>
      </c>
      <c r="G2140">
        <v>25</v>
      </c>
    </row>
    <row r="2141" spans="6:7" x14ac:dyDescent="0.55000000000000004">
      <c r="F2141" t="s">
        <v>8219</v>
      </c>
      <c r="G2141">
        <v>14</v>
      </c>
    </row>
    <row r="2142" spans="6:7" x14ac:dyDescent="0.55000000000000004">
      <c r="F2142" t="s">
        <v>8219</v>
      </c>
      <c r="G2142">
        <v>94</v>
      </c>
    </row>
    <row r="2143" spans="6:7" x14ac:dyDescent="0.55000000000000004">
      <c r="F2143" t="s">
        <v>8219</v>
      </c>
      <c r="G2143">
        <v>59</v>
      </c>
    </row>
    <row r="2144" spans="6:7" x14ac:dyDescent="0.55000000000000004">
      <c r="F2144" t="s">
        <v>8219</v>
      </c>
      <c r="G2144">
        <v>36</v>
      </c>
    </row>
    <row r="2145" spans="6:7" x14ac:dyDescent="0.55000000000000004">
      <c r="F2145" t="s">
        <v>8219</v>
      </c>
      <c r="G2145">
        <v>115</v>
      </c>
    </row>
    <row r="2146" spans="6:7" x14ac:dyDescent="0.55000000000000004">
      <c r="F2146" t="s">
        <v>8219</v>
      </c>
      <c r="G2146">
        <v>30</v>
      </c>
    </row>
    <row r="2147" spans="6:7" x14ac:dyDescent="0.55000000000000004">
      <c r="F2147" t="s">
        <v>8219</v>
      </c>
      <c r="G2147">
        <v>52</v>
      </c>
    </row>
    <row r="2148" spans="6:7" x14ac:dyDescent="0.55000000000000004">
      <c r="F2148" t="s">
        <v>8219</v>
      </c>
      <c r="G2148">
        <v>27</v>
      </c>
    </row>
    <row r="2149" spans="6:7" x14ac:dyDescent="0.55000000000000004">
      <c r="F2149" t="s">
        <v>8219</v>
      </c>
      <c r="G2149">
        <v>24</v>
      </c>
    </row>
    <row r="2150" spans="6:7" x14ac:dyDescent="0.55000000000000004">
      <c r="F2150" t="s">
        <v>8219</v>
      </c>
      <c r="G2150">
        <v>10</v>
      </c>
    </row>
    <row r="2151" spans="6:7" x14ac:dyDescent="0.55000000000000004">
      <c r="F2151" t="s">
        <v>8219</v>
      </c>
      <c r="G2151">
        <v>30</v>
      </c>
    </row>
    <row r="2152" spans="6:7" x14ac:dyDescent="0.55000000000000004">
      <c r="F2152" t="s">
        <v>8219</v>
      </c>
      <c r="G2152">
        <v>71</v>
      </c>
    </row>
    <row r="2153" spans="6:7" x14ac:dyDescent="0.55000000000000004">
      <c r="F2153" t="s">
        <v>8219</v>
      </c>
      <c r="G2153">
        <v>10</v>
      </c>
    </row>
    <row r="2154" spans="6:7" x14ac:dyDescent="0.55000000000000004">
      <c r="F2154" t="s">
        <v>8219</v>
      </c>
      <c r="G2154">
        <v>24</v>
      </c>
    </row>
    <row r="2155" spans="6:7" x14ac:dyDescent="0.55000000000000004">
      <c r="F2155" t="s">
        <v>8219</v>
      </c>
      <c r="G2155">
        <v>38</v>
      </c>
    </row>
    <row r="2156" spans="6:7" x14ac:dyDescent="0.55000000000000004">
      <c r="F2156" t="s">
        <v>8219</v>
      </c>
      <c r="G2156">
        <v>26</v>
      </c>
    </row>
    <row r="2157" spans="6:7" x14ac:dyDescent="0.55000000000000004">
      <c r="F2157" t="s">
        <v>8219</v>
      </c>
      <c r="G2157">
        <v>19</v>
      </c>
    </row>
    <row r="2158" spans="6:7" x14ac:dyDescent="0.55000000000000004">
      <c r="F2158" t="s">
        <v>8219</v>
      </c>
      <c r="G2158">
        <v>11</v>
      </c>
    </row>
    <row r="2159" spans="6:7" x14ac:dyDescent="0.55000000000000004">
      <c r="F2159" t="s">
        <v>8219</v>
      </c>
      <c r="G2159">
        <v>27</v>
      </c>
    </row>
    <row r="2160" spans="6:7" x14ac:dyDescent="0.55000000000000004">
      <c r="F2160" t="s">
        <v>8219</v>
      </c>
      <c r="G2160">
        <v>34</v>
      </c>
    </row>
    <row r="2161" spans="6:7" x14ac:dyDescent="0.55000000000000004">
      <c r="F2161" t="s">
        <v>8219</v>
      </c>
      <c r="G2161">
        <v>20</v>
      </c>
    </row>
    <row r="2162" spans="6:7" x14ac:dyDescent="0.55000000000000004">
      <c r="F2162" t="s">
        <v>8219</v>
      </c>
      <c r="G2162">
        <v>37</v>
      </c>
    </row>
    <row r="2163" spans="6:7" x14ac:dyDescent="0.55000000000000004">
      <c r="F2163" t="s">
        <v>8219</v>
      </c>
      <c r="G2163">
        <v>20</v>
      </c>
    </row>
    <row r="2164" spans="6:7" x14ac:dyDescent="0.55000000000000004">
      <c r="F2164" t="s">
        <v>8219</v>
      </c>
      <c r="G2164">
        <v>10</v>
      </c>
    </row>
    <row r="2165" spans="6:7" x14ac:dyDescent="0.55000000000000004">
      <c r="F2165" t="s">
        <v>8219</v>
      </c>
      <c r="G2165">
        <v>26</v>
      </c>
    </row>
    <row r="2166" spans="6:7" x14ac:dyDescent="0.55000000000000004">
      <c r="F2166" t="s">
        <v>8219</v>
      </c>
      <c r="G2166">
        <v>20</v>
      </c>
    </row>
    <row r="2167" spans="6:7" x14ac:dyDescent="0.55000000000000004">
      <c r="F2167" t="s">
        <v>8219</v>
      </c>
      <c r="G2167">
        <v>46</v>
      </c>
    </row>
    <row r="2168" spans="6:7" x14ac:dyDescent="0.55000000000000004">
      <c r="F2168" t="s">
        <v>8219</v>
      </c>
      <c r="G2168">
        <v>76</v>
      </c>
    </row>
    <row r="2169" spans="6:7" x14ac:dyDescent="0.55000000000000004">
      <c r="F2169" t="s">
        <v>8219</v>
      </c>
      <c r="G2169">
        <v>41</v>
      </c>
    </row>
    <row r="2170" spans="6:7" x14ac:dyDescent="0.55000000000000004">
      <c r="F2170" t="s">
        <v>8219</v>
      </c>
      <c r="G2170">
        <v>7</v>
      </c>
    </row>
    <row r="2171" spans="6:7" x14ac:dyDescent="0.55000000000000004">
      <c r="F2171" t="s">
        <v>8219</v>
      </c>
      <c r="G2171">
        <v>49</v>
      </c>
    </row>
    <row r="2172" spans="6:7" x14ac:dyDescent="0.55000000000000004">
      <c r="F2172" t="s">
        <v>8219</v>
      </c>
      <c r="G2172">
        <v>26</v>
      </c>
    </row>
    <row r="2173" spans="6:7" x14ac:dyDescent="0.55000000000000004">
      <c r="F2173" t="s">
        <v>8219</v>
      </c>
      <c r="G2173">
        <v>65</v>
      </c>
    </row>
    <row r="2174" spans="6:7" x14ac:dyDescent="0.55000000000000004">
      <c r="F2174" t="s">
        <v>8219</v>
      </c>
      <c r="G2174">
        <v>28</v>
      </c>
    </row>
    <row r="2175" spans="6:7" x14ac:dyDescent="0.55000000000000004">
      <c r="F2175" t="s">
        <v>8219</v>
      </c>
      <c r="G2175">
        <v>8</v>
      </c>
    </row>
    <row r="2176" spans="6:7" x14ac:dyDescent="0.55000000000000004">
      <c r="F2176" t="s">
        <v>8219</v>
      </c>
      <c r="G2176">
        <v>3</v>
      </c>
    </row>
    <row r="2177" spans="6:7" x14ac:dyDescent="0.55000000000000004">
      <c r="F2177" t="s">
        <v>8219</v>
      </c>
      <c r="G2177">
        <v>9</v>
      </c>
    </row>
    <row r="2178" spans="6:7" x14ac:dyDescent="0.55000000000000004">
      <c r="F2178" t="s">
        <v>8219</v>
      </c>
      <c r="G2178">
        <v>9</v>
      </c>
    </row>
    <row r="2179" spans="6:7" x14ac:dyDescent="0.55000000000000004">
      <c r="F2179" t="s">
        <v>8219</v>
      </c>
      <c r="G2179">
        <v>20</v>
      </c>
    </row>
    <row r="2180" spans="6:7" x14ac:dyDescent="0.55000000000000004">
      <c r="F2180" t="s">
        <v>8219</v>
      </c>
      <c r="G2180">
        <v>57</v>
      </c>
    </row>
    <row r="2181" spans="6:7" x14ac:dyDescent="0.55000000000000004">
      <c r="F2181" t="s">
        <v>8219</v>
      </c>
      <c r="G2181">
        <v>8</v>
      </c>
    </row>
    <row r="2182" spans="6:7" x14ac:dyDescent="0.55000000000000004">
      <c r="F2182" t="s">
        <v>8219</v>
      </c>
      <c r="G2182">
        <v>14</v>
      </c>
    </row>
    <row r="2183" spans="6:7" x14ac:dyDescent="0.55000000000000004">
      <c r="F2183" t="s">
        <v>8219</v>
      </c>
      <c r="G2183">
        <v>17</v>
      </c>
    </row>
    <row r="2184" spans="6:7" x14ac:dyDescent="0.55000000000000004">
      <c r="F2184" t="s">
        <v>8219</v>
      </c>
      <c r="G2184">
        <v>100</v>
      </c>
    </row>
    <row r="2185" spans="6:7" x14ac:dyDescent="0.55000000000000004">
      <c r="F2185" t="s">
        <v>8219</v>
      </c>
      <c r="G2185">
        <v>32</v>
      </c>
    </row>
    <row r="2186" spans="6:7" x14ac:dyDescent="0.55000000000000004">
      <c r="F2186" t="s">
        <v>8219</v>
      </c>
      <c r="G2186">
        <v>3</v>
      </c>
    </row>
  </sheetData>
  <mergeCells count="1">
    <mergeCell ref="A2:D2"/>
  </mergeCells>
  <conditionalFormatting sqref="F1:F1046647">
    <cfRule type="cellIs" dxfId="25" priority="5" operator="equal">
      <formula>"live"</formula>
    </cfRule>
    <cfRule type="cellIs" dxfId="24" priority="6" operator="equal">
      <formula>"canceled"</formula>
    </cfRule>
    <cfRule type="cellIs" dxfId="23" priority="7" operator="equal">
      <formula>"failed"</formula>
    </cfRule>
    <cfRule type="cellIs" dxfId="22" priority="8" operator="equal">
      <formula>"successful"</formula>
    </cfRule>
  </conditionalFormatting>
  <conditionalFormatting sqref="I1:I1045992">
    <cfRule type="cellIs" dxfId="21" priority="1" operator="equal">
      <formula>"live"</formula>
    </cfRule>
    <cfRule type="cellIs" dxfId="20" priority="2" operator="equal">
      <formula>"canceled"</formula>
    </cfRule>
    <cfRule type="cellIs" dxfId="19" priority="3" operator="equal">
      <formula>"failed"</formula>
    </cfRule>
    <cfRule type="cellIs" dxfId="18" priority="4" operator="equal">
      <formula>"successful"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06499-7A80-418A-A1DB-4D9368CFF00B}">
  <sheetPr codeName="Sheet5"/>
  <dimension ref="A1:H29"/>
  <sheetViews>
    <sheetView workbookViewId="0">
      <selection activeCell="A17" sqref="A17"/>
    </sheetView>
  </sheetViews>
  <sheetFormatPr defaultRowHeight="14.4" x14ac:dyDescent="0.55000000000000004"/>
  <cols>
    <col min="1" max="1" width="19.3671875" customWidth="1"/>
    <col min="2" max="2" width="15.62890625" bestFit="1" customWidth="1"/>
    <col min="3" max="3" width="12.20703125" bestFit="1" customWidth="1"/>
    <col min="4" max="4" width="14.7890625" bestFit="1" customWidth="1"/>
    <col min="5" max="5" width="11.47265625" bestFit="1" customWidth="1"/>
    <col min="6" max="6" width="18.05078125" bestFit="1" customWidth="1"/>
    <col min="7" max="7" width="14.62890625" bestFit="1" customWidth="1"/>
    <col min="8" max="8" width="17.20703125" bestFit="1" customWidth="1"/>
  </cols>
  <sheetData>
    <row r="1" spans="1:8" x14ac:dyDescent="0.55000000000000004">
      <c r="A1" t="s">
        <v>8307</v>
      </c>
      <c r="B1" t="s">
        <v>8452</v>
      </c>
      <c r="C1" t="s">
        <v>8453</v>
      </c>
      <c r="D1" t="s">
        <v>8454</v>
      </c>
      <c r="E1" t="s">
        <v>8455</v>
      </c>
      <c r="F1" t="s">
        <v>8456</v>
      </c>
      <c r="G1" t="s">
        <v>8457</v>
      </c>
      <c r="H1" t="s">
        <v>8458</v>
      </c>
    </row>
    <row r="2" spans="1:8" x14ac:dyDescent="0.55000000000000004">
      <c r="A2" t="s">
        <v>8459</v>
      </c>
      <c r="B2">
        <f>COUNTIFS(Raw_Data!$F:$F,"successful",Raw_Data!$D:$D,"&lt;1000")</f>
        <v>322</v>
      </c>
      <c r="C2">
        <f>COUNTIFS(Raw_Data!$F:$F,"failed",Raw_Data!$D:$D,"&lt;1000")</f>
        <v>113</v>
      </c>
      <c r="D2">
        <f>COUNTIFS(Raw_Data!$F:$F,"canceled",Raw_Data!$D:$D,"&lt;1000")</f>
        <v>18</v>
      </c>
      <c r="E2">
        <f>COUNTIFS(Raw_Data!$D:$D,"&lt;1000")</f>
        <v>461</v>
      </c>
      <c r="F2" s="3">
        <f>B2/$E2</f>
        <v>0.69848156182212584</v>
      </c>
      <c r="G2" s="3">
        <f t="shared" ref="G2:H13" si="0">C2/$E2</f>
        <v>0.24511930585683298</v>
      </c>
      <c r="H2" s="3">
        <f t="shared" si="0"/>
        <v>3.9045553145336226E-2</v>
      </c>
    </row>
    <row r="3" spans="1:8" x14ac:dyDescent="0.55000000000000004">
      <c r="A3" t="s">
        <v>8460</v>
      </c>
      <c r="B3">
        <f>COUNTIFS(Raw_Data!$F:$F,"successful",Raw_Data!$D:$D,"&gt;=1000",Raw_Data!$D:$D,"&lt;5000")</f>
        <v>932</v>
      </c>
      <c r="C3">
        <f>COUNTIFS(Raw_Data!$F:$F,"failed",Raw_Data!$D:$D,"&gt;=1000",Raw_Data!$D:$D,"&lt;5000")</f>
        <v>420</v>
      </c>
      <c r="D3">
        <f>COUNTIFS(Raw_Data!$F:$F,"canceled",Raw_Data!$D:$D,"&gt;=1000",Raw_Data!$D:$D,"&lt;5000")</f>
        <v>60</v>
      </c>
      <c r="E3">
        <f>COUNTIFS(Raw_Data!$D:$D,"&gt;=1000",Raw_Data!$D:$D,"&lt;5000")</f>
        <v>1425</v>
      </c>
      <c r="F3" s="3">
        <f t="shared" ref="F3:F13" si="1">B3/$E3</f>
        <v>0.65403508771929819</v>
      </c>
      <c r="G3" s="3">
        <f t="shared" si="0"/>
        <v>0.29473684210526313</v>
      </c>
      <c r="H3" s="3">
        <f t="shared" si="0"/>
        <v>4.2105263157894736E-2</v>
      </c>
    </row>
    <row r="4" spans="1:8" x14ac:dyDescent="0.55000000000000004">
      <c r="A4" t="s">
        <v>8461</v>
      </c>
      <c r="B4">
        <f>COUNTIFS(Raw_Data!$F:$F,"successful",Raw_Data!$D:$D,"&gt;=5000",Raw_Data!$D:$D,"&lt;10000")</f>
        <v>381</v>
      </c>
      <c r="C4">
        <f>COUNTIFS(Raw_Data!$F:$F,"failed",Raw_Data!$D:$D,"&gt;=5000",Raw_Data!$D:$D,"&lt;10000")</f>
        <v>283</v>
      </c>
      <c r="D4">
        <f>COUNTIFS(Raw_Data!$F:$F,"canceled",Raw_Data!$D:$D,"&gt;=5000",Raw_Data!$D:$D,"&lt;10000")</f>
        <v>52</v>
      </c>
      <c r="E4">
        <f>COUNTIFS(Raw_Data!$D:$D,"&gt;=5000",Raw_Data!$D:$D,"&lt;10000")</f>
        <v>722</v>
      </c>
      <c r="F4" s="3">
        <f t="shared" si="1"/>
        <v>0.52770083102493071</v>
      </c>
      <c r="G4" s="3">
        <f t="shared" si="0"/>
        <v>0.39196675900277006</v>
      </c>
      <c r="H4" s="3">
        <f t="shared" si="0"/>
        <v>7.2022160664819951E-2</v>
      </c>
    </row>
    <row r="5" spans="1:8" x14ac:dyDescent="0.55000000000000004">
      <c r="A5" t="s">
        <v>8462</v>
      </c>
      <c r="B5">
        <f>COUNTIFS(Raw_Data!$F:$F,"successful",Raw_Data!$D:$D,"&gt;=10000",Raw_Data!$D:$D,"&lt;15000")</f>
        <v>168</v>
      </c>
      <c r="C5">
        <f>COUNTIFS(Raw_Data!$F:$F,"failed",Raw_Data!$D:$D,"&gt;=10000",Raw_Data!$D:$D,"&lt;15000")</f>
        <v>144</v>
      </c>
      <c r="D5">
        <f>COUNTIFS(Raw_Data!$F:$F,"canceled",Raw_Data!$D:$D,"&gt;=10000",Raw_Data!$D:$D,"&lt;15000")</f>
        <v>40</v>
      </c>
      <c r="E5">
        <f>COUNTIFS(Raw_Data!$D:$D,"&gt;=10000",Raw_Data!$D:$D,"&lt;15000")</f>
        <v>361</v>
      </c>
      <c r="F5" s="3">
        <f t="shared" si="1"/>
        <v>0.46537396121883656</v>
      </c>
      <c r="G5" s="3">
        <f t="shared" si="0"/>
        <v>0.39889196675900279</v>
      </c>
      <c r="H5" s="3">
        <f t="shared" si="0"/>
        <v>0.11080332409972299</v>
      </c>
    </row>
    <row r="6" spans="1:8" x14ac:dyDescent="0.55000000000000004">
      <c r="A6" t="s">
        <v>8463</v>
      </c>
      <c r="B6">
        <f>COUNTIFS(Raw_Data!$F:$F,"successful",Raw_Data!$D:$D,"&gt;=15000",Raw_Data!$D:$D,"&lt;20000")</f>
        <v>94</v>
      </c>
      <c r="C6">
        <f>COUNTIFS(Raw_Data!$F:$F,"failed",Raw_Data!$D:$D,"&gt;=15000",Raw_Data!$D:$D,"&lt;20000")</f>
        <v>90</v>
      </c>
      <c r="D6">
        <f>COUNTIFS(Raw_Data!$F:$F,"canceled",Raw_Data!$D:$D,"&gt;=15000",Raw_Data!$D:$D,"&lt;20000")</f>
        <v>17</v>
      </c>
      <c r="E6">
        <f>COUNTIFS(Raw_Data!$D:$D,"&gt;=15000",Raw_Data!$D:$D,"&lt;20000")</f>
        <v>205</v>
      </c>
      <c r="F6" s="3">
        <f t="shared" si="1"/>
        <v>0.45853658536585368</v>
      </c>
      <c r="G6" s="3">
        <f t="shared" si="0"/>
        <v>0.43902439024390244</v>
      </c>
      <c r="H6" s="3">
        <f t="shared" si="0"/>
        <v>8.2926829268292687E-2</v>
      </c>
    </row>
    <row r="7" spans="1:8" x14ac:dyDescent="0.55000000000000004">
      <c r="A7" t="s">
        <v>8464</v>
      </c>
      <c r="B7">
        <f>COUNTIFS(Raw_Data!$F:$F,"successful",Raw_Data!$D:$D,"&gt;=20000",Raw_Data!$D:$D,"&lt;25000")</f>
        <v>62</v>
      </c>
      <c r="C7">
        <f>COUNTIFS(Raw_Data!$F:$F,"failed",Raw_Data!$D:$D,"&gt;=20000",Raw_Data!$D:$D,"&lt;25000")</f>
        <v>72</v>
      </c>
      <c r="D7">
        <f>COUNTIFS(Raw_Data!$F:$F,"canceled",Raw_Data!$D:$D,"&gt;=20000",Raw_Data!$D:$D,"&lt;25000")</f>
        <v>14</v>
      </c>
      <c r="E7">
        <f>COUNTIFS(Raw_Data!$D:$D,"&gt;=20000",Raw_Data!$D:$D,"&lt;25000")</f>
        <v>149</v>
      </c>
      <c r="F7" s="3">
        <f t="shared" si="1"/>
        <v>0.41610738255033558</v>
      </c>
      <c r="G7" s="3">
        <f t="shared" si="0"/>
        <v>0.48322147651006714</v>
      </c>
      <c r="H7" s="3">
        <f t="shared" si="0"/>
        <v>9.3959731543624164E-2</v>
      </c>
    </row>
    <row r="8" spans="1:8" x14ac:dyDescent="0.55000000000000004">
      <c r="A8" t="s">
        <v>8465</v>
      </c>
      <c r="B8">
        <f>COUNTIFS(Raw_Data!$F:$F,"successful",Raw_Data!$D:$D,"&gt;=25000",Raw_Data!$D:$D,"&lt;30000")</f>
        <v>55</v>
      </c>
      <c r="C8">
        <f>COUNTIFS(Raw_Data!$F:$F,"failed",Raw_Data!$D:$D,"&gt;=25000",Raw_Data!$D:$D,"&lt;30000")</f>
        <v>64</v>
      </c>
      <c r="D8">
        <f>COUNTIFS(Raw_Data!$F:$F,"canceled",Raw_Data!$D:$D,"&gt;=25000",Raw_Data!$D:$D,"&lt;30000")</f>
        <v>18</v>
      </c>
      <c r="E8">
        <f>COUNTIFS(Raw_Data!$D:$D,"&gt;=25000",Raw_Data!$D:$D,"&lt;30000")</f>
        <v>138</v>
      </c>
      <c r="F8" s="3">
        <f t="shared" si="1"/>
        <v>0.39855072463768115</v>
      </c>
      <c r="G8" s="3">
        <f t="shared" si="0"/>
        <v>0.46376811594202899</v>
      </c>
      <c r="H8" s="3">
        <f t="shared" si="0"/>
        <v>0.13043478260869565</v>
      </c>
    </row>
    <row r="9" spans="1:8" x14ac:dyDescent="0.55000000000000004">
      <c r="A9" t="s">
        <v>8466</v>
      </c>
      <c r="B9">
        <f>COUNTIFS(Raw_Data!$F:$F,"successful",Raw_Data!$D:$D,"&gt;=30000",Raw_Data!$D:$D,"&lt;35000")</f>
        <v>32</v>
      </c>
      <c r="C9">
        <f>COUNTIFS(Raw_Data!$F:$F,"failed",Raw_Data!$D:$D,"&gt;=30000",Raw_Data!$D:$D,"&lt;35000")</f>
        <v>37</v>
      </c>
      <c r="D9">
        <f>COUNTIFS(Raw_Data!$F:$F,"canceled",Raw_Data!$D:$D,"&gt;=30000",Raw_Data!$D:$D,"&lt;35000")</f>
        <v>13</v>
      </c>
      <c r="E9">
        <f>COUNTIFS(Raw_Data!$D:$D,"&gt;=30000",Raw_Data!$D:$D,"&lt;35000")</f>
        <v>84</v>
      </c>
      <c r="F9" s="3">
        <f t="shared" si="1"/>
        <v>0.38095238095238093</v>
      </c>
      <c r="G9" s="3">
        <f t="shared" si="0"/>
        <v>0.44047619047619047</v>
      </c>
      <c r="H9" s="3">
        <f t="shared" si="0"/>
        <v>0.15476190476190477</v>
      </c>
    </row>
    <row r="10" spans="1:8" x14ac:dyDescent="0.55000000000000004">
      <c r="A10" t="s">
        <v>8467</v>
      </c>
      <c r="B10">
        <f>COUNTIFS(Raw_Data!$F:$F,"successful",Raw_Data!$D:$D,"&gt;=35000",Raw_Data!$D:$D,"&lt;40000")</f>
        <v>26</v>
      </c>
      <c r="C10">
        <f>COUNTIFS(Raw_Data!$F:$F,"failed",Raw_Data!$D:$D,"&gt;=35000",Raw_Data!$D:$D,"&lt;40000")</f>
        <v>22</v>
      </c>
      <c r="D10">
        <f>COUNTIFS(Raw_Data!$F:$F,"canceled",Raw_Data!$D:$D,"&gt;=35000",Raw_Data!$D:$D,"&lt;40000")</f>
        <v>7</v>
      </c>
      <c r="E10">
        <f>COUNTIFS(Raw_Data!$D:$D,"&gt;=35000",Raw_Data!$D:$D,"&lt;40000")</f>
        <v>55</v>
      </c>
      <c r="F10" s="3">
        <f t="shared" si="1"/>
        <v>0.47272727272727272</v>
      </c>
      <c r="G10" s="3">
        <f t="shared" si="0"/>
        <v>0.4</v>
      </c>
      <c r="H10" s="3">
        <f t="shared" si="0"/>
        <v>0.12727272727272726</v>
      </c>
    </row>
    <row r="11" spans="1:8" x14ac:dyDescent="0.55000000000000004">
      <c r="A11" t="s">
        <v>8468</v>
      </c>
      <c r="B11">
        <f>COUNTIFS(Raw_Data!$F:$F,"successful",Raw_Data!$D:$D,"&gt;=40000",Raw_Data!$D:$D,"&lt;45000")</f>
        <v>21</v>
      </c>
      <c r="C11">
        <f>COUNTIFS(Raw_Data!$F:$F,"failed",Raw_Data!$D:$D,"&gt;=40000",Raw_Data!$D:$D,"&lt;45000")</f>
        <v>16</v>
      </c>
      <c r="D11">
        <f>COUNTIFS(Raw_Data!$F:$F,"canceled",Raw_Data!$D:$D,"&gt;=40000",Raw_Data!$D:$D,"&lt;45000")</f>
        <v>6</v>
      </c>
      <c r="E11">
        <f>COUNTIFS(Raw_Data!$D:$D,"&gt;=40000",Raw_Data!$D:$D,"&lt;45000")</f>
        <v>44</v>
      </c>
      <c r="F11" s="3">
        <f t="shared" si="1"/>
        <v>0.47727272727272729</v>
      </c>
      <c r="G11" s="3">
        <f t="shared" si="0"/>
        <v>0.36363636363636365</v>
      </c>
      <c r="H11" s="3">
        <f t="shared" si="0"/>
        <v>0.13636363636363635</v>
      </c>
    </row>
    <row r="12" spans="1:8" x14ac:dyDescent="0.55000000000000004">
      <c r="A12" t="s">
        <v>8469</v>
      </c>
      <c r="B12">
        <f>COUNTIFS(Raw_Data!$F:$F,"successful",Raw_Data!$D:$D,"&gt;=45000",Raw_Data!$D:$D,"&lt;50000")</f>
        <v>6</v>
      </c>
      <c r="C12">
        <f>COUNTIFS(Raw_Data!$F:$F,"failed",Raw_Data!$D:$D,"&gt;=45000",Raw_Data!$D:$D,"&lt;50000")</f>
        <v>11</v>
      </c>
      <c r="D12">
        <f>COUNTIFS(Raw_Data!$F:$F,"canceled",Raw_Data!$D:$D,"&gt;=45000",Raw_Data!$D:$D,"&lt;50000")</f>
        <v>4</v>
      </c>
      <c r="E12">
        <f>COUNTIFS(Raw_Data!$D:$D,"&gt;=45000",Raw_Data!$D:$D,"&lt;50000")</f>
        <v>21</v>
      </c>
      <c r="F12" s="3">
        <f t="shared" si="1"/>
        <v>0.2857142857142857</v>
      </c>
      <c r="G12" s="3">
        <f t="shared" si="0"/>
        <v>0.52380952380952384</v>
      </c>
      <c r="H12" s="3">
        <f t="shared" si="0"/>
        <v>0.19047619047619047</v>
      </c>
    </row>
    <row r="13" spans="1:8" ht="28.8" x14ac:dyDescent="0.55000000000000004">
      <c r="A13" s="1" t="s">
        <v>8470</v>
      </c>
      <c r="B13">
        <f>COUNTIFS(Raw_Data!$F:$F,"successful",Raw_Data!$D:$D,"&gt;=50000")</f>
        <v>86</v>
      </c>
      <c r="C13">
        <f>COUNTIFS(Raw_Data!$F:$F,"failed",Raw_Data!$D:$D,"&gt;=50000")</f>
        <v>258</v>
      </c>
      <c r="D13">
        <f>COUNTIFS(Raw_Data!$F:$F,"canceled",Raw_Data!$D:$D,"&gt;=50000")</f>
        <v>100</v>
      </c>
      <c r="E13">
        <f>COUNTIFS(Raw_Data!$D:$D,"&gt;=50000")</f>
        <v>449</v>
      </c>
      <c r="F13" s="3">
        <f t="shared" si="1"/>
        <v>0.19153674832962139</v>
      </c>
      <c r="G13" s="3">
        <f t="shared" si="0"/>
        <v>0.57461024498886415</v>
      </c>
      <c r="H13" s="3">
        <f t="shared" si="0"/>
        <v>0.22271714922048999</v>
      </c>
    </row>
    <row r="14" spans="1:8" x14ac:dyDescent="0.55000000000000004">
      <c r="A14" t="s">
        <v>8479</v>
      </c>
      <c r="B14">
        <f>SUM(B2:B13)</f>
        <v>2185</v>
      </c>
      <c r="C14">
        <f t="shared" ref="C14:E14" si="2">SUM(C2:C13)</f>
        <v>1530</v>
      </c>
      <c r="D14">
        <f t="shared" si="2"/>
        <v>349</v>
      </c>
      <c r="E14">
        <f t="shared" si="2"/>
        <v>4114</v>
      </c>
    </row>
    <row r="15" spans="1:8" x14ac:dyDescent="0.55000000000000004">
      <c r="A15" s="71" t="s">
        <v>8471</v>
      </c>
      <c r="B15" s="71"/>
      <c r="C15" s="71"/>
      <c r="D15" s="71"/>
      <c r="E15" s="71"/>
    </row>
    <row r="17" spans="1:4" ht="43.2" x14ac:dyDescent="0.55000000000000004">
      <c r="A17" s="1" t="s">
        <v>8489</v>
      </c>
      <c r="B17" t="s">
        <v>8472</v>
      </c>
      <c r="C17" t="s">
        <v>8473</v>
      </c>
      <c r="D17" t="s">
        <v>8474</v>
      </c>
    </row>
    <row r="18" spans="1:4" x14ac:dyDescent="0.55000000000000004">
      <c r="A18">
        <v>1000</v>
      </c>
      <c r="B18" s="3">
        <f>F2</f>
        <v>0.69848156182212584</v>
      </c>
      <c r="C18" s="3">
        <f t="shared" ref="C18:D18" si="3">G2</f>
        <v>0.24511930585683298</v>
      </c>
      <c r="D18" s="3">
        <f t="shared" si="3"/>
        <v>3.9045553145336226E-2</v>
      </c>
    </row>
    <row r="19" spans="1:4" x14ac:dyDescent="0.55000000000000004">
      <c r="A19">
        <v>5000</v>
      </c>
      <c r="B19" s="3">
        <f t="shared" ref="B19:B29" si="4">F3</f>
        <v>0.65403508771929819</v>
      </c>
      <c r="C19" s="3">
        <f t="shared" ref="C19:C29" si="5">G3</f>
        <v>0.29473684210526313</v>
      </c>
      <c r="D19" s="3">
        <f t="shared" ref="D19:D29" si="6">H3</f>
        <v>4.2105263157894736E-2</v>
      </c>
    </row>
    <row r="20" spans="1:4" x14ac:dyDescent="0.55000000000000004">
      <c r="A20">
        <v>10000</v>
      </c>
      <c r="B20" s="3">
        <f>F4</f>
        <v>0.52770083102493071</v>
      </c>
      <c r="C20" s="3">
        <f t="shared" si="5"/>
        <v>0.39196675900277006</v>
      </c>
      <c r="D20" s="3">
        <f t="shared" si="6"/>
        <v>7.2022160664819951E-2</v>
      </c>
    </row>
    <row r="21" spans="1:4" x14ac:dyDescent="0.55000000000000004">
      <c r="A21">
        <v>15000</v>
      </c>
      <c r="B21" s="3">
        <f t="shared" si="4"/>
        <v>0.46537396121883656</v>
      </c>
      <c r="C21" s="3">
        <f t="shared" si="5"/>
        <v>0.39889196675900279</v>
      </c>
      <c r="D21" s="3">
        <f t="shared" si="6"/>
        <v>0.11080332409972299</v>
      </c>
    </row>
    <row r="22" spans="1:4" x14ac:dyDescent="0.55000000000000004">
      <c r="A22">
        <v>20000</v>
      </c>
      <c r="B22" s="3">
        <f t="shared" si="4"/>
        <v>0.45853658536585368</v>
      </c>
      <c r="C22" s="3">
        <f t="shared" si="5"/>
        <v>0.43902439024390244</v>
      </c>
      <c r="D22" s="3">
        <f t="shared" si="6"/>
        <v>8.2926829268292687E-2</v>
      </c>
    </row>
    <row r="23" spans="1:4" x14ac:dyDescent="0.55000000000000004">
      <c r="A23">
        <v>25000</v>
      </c>
      <c r="B23" s="3">
        <f t="shared" si="4"/>
        <v>0.41610738255033558</v>
      </c>
      <c r="C23" s="3">
        <f t="shared" si="5"/>
        <v>0.48322147651006714</v>
      </c>
      <c r="D23" s="3">
        <f t="shared" si="6"/>
        <v>9.3959731543624164E-2</v>
      </c>
    </row>
    <row r="24" spans="1:4" x14ac:dyDescent="0.55000000000000004">
      <c r="A24">
        <v>30000</v>
      </c>
      <c r="B24" s="3">
        <f t="shared" si="4"/>
        <v>0.39855072463768115</v>
      </c>
      <c r="C24" s="3">
        <f t="shared" si="5"/>
        <v>0.46376811594202899</v>
      </c>
      <c r="D24" s="3">
        <f t="shared" si="6"/>
        <v>0.13043478260869565</v>
      </c>
    </row>
    <row r="25" spans="1:4" x14ac:dyDescent="0.55000000000000004">
      <c r="A25">
        <v>35000</v>
      </c>
      <c r="B25" s="3">
        <f t="shared" si="4"/>
        <v>0.38095238095238093</v>
      </c>
      <c r="C25" s="3">
        <f t="shared" si="5"/>
        <v>0.44047619047619047</v>
      </c>
      <c r="D25" s="3">
        <f t="shared" si="6"/>
        <v>0.15476190476190477</v>
      </c>
    </row>
    <row r="26" spans="1:4" x14ac:dyDescent="0.55000000000000004">
      <c r="A26">
        <v>40000</v>
      </c>
      <c r="B26" s="3">
        <f t="shared" si="4"/>
        <v>0.47272727272727272</v>
      </c>
      <c r="C26" s="3">
        <f t="shared" si="5"/>
        <v>0.4</v>
      </c>
      <c r="D26" s="3">
        <f t="shared" si="6"/>
        <v>0.12727272727272726</v>
      </c>
    </row>
    <row r="27" spans="1:4" x14ac:dyDescent="0.55000000000000004">
      <c r="A27">
        <v>45000</v>
      </c>
      <c r="B27" s="3">
        <f t="shared" si="4"/>
        <v>0.47727272727272729</v>
      </c>
      <c r="C27" s="3">
        <f t="shared" si="5"/>
        <v>0.36363636363636365</v>
      </c>
      <c r="D27" s="3">
        <f t="shared" si="6"/>
        <v>0.13636363636363635</v>
      </c>
    </row>
    <row r="28" spans="1:4" x14ac:dyDescent="0.55000000000000004">
      <c r="A28">
        <v>50000</v>
      </c>
      <c r="B28" s="3">
        <f t="shared" si="4"/>
        <v>0.2857142857142857</v>
      </c>
      <c r="C28" s="3">
        <f t="shared" si="5"/>
        <v>0.52380952380952384</v>
      </c>
      <c r="D28" s="3">
        <f t="shared" si="6"/>
        <v>0.19047619047619047</v>
      </c>
    </row>
    <row r="29" spans="1:4" x14ac:dyDescent="0.55000000000000004">
      <c r="A29">
        <v>55000</v>
      </c>
      <c r="B29" s="3">
        <f t="shared" si="4"/>
        <v>0.19153674832962139</v>
      </c>
      <c r="C29" s="3">
        <f t="shared" si="5"/>
        <v>0.57461024498886415</v>
      </c>
      <c r="D29" s="3">
        <f t="shared" si="6"/>
        <v>0.22271714922048999</v>
      </c>
    </row>
  </sheetData>
  <mergeCells count="1">
    <mergeCell ref="A15:E1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BE228-3B5F-4E26-A1D9-701704DB2B10}">
  <sheetPr codeName="Sheet6"/>
  <dimension ref="A3:G48"/>
  <sheetViews>
    <sheetView topLeftCell="J1" workbookViewId="0">
      <selection activeCell="J46" sqref="J46"/>
    </sheetView>
  </sheetViews>
  <sheetFormatPr defaultRowHeight="14.4" x14ac:dyDescent="0.55000000000000004"/>
  <cols>
    <col min="1" max="1" width="10.20703125" bestFit="1" customWidth="1"/>
    <col min="2" max="2" width="10.05078125" bestFit="1" customWidth="1"/>
    <col min="3" max="6" width="8.83984375" bestFit="1" customWidth="1"/>
    <col min="7" max="8" width="10.20703125" bestFit="1" customWidth="1"/>
    <col min="9" max="9" width="9.734375" bestFit="1" customWidth="1"/>
    <col min="10" max="10" width="6.734375" bestFit="1" customWidth="1"/>
    <col min="11" max="11" width="10.20703125" bestFit="1" customWidth="1"/>
  </cols>
  <sheetData>
    <row r="3" spans="1:7" x14ac:dyDescent="0.55000000000000004">
      <c r="A3" s="7" t="s">
        <v>8310</v>
      </c>
      <c r="B3" t="s">
        <v>8395</v>
      </c>
    </row>
    <row r="5" spans="1:7" x14ac:dyDescent="0.55000000000000004">
      <c r="A5" s="7" t="s">
        <v>8397</v>
      </c>
      <c r="C5" s="7" t="s">
        <v>8218</v>
      </c>
    </row>
    <row r="6" spans="1:7" x14ac:dyDescent="0.55000000000000004">
      <c r="A6" s="7" t="s">
        <v>8396</v>
      </c>
      <c r="B6" s="7" t="s">
        <v>8399</v>
      </c>
      <c r="C6" t="s">
        <v>8219</v>
      </c>
      <c r="D6" t="s">
        <v>8221</v>
      </c>
      <c r="E6" t="s">
        <v>8220</v>
      </c>
      <c r="F6" t="s">
        <v>8222</v>
      </c>
      <c r="G6" t="s">
        <v>8321</v>
      </c>
    </row>
    <row r="7" spans="1:7" x14ac:dyDescent="0.55000000000000004">
      <c r="A7" t="s">
        <v>8370</v>
      </c>
      <c r="B7" t="s">
        <v>8371</v>
      </c>
      <c r="C7" s="9">
        <v>1</v>
      </c>
      <c r="D7" s="9"/>
      <c r="E7" s="9"/>
      <c r="F7" s="9"/>
      <c r="G7" s="9">
        <v>1</v>
      </c>
    </row>
    <row r="8" spans="1:7" x14ac:dyDescent="0.55000000000000004">
      <c r="B8" t="s">
        <v>8373</v>
      </c>
      <c r="C8" s="9">
        <v>4</v>
      </c>
      <c r="D8" s="9">
        <v>3</v>
      </c>
      <c r="E8" s="9">
        <v>1</v>
      </c>
      <c r="F8" s="9"/>
      <c r="G8" s="9">
        <v>8</v>
      </c>
    </row>
    <row r="9" spans="1:7" x14ac:dyDescent="0.55000000000000004">
      <c r="B9" t="s">
        <v>8377</v>
      </c>
      <c r="C9" s="9">
        <v>4</v>
      </c>
      <c r="D9" s="9">
        <v>1</v>
      </c>
      <c r="E9" s="9"/>
      <c r="F9" s="9"/>
      <c r="G9" s="9">
        <v>5</v>
      </c>
    </row>
    <row r="10" spans="1:7" x14ac:dyDescent="0.55000000000000004">
      <c r="A10" t="s">
        <v>8400</v>
      </c>
      <c r="C10" s="9">
        <v>9</v>
      </c>
      <c r="D10" s="9">
        <v>4</v>
      </c>
      <c r="E10" s="9">
        <v>1</v>
      </c>
      <c r="F10" s="9"/>
      <c r="G10" s="9">
        <v>14</v>
      </c>
    </row>
    <row r="11" spans="1:7" x14ac:dyDescent="0.55000000000000004">
      <c r="A11" t="s">
        <v>8380</v>
      </c>
      <c r="B11" t="s">
        <v>8381</v>
      </c>
      <c r="C11" s="9">
        <v>12</v>
      </c>
      <c r="D11" s="9">
        <v>2</v>
      </c>
      <c r="E11" s="9"/>
      <c r="F11" s="9"/>
      <c r="G11" s="9">
        <v>14</v>
      </c>
    </row>
    <row r="12" spans="1:7" x14ac:dyDescent="0.55000000000000004">
      <c r="B12" t="s">
        <v>8371</v>
      </c>
      <c r="C12" s="9">
        <v>14</v>
      </c>
      <c r="D12" s="9">
        <v>7</v>
      </c>
      <c r="E12" s="9"/>
      <c r="F12" s="9"/>
      <c r="G12" s="9">
        <v>21</v>
      </c>
    </row>
    <row r="13" spans="1:7" x14ac:dyDescent="0.55000000000000004">
      <c r="B13" t="s">
        <v>8373</v>
      </c>
      <c r="C13" s="9">
        <v>7</v>
      </c>
      <c r="D13" s="9">
        <v>3</v>
      </c>
      <c r="E13" s="9">
        <v>1</v>
      </c>
      <c r="F13" s="9"/>
      <c r="G13" s="9">
        <v>11</v>
      </c>
    </row>
    <row r="14" spans="1:7" x14ac:dyDescent="0.55000000000000004">
      <c r="B14" t="s">
        <v>8377</v>
      </c>
      <c r="C14" s="9">
        <v>16</v>
      </c>
      <c r="D14" s="9">
        <v>3</v>
      </c>
      <c r="E14" s="9"/>
      <c r="F14" s="9"/>
      <c r="G14" s="9">
        <v>19</v>
      </c>
    </row>
    <row r="15" spans="1:7" x14ac:dyDescent="0.55000000000000004">
      <c r="A15" t="s">
        <v>8401</v>
      </c>
      <c r="C15" s="9">
        <v>49</v>
      </c>
      <c r="D15" s="9">
        <v>15</v>
      </c>
      <c r="E15" s="9">
        <v>1</v>
      </c>
      <c r="F15" s="9"/>
      <c r="G15" s="9">
        <v>65</v>
      </c>
    </row>
    <row r="16" spans="1:7" x14ac:dyDescent="0.55000000000000004">
      <c r="A16" t="s">
        <v>8388</v>
      </c>
      <c r="B16" t="s">
        <v>8381</v>
      </c>
      <c r="C16" s="9">
        <v>26</v>
      </c>
      <c r="D16" s="9">
        <v>2</v>
      </c>
      <c r="E16" s="9">
        <v>1</v>
      </c>
      <c r="F16" s="9"/>
      <c r="G16" s="9">
        <v>29</v>
      </c>
    </row>
    <row r="17" spans="1:7" x14ac:dyDescent="0.55000000000000004">
      <c r="B17" t="s">
        <v>8371</v>
      </c>
      <c r="C17" s="9">
        <v>39</v>
      </c>
      <c r="D17" s="9">
        <v>6</v>
      </c>
      <c r="E17" s="9">
        <v>2</v>
      </c>
      <c r="F17" s="9"/>
      <c r="G17" s="9">
        <v>47</v>
      </c>
    </row>
    <row r="18" spans="1:7" x14ac:dyDescent="0.55000000000000004">
      <c r="B18" t="s">
        <v>8373</v>
      </c>
      <c r="C18" s="9">
        <v>37</v>
      </c>
      <c r="D18" s="9">
        <v>10</v>
      </c>
      <c r="E18" s="9">
        <v>3</v>
      </c>
      <c r="F18" s="9"/>
      <c r="G18" s="9">
        <v>50</v>
      </c>
    </row>
    <row r="19" spans="1:7" x14ac:dyDescent="0.55000000000000004">
      <c r="B19" t="s">
        <v>8377</v>
      </c>
      <c r="C19" s="9">
        <v>34</v>
      </c>
      <c r="D19" s="9">
        <v>10</v>
      </c>
      <c r="E19" s="9">
        <v>1</v>
      </c>
      <c r="F19" s="9"/>
      <c r="G19" s="9">
        <v>45</v>
      </c>
    </row>
    <row r="20" spans="1:7" x14ac:dyDescent="0.55000000000000004">
      <c r="A20" t="s">
        <v>8402</v>
      </c>
      <c r="C20" s="9">
        <v>136</v>
      </c>
      <c r="D20" s="9">
        <v>28</v>
      </c>
      <c r="E20" s="9">
        <v>7</v>
      </c>
      <c r="F20" s="9"/>
      <c r="G20" s="9">
        <v>171</v>
      </c>
    </row>
    <row r="21" spans="1:7" x14ac:dyDescent="0.55000000000000004">
      <c r="A21" t="s">
        <v>8389</v>
      </c>
      <c r="B21" t="s">
        <v>8381</v>
      </c>
      <c r="C21" s="9">
        <v>67</v>
      </c>
      <c r="D21" s="9">
        <v>15</v>
      </c>
      <c r="E21" s="9">
        <v>3</v>
      </c>
      <c r="F21" s="9"/>
      <c r="G21" s="9">
        <v>85</v>
      </c>
    </row>
    <row r="22" spans="1:7" x14ac:dyDescent="0.55000000000000004">
      <c r="B22" t="s">
        <v>8371</v>
      </c>
      <c r="C22" s="9">
        <v>60</v>
      </c>
      <c r="D22" s="9">
        <v>15</v>
      </c>
      <c r="E22" s="9">
        <v>1</v>
      </c>
      <c r="F22" s="9"/>
      <c r="G22" s="9">
        <v>76</v>
      </c>
    </row>
    <row r="23" spans="1:7" x14ac:dyDescent="0.55000000000000004">
      <c r="B23" t="s">
        <v>8373</v>
      </c>
      <c r="C23" s="9">
        <v>48</v>
      </c>
      <c r="D23" s="9">
        <v>15</v>
      </c>
      <c r="E23" s="9">
        <v>2</v>
      </c>
      <c r="F23" s="9"/>
      <c r="G23" s="9">
        <v>65</v>
      </c>
    </row>
    <row r="24" spans="1:7" x14ac:dyDescent="0.55000000000000004">
      <c r="B24" t="s">
        <v>8377</v>
      </c>
      <c r="C24" s="9">
        <v>41</v>
      </c>
      <c r="D24" s="9">
        <v>15</v>
      </c>
      <c r="E24" s="9"/>
      <c r="F24" s="9"/>
      <c r="G24" s="9">
        <v>56</v>
      </c>
    </row>
    <row r="25" spans="1:7" x14ac:dyDescent="0.55000000000000004">
      <c r="A25" t="s">
        <v>8403</v>
      </c>
      <c r="C25" s="9">
        <v>216</v>
      </c>
      <c r="D25" s="9">
        <v>60</v>
      </c>
      <c r="E25" s="9">
        <v>6</v>
      </c>
      <c r="F25" s="9"/>
      <c r="G25" s="9">
        <v>282</v>
      </c>
    </row>
    <row r="26" spans="1:7" x14ac:dyDescent="0.55000000000000004">
      <c r="A26" t="s">
        <v>8390</v>
      </c>
      <c r="B26" t="s">
        <v>8381</v>
      </c>
      <c r="C26" s="9">
        <v>57</v>
      </c>
      <c r="D26" s="9">
        <v>9</v>
      </c>
      <c r="E26" s="9"/>
      <c r="F26" s="9"/>
      <c r="G26" s="9">
        <v>66</v>
      </c>
    </row>
    <row r="27" spans="1:7" x14ac:dyDescent="0.55000000000000004">
      <c r="B27" t="s">
        <v>8371</v>
      </c>
      <c r="C27" s="9">
        <v>54</v>
      </c>
      <c r="D27" s="9">
        <v>14</v>
      </c>
      <c r="E27" s="9">
        <v>2</v>
      </c>
      <c r="F27" s="9"/>
      <c r="G27" s="9">
        <v>70</v>
      </c>
    </row>
    <row r="28" spans="1:7" x14ac:dyDescent="0.55000000000000004">
      <c r="B28" t="s">
        <v>8373</v>
      </c>
      <c r="C28" s="9">
        <v>38</v>
      </c>
      <c r="D28" s="9">
        <v>18</v>
      </c>
      <c r="E28" s="9">
        <v>3</v>
      </c>
      <c r="F28" s="9"/>
      <c r="G28" s="9">
        <v>59</v>
      </c>
    </row>
    <row r="29" spans="1:7" x14ac:dyDescent="0.55000000000000004">
      <c r="B29" t="s">
        <v>8377</v>
      </c>
      <c r="C29" s="9">
        <v>51</v>
      </c>
      <c r="D29" s="9">
        <v>26</v>
      </c>
      <c r="E29" s="9">
        <v>2</v>
      </c>
      <c r="F29" s="9"/>
      <c r="G29" s="9">
        <v>79</v>
      </c>
    </row>
    <row r="30" spans="1:7" x14ac:dyDescent="0.55000000000000004">
      <c r="A30" t="s">
        <v>8404</v>
      </c>
      <c r="C30" s="9">
        <v>200</v>
      </c>
      <c r="D30" s="9">
        <v>67</v>
      </c>
      <c r="E30" s="9">
        <v>7</v>
      </c>
      <c r="F30" s="9"/>
      <c r="G30" s="9">
        <v>274</v>
      </c>
    </row>
    <row r="31" spans="1:7" x14ac:dyDescent="0.55000000000000004">
      <c r="A31" t="s">
        <v>8391</v>
      </c>
      <c r="B31" t="s">
        <v>8381</v>
      </c>
      <c r="C31" s="9">
        <v>50</v>
      </c>
      <c r="D31" s="9">
        <v>25</v>
      </c>
      <c r="E31" s="9">
        <v>3</v>
      </c>
      <c r="F31" s="9"/>
      <c r="G31" s="9">
        <v>78</v>
      </c>
    </row>
    <row r="32" spans="1:7" x14ac:dyDescent="0.55000000000000004">
      <c r="B32" t="s">
        <v>8371</v>
      </c>
      <c r="C32" s="9">
        <v>150</v>
      </c>
      <c r="D32" s="9">
        <v>86</v>
      </c>
      <c r="E32" s="9">
        <v>12</v>
      </c>
      <c r="F32" s="9"/>
      <c r="G32" s="9">
        <v>248</v>
      </c>
    </row>
    <row r="33" spans="1:7" x14ac:dyDescent="0.55000000000000004">
      <c r="B33" t="s">
        <v>8373</v>
      </c>
      <c r="C33" s="9">
        <v>147</v>
      </c>
      <c r="D33" s="9">
        <v>175</v>
      </c>
      <c r="E33" s="9">
        <v>30</v>
      </c>
      <c r="F33" s="9"/>
      <c r="G33" s="9">
        <v>352</v>
      </c>
    </row>
    <row r="34" spans="1:7" x14ac:dyDescent="0.55000000000000004">
      <c r="B34" t="s">
        <v>8377</v>
      </c>
      <c r="C34" s="9">
        <v>127</v>
      </c>
      <c r="D34" s="9">
        <v>136</v>
      </c>
      <c r="E34" s="9">
        <v>35</v>
      </c>
      <c r="F34" s="9"/>
      <c r="G34" s="9">
        <v>298</v>
      </c>
    </row>
    <row r="35" spans="1:7" x14ac:dyDescent="0.55000000000000004">
      <c r="A35" t="s">
        <v>8405</v>
      </c>
      <c r="C35" s="9">
        <v>474</v>
      </c>
      <c r="D35" s="9">
        <v>422</v>
      </c>
      <c r="E35" s="9">
        <v>80</v>
      </c>
      <c r="F35" s="9"/>
      <c r="G35" s="9">
        <v>976</v>
      </c>
    </row>
    <row r="36" spans="1:7" x14ac:dyDescent="0.55000000000000004">
      <c r="A36" t="s">
        <v>8392</v>
      </c>
      <c r="B36" t="s">
        <v>8381</v>
      </c>
      <c r="C36" s="9">
        <v>156</v>
      </c>
      <c r="D36" s="9">
        <v>163</v>
      </c>
      <c r="E36" s="9">
        <v>38</v>
      </c>
      <c r="F36" s="9"/>
      <c r="G36" s="9">
        <v>357</v>
      </c>
    </row>
    <row r="37" spans="1:7" x14ac:dyDescent="0.55000000000000004">
      <c r="B37" t="s">
        <v>8371</v>
      </c>
      <c r="C37" s="9">
        <v>182</v>
      </c>
      <c r="D37" s="9">
        <v>147</v>
      </c>
      <c r="E37" s="9">
        <v>35</v>
      </c>
      <c r="F37" s="9"/>
      <c r="G37" s="9">
        <v>364</v>
      </c>
    </row>
    <row r="38" spans="1:7" x14ac:dyDescent="0.55000000000000004">
      <c r="B38" t="s">
        <v>8373</v>
      </c>
      <c r="C38" s="9">
        <v>124</v>
      </c>
      <c r="D38" s="9">
        <v>113</v>
      </c>
      <c r="E38" s="9">
        <v>36</v>
      </c>
      <c r="F38" s="9"/>
      <c r="G38" s="9">
        <v>273</v>
      </c>
    </row>
    <row r="39" spans="1:7" x14ac:dyDescent="0.55000000000000004">
      <c r="B39" t="s">
        <v>8377</v>
      </c>
      <c r="C39" s="9">
        <v>105</v>
      </c>
      <c r="D39" s="9">
        <v>104</v>
      </c>
      <c r="E39" s="9">
        <v>22</v>
      </c>
      <c r="F39" s="9"/>
      <c r="G39" s="9">
        <v>231</v>
      </c>
    </row>
    <row r="40" spans="1:7" x14ac:dyDescent="0.55000000000000004">
      <c r="A40" t="s">
        <v>8406</v>
      </c>
      <c r="C40" s="9">
        <v>567</v>
      </c>
      <c r="D40" s="9">
        <v>527</v>
      </c>
      <c r="E40" s="9">
        <v>131</v>
      </c>
      <c r="F40" s="9"/>
      <c r="G40" s="9">
        <v>1225</v>
      </c>
    </row>
    <row r="41" spans="1:7" x14ac:dyDescent="0.55000000000000004">
      <c r="A41" t="s">
        <v>8393</v>
      </c>
      <c r="B41" t="s">
        <v>8381</v>
      </c>
      <c r="C41" s="9">
        <v>137</v>
      </c>
      <c r="D41" s="9">
        <v>116</v>
      </c>
      <c r="E41" s="9">
        <v>27</v>
      </c>
      <c r="F41" s="9"/>
      <c r="G41" s="9">
        <v>280</v>
      </c>
    </row>
    <row r="42" spans="1:7" x14ac:dyDescent="0.55000000000000004">
      <c r="B42" t="s">
        <v>8371</v>
      </c>
      <c r="C42" s="9">
        <v>137</v>
      </c>
      <c r="D42" s="9">
        <v>100</v>
      </c>
      <c r="E42" s="9">
        <v>28</v>
      </c>
      <c r="F42" s="9"/>
      <c r="G42" s="9">
        <v>265</v>
      </c>
    </row>
    <row r="43" spans="1:7" x14ac:dyDescent="0.55000000000000004">
      <c r="B43" t="s">
        <v>8373</v>
      </c>
      <c r="C43" s="9">
        <v>102</v>
      </c>
      <c r="D43" s="9">
        <v>74</v>
      </c>
      <c r="E43" s="9">
        <v>24</v>
      </c>
      <c r="F43" s="9"/>
      <c r="G43" s="9">
        <v>200</v>
      </c>
    </row>
    <row r="44" spans="1:7" x14ac:dyDescent="0.55000000000000004">
      <c r="B44" t="s">
        <v>8377</v>
      </c>
      <c r="C44" s="9">
        <v>99</v>
      </c>
      <c r="D44" s="9">
        <v>86</v>
      </c>
      <c r="E44" s="9">
        <v>20</v>
      </c>
      <c r="F44" s="9"/>
      <c r="G44" s="9">
        <v>205</v>
      </c>
    </row>
    <row r="45" spans="1:7" x14ac:dyDescent="0.55000000000000004">
      <c r="A45" t="s">
        <v>8407</v>
      </c>
      <c r="C45" s="9">
        <v>475</v>
      </c>
      <c r="D45" s="9">
        <v>376</v>
      </c>
      <c r="E45" s="9">
        <v>99</v>
      </c>
      <c r="F45" s="9"/>
      <c r="G45" s="9">
        <v>950</v>
      </c>
    </row>
    <row r="46" spans="1:7" x14ac:dyDescent="0.55000000000000004">
      <c r="A46" t="s">
        <v>8394</v>
      </c>
      <c r="B46" t="s">
        <v>8381</v>
      </c>
      <c r="C46" s="9">
        <v>59</v>
      </c>
      <c r="D46" s="9">
        <v>31</v>
      </c>
      <c r="E46" s="9">
        <v>17</v>
      </c>
      <c r="F46" s="9">
        <v>50</v>
      </c>
      <c r="G46" s="9">
        <v>157</v>
      </c>
    </row>
    <row r="47" spans="1:7" x14ac:dyDescent="0.55000000000000004">
      <c r="A47" t="s">
        <v>8408</v>
      </c>
      <c r="C47" s="9">
        <v>59</v>
      </c>
      <c r="D47" s="9">
        <v>31</v>
      </c>
      <c r="E47" s="9">
        <v>17</v>
      </c>
      <c r="F47" s="9">
        <v>50</v>
      </c>
      <c r="G47" s="9">
        <v>157</v>
      </c>
    </row>
    <row r="48" spans="1:7" x14ac:dyDescent="0.55000000000000004">
      <c r="A48" t="s">
        <v>8321</v>
      </c>
      <c r="C48" s="9">
        <v>2185</v>
      </c>
      <c r="D48" s="9">
        <v>1530</v>
      </c>
      <c r="E48" s="9">
        <v>349</v>
      </c>
      <c r="F48" s="9">
        <v>50</v>
      </c>
      <c r="G48" s="9">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DAF1-7B8C-4B89-8CA8-8C311EA4BF03}">
  <sheetPr codeName="Sheet7"/>
  <dimension ref="A1:E18"/>
  <sheetViews>
    <sheetView workbookViewId="0">
      <selection activeCell="E5" sqref="E5"/>
    </sheetView>
  </sheetViews>
  <sheetFormatPr defaultRowHeight="14.4" x14ac:dyDescent="0.55000000000000004"/>
  <cols>
    <col min="1" max="1" width="14.578125" bestFit="1" customWidth="1"/>
    <col min="2" max="2" width="8.83984375" bestFit="1" customWidth="1"/>
    <col min="3" max="3" width="5.26171875" bestFit="1" customWidth="1"/>
    <col min="4" max="4" width="7.7890625" bestFit="1" customWidth="1"/>
    <col min="5" max="6" width="10.20703125" bestFit="1" customWidth="1"/>
    <col min="7" max="7" width="11.20703125" bestFit="1" customWidth="1"/>
    <col min="8" max="8" width="9.1015625" bestFit="1" customWidth="1"/>
    <col min="9" max="9" width="9.734375" bestFit="1" customWidth="1"/>
    <col min="10" max="10" width="6.734375" bestFit="1" customWidth="1"/>
    <col min="11" max="11" width="10.20703125" bestFit="1" customWidth="1"/>
  </cols>
  <sheetData>
    <row r="1" spans="1:5" x14ac:dyDescent="0.55000000000000004">
      <c r="A1" s="7" t="s">
        <v>8310</v>
      </c>
      <c r="B1" t="s">
        <v>8395</v>
      </c>
    </row>
    <row r="2" spans="1:5" x14ac:dyDescent="0.55000000000000004">
      <c r="A2" s="7" t="s">
        <v>8396</v>
      </c>
      <c r="B2" t="s">
        <v>8395</v>
      </c>
    </row>
    <row r="4" spans="1:5" x14ac:dyDescent="0.55000000000000004">
      <c r="A4" s="7" t="s">
        <v>8397</v>
      </c>
      <c r="B4" s="7" t="s">
        <v>8218</v>
      </c>
    </row>
    <row r="5" spans="1:5" x14ac:dyDescent="0.55000000000000004">
      <c r="A5" s="7" t="s">
        <v>8398</v>
      </c>
      <c r="B5" t="s">
        <v>8219</v>
      </c>
      <c r="C5" t="s">
        <v>8221</v>
      </c>
      <c r="D5" t="s">
        <v>8220</v>
      </c>
      <c r="E5" t="s">
        <v>8321</v>
      </c>
    </row>
    <row r="6" spans="1:5" x14ac:dyDescent="0.55000000000000004">
      <c r="A6" s="12" t="s">
        <v>8382</v>
      </c>
      <c r="B6" s="9">
        <v>182</v>
      </c>
      <c r="C6" s="9">
        <v>149</v>
      </c>
      <c r="D6" s="9">
        <v>34</v>
      </c>
      <c r="E6" s="9">
        <v>365</v>
      </c>
    </row>
    <row r="7" spans="1:5" x14ac:dyDescent="0.55000000000000004">
      <c r="A7" s="12" t="s">
        <v>8383</v>
      </c>
      <c r="B7" s="9">
        <v>202</v>
      </c>
      <c r="C7" s="9">
        <v>106</v>
      </c>
      <c r="D7" s="9">
        <v>27</v>
      </c>
      <c r="E7" s="9">
        <v>335</v>
      </c>
    </row>
    <row r="8" spans="1:5" x14ac:dyDescent="0.55000000000000004">
      <c r="A8" s="12" t="s">
        <v>8384</v>
      </c>
      <c r="B8" s="9">
        <v>180</v>
      </c>
      <c r="C8" s="9">
        <v>108</v>
      </c>
      <c r="D8" s="9">
        <v>28</v>
      </c>
      <c r="E8" s="9">
        <v>316</v>
      </c>
    </row>
    <row r="9" spans="1:5" x14ac:dyDescent="0.55000000000000004">
      <c r="A9" s="12" t="s">
        <v>8385</v>
      </c>
      <c r="B9" s="9">
        <v>192</v>
      </c>
      <c r="C9" s="9">
        <v>102</v>
      </c>
      <c r="D9" s="9">
        <v>27</v>
      </c>
      <c r="E9" s="9">
        <v>321</v>
      </c>
    </row>
    <row r="10" spans="1:5" x14ac:dyDescent="0.55000000000000004">
      <c r="A10" s="12" t="s">
        <v>8372</v>
      </c>
      <c r="B10" s="9">
        <v>234</v>
      </c>
      <c r="C10" s="9">
        <v>126</v>
      </c>
      <c r="D10" s="9">
        <v>26</v>
      </c>
      <c r="E10" s="9">
        <v>386</v>
      </c>
    </row>
    <row r="11" spans="1:5" x14ac:dyDescent="0.55000000000000004">
      <c r="A11" s="12" t="s">
        <v>8386</v>
      </c>
      <c r="B11" s="9">
        <v>211</v>
      </c>
      <c r="C11" s="9">
        <v>147</v>
      </c>
      <c r="D11" s="9">
        <v>27</v>
      </c>
      <c r="E11" s="9">
        <v>385</v>
      </c>
    </row>
    <row r="12" spans="1:5" x14ac:dyDescent="0.55000000000000004">
      <c r="A12" s="12" t="s">
        <v>8374</v>
      </c>
      <c r="B12" s="9">
        <v>194</v>
      </c>
      <c r="C12" s="9">
        <v>150</v>
      </c>
      <c r="D12" s="9">
        <v>43</v>
      </c>
      <c r="E12" s="9">
        <v>387</v>
      </c>
    </row>
    <row r="13" spans="1:5" x14ac:dyDescent="0.55000000000000004">
      <c r="A13" s="12" t="s">
        <v>8375</v>
      </c>
      <c r="B13" s="9">
        <v>166</v>
      </c>
      <c r="C13" s="9">
        <v>134</v>
      </c>
      <c r="D13" s="9">
        <v>33</v>
      </c>
      <c r="E13" s="9">
        <v>333</v>
      </c>
    </row>
    <row r="14" spans="1:5" x14ac:dyDescent="0.55000000000000004">
      <c r="A14" s="12" t="s">
        <v>8376</v>
      </c>
      <c r="B14" s="9">
        <v>147</v>
      </c>
      <c r="C14" s="9">
        <v>127</v>
      </c>
      <c r="D14" s="9">
        <v>24</v>
      </c>
      <c r="E14" s="9">
        <v>298</v>
      </c>
    </row>
    <row r="15" spans="1:5" x14ac:dyDescent="0.55000000000000004">
      <c r="A15" s="12" t="s">
        <v>8378</v>
      </c>
      <c r="B15" s="9">
        <v>183</v>
      </c>
      <c r="C15" s="9">
        <v>149</v>
      </c>
      <c r="D15" s="9">
        <v>20</v>
      </c>
      <c r="E15" s="9">
        <v>352</v>
      </c>
    </row>
    <row r="16" spans="1:5" x14ac:dyDescent="0.55000000000000004">
      <c r="A16" s="12" t="s">
        <v>8379</v>
      </c>
      <c r="B16" s="9">
        <v>183</v>
      </c>
      <c r="C16" s="9">
        <v>114</v>
      </c>
      <c r="D16" s="9">
        <v>37</v>
      </c>
      <c r="E16" s="9">
        <v>334</v>
      </c>
    </row>
    <row r="17" spans="1:5" x14ac:dyDescent="0.55000000000000004">
      <c r="A17" s="12" t="s">
        <v>8387</v>
      </c>
      <c r="B17" s="9">
        <v>111</v>
      </c>
      <c r="C17" s="9">
        <v>118</v>
      </c>
      <c r="D17" s="9">
        <v>23</v>
      </c>
      <c r="E17" s="9">
        <v>252</v>
      </c>
    </row>
    <row r="18" spans="1:5" x14ac:dyDescent="0.55000000000000004">
      <c r="A18" s="12" t="s">
        <v>8321</v>
      </c>
      <c r="B18" s="9">
        <v>2185</v>
      </c>
      <c r="C18" s="9">
        <v>1530</v>
      </c>
      <c r="D18" s="9">
        <v>349</v>
      </c>
      <c r="E18" s="9">
        <v>4064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1BDB9-1B65-4C8C-9116-D92A22AA56D6}">
  <sheetPr codeName="Sheet8"/>
  <dimension ref="A1:F47"/>
  <sheetViews>
    <sheetView zoomScale="85" zoomScaleNormal="85" workbookViewId="0">
      <selection activeCell="H13" sqref="H13"/>
    </sheetView>
  </sheetViews>
  <sheetFormatPr defaultRowHeight="14.4" x14ac:dyDescent="0.55000000000000004"/>
  <cols>
    <col min="1" max="1" width="14.62890625" bestFit="1" customWidth="1"/>
    <col min="2" max="2" width="8.83984375" bestFit="1" customWidth="1"/>
    <col min="3" max="3" width="5.26171875" bestFit="1" customWidth="1"/>
    <col min="4" max="4" width="7.7890625" bestFit="1" customWidth="1"/>
    <col min="5" max="5" width="3.578125" bestFit="1" customWidth="1"/>
    <col min="6" max="6" width="10.20703125" bestFit="1" customWidth="1"/>
    <col min="7" max="7" width="11.20703125" bestFit="1" customWidth="1"/>
    <col min="8" max="8" width="9.1015625" bestFit="1" customWidth="1"/>
    <col min="9" max="9" width="9.734375" bestFit="1" customWidth="1"/>
    <col min="10" max="10" width="6.734375" bestFit="1" customWidth="1"/>
    <col min="11" max="11" width="10.20703125" bestFit="1" customWidth="1"/>
  </cols>
  <sheetData>
    <row r="1" spans="1:6" x14ac:dyDescent="0.55000000000000004">
      <c r="A1" s="7" t="s">
        <v>8223</v>
      </c>
      <c r="B1" t="s" vm="1">
        <v>8363</v>
      </c>
    </row>
    <row r="2" spans="1:6" x14ac:dyDescent="0.55000000000000004">
      <c r="A2" s="7" t="s">
        <v>8310</v>
      </c>
      <c r="B2" t="s" vm="2">
        <v>8363</v>
      </c>
    </row>
    <row r="4" spans="1:6" x14ac:dyDescent="0.55000000000000004">
      <c r="A4" s="7" t="s">
        <v>8366</v>
      </c>
      <c r="B4" s="7" t="s">
        <v>8364</v>
      </c>
    </row>
    <row r="5" spans="1:6" x14ac:dyDescent="0.55000000000000004">
      <c r="A5" s="7" t="s">
        <v>8365</v>
      </c>
      <c r="B5" t="s">
        <v>8219</v>
      </c>
      <c r="C5" t="s">
        <v>8221</v>
      </c>
      <c r="D5" t="s">
        <v>8220</v>
      </c>
      <c r="E5" t="s">
        <v>8222</v>
      </c>
      <c r="F5" t="s">
        <v>8321</v>
      </c>
    </row>
    <row r="6" spans="1:6" x14ac:dyDescent="0.55000000000000004">
      <c r="A6" s="8" t="s">
        <v>8346</v>
      </c>
      <c r="B6" s="9">
        <v>694</v>
      </c>
      <c r="C6" s="9">
        <v>353</v>
      </c>
      <c r="D6" s="9"/>
      <c r="E6" s="9">
        <v>19</v>
      </c>
      <c r="F6" s="9">
        <v>1066</v>
      </c>
    </row>
    <row r="7" spans="1:6" x14ac:dyDescent="0.55000000000000004">
      <c r="A7" s="8" t="s">
        <v>8350</v>
      </c>
      <c r="B7" s="9">
        <v>260</v>
      </c>
      <c r="C7" s="9"/>
      <c r="D7" s="9"/>
      <c r="E7" s="9"/>
      <c r="F7" s="9">
        <v>260</v>
      </c>
    </row>
    <row r="8" spans="1:6" x14ac:dyDescent="0.55000000000000004">
      <c r="A8" s="8" t="s">
        <v>8360</v>
      </c>
      <c r="B8" s="9">
        <v>20</v>
      </c>
      <c r="C8" s="9">
        <v>120</v>
      </c>
      <c r="D8" s="9">
        <v>60</v>
      </c>
      <c r="E8" s="9"/>
      <c r="F8" s="9">
        <v>200</v>
      </c>
    </row>
    <row r="9" spans="1:6" x14ac:dyDescent="0.55000000000000004">
      <c r="A9" s="8" t="s">
        <v>8355</v>
      </c>
      <c r="B9" s="9">
        <v>85</v>
      </c>
      <c r="C9" s="9">
        <v>80</v>
      </c>
      <c r="D9" s="9">
        <v>17</v>
      </c>
      <c r="E9" s="9">
        <v>5</v>
      </c>
      <c r="F9" s="9">
        <v>187</v>
      </c>
    </row>
    <row r="10" spans="1:6" x14ac:dyDescent="0.55000000000000004">
      <c r="A10" s="8" t="s">
        <v>8327</v>
      </c>
      <c r="B10" s="9">
        <v>180</v>
      </c>
      <c r="C10" s="9"/>
      <c r="D10" s="9"/>
      <c r="E10" s="9"/>
      <c r="F10" s="9">
        <v>180</v>
      </c>
    </row>
    <row r="11" spans="1:6" x14ac:dyDescent="0.55000000000000004">
      <c r="A11" s="8" t="s">
        <v>8344</v>
      </c>
      <c r="B11" s="9">
        <v>103</v>
      </c>
      <c r="C11" s="9">
        <v>57</v>
      </c>
      <c r="D11" s="9"/>
      <c r="E11" s="9"/>
      <c r="F11" s="9">
        <v>160</v>
      </c>
    </row>
    <row r="12" spans="1:6" x14ac:dyDescent="0.55000000000000004">
      <c r="A12" s="8" t="s">
        <v>8361</v>
      </c>
      <c r="B12" s="9"/>
      <c r="C12" s="9">
        <v>60</v>
      </c>
      <c r="D12" s="9">
        <v>100</v>
      </c>
      <c r="E12" s="9"/>
      <c r="F12" s="9">
        <v>160</v>
      </c>
    </row>
    <row r="13" spans="1:6" x14ac:dyDescent="0.55000000000000004">
      <c r="A13" s="8" t="s">
        <v>8335</v>
      </c>
      <c r="B13" s="9">
        <v>140</v>
      </c>
      <c r="C13" s="9">
        <v>20</v>
      </c>
      <c r="D13" s="9"/>
      <c r="E13" s="9"/>
      <c r="F13" s="9">
        <v>160</v>
      </c>
    </row>
    <row r="14" spans="1:6" x14ac:dyDescent="0.55000000000000004">
      <c r="A14" s="8" t="s">
        <v>8334</v>
      </c>
      <c r="B14" s="9">
        <v>140</v>
      </c>
      <c r="C14" s="9"/>
      <c r="D14" s="9"/>
      <c r="E14" s="9"/>
      <c r="F14" s="9">
        <v>140</v>
      </c>
    </row>
    <row r="15" spans="1:6" x14ac:dyDescent="0.55000000000000004">
      <c r="A15" s="8" t="s">
        <v>8332</v>
      </c>
      <c r="B15" s="9"/>
      <c r="C15" s="9">
        <v>120</v>
      </c>
      <c r="D15" s="9">
        <v>20</v>
      </c>
      <c r="E15" s="9"/>
      <c r="F15" s="9">
        <v>140</v>
      </c>
    </row>
    <row r="16" spans="1:6" x14ac:dyDescent="0.55000000000000004">
      <c r="A16" s="8" t="s">
        <v>8340</v>
      </c>
      <c r="B16" s="9">
        <v>60</v>
      </c>
      <c r="C16" s="9">
        <v>60</v>
      </c>
      <c r="D16" s="9">
        <v>20</v>
      </c>
      <c r="E16" s="9"/>
      <c r="F16" s="9">
        <v>140</v>
      </c>
    </row>
    <row r="17" spans="1:6" x14ac:dyDescent="0.55000000000000004">
      <c r="A17" s="8" t="s">
        <v>8359</v>
      </c>
      <c r="B17" s="9"/>
      <c r="C17" s="9">
        <v>100</v>
      </c>
      <c r="D17" s="9"/>
      <c r="E17" s="9"/>
      <c r="F17" s="9">
        <v>100</v>
      </c>
    </row>
    <row r="18" spans="1:6" x14ac:dyDescent="0.55000000000000004">
      <c r="A18" s="8" t="s">
        <v>8322</v>
      </c>
      <c r="B18" s="9"/>
      <c r="C18" s="9">
        <v>100</v>
      </c>
      <c r="D18" s="9"/>
      <c r="E18" s="9"/>
      <c r="F18" s="9">
        <v>100</v>
      </c>
    </row>
    <row r="19" spans="1:6" x14ac:dyDescent="0.55000000000000004">
      <c r="A19" s="8" t="s">
        <v>8328</v>
      </c>
      <c r="B19" s="9"/>
      <c r="C19" s="9">
        <v>80</v>
      </c>
      <c r="D19" s="9"/>
      <c r="E19" s="9"/>
      <c r="F19" s="9">
        <v>80</v>
      </c>
    </row>
    <row r="20" spans="1:6" x14ac:dyDescent="0.55000000000000004">
      <c r="A20" s="8" t="s">
        <v>8356</v>
      </c>
      <c r="B20" s="9">
        <v>80</v>
      </c>
      <c r="C20" s="9"/>
      <c r="D20" s="9"/>
      <c r="E20" s="9"/>
      <c r="F20" s="9">
        <v>80</v>
      </c>
    </row>
    <row r="21" spans="1:6" x14ac:dyDescent="0.55000000000000004">
      <c r="A21" s="8" t="s">
        <v>8330</v>
      </c>
      <c r="B21" s="9"/>
      <c r="C21" s="9">
        <v>40</v>
      </c>
      <c r="D21" s="9"/>
      <c r="E21" s="9">
        <v>20</v>
      </c>
      <c r="F21" s="9">
        <v>60</v>
      </c>
    </row>
    <row r="22" spans="1:6" x14ac:dyDescent="0.55000000000000004">
      <c r="A22" s="8" t="s">
        <v>8336</v>
      </c>
      <c r="B22" s="9"/>
      <c r="C22" s="9">
        <v>60</v>
      </c>
      <c r="D22" s="9"/>
      <c r="E22" s="9"/>
      <c r="F22" s="9">
        <v>60</v>
      </c>
    </row>
    <row r="23" spans="1:6" x14ac:dyDescent="0.55000000000000004">
      <c r="A23" s="8" t="s">
        <v>8354</v>
      </c>
      <c r="B23" s="9">
        <v>40</v>
      </c>
      <c r="C23" s="9">
        <v>2</v>
      </c>
      <c r="D23" s="9">
        <v>18</v>
      </c>
      <c r="E23" s="9"/>
      <c r="F23" s="9">
        <v>60</v>
      </c>
    </row>
    <row r="24" spans="1:6" x14ac:dyDescent="0.55000000000000004">
      <c r="A24" s="8" t="s">
        <v>8352</v>
      </c>
      <c r="B24" s="9">
        <v>60</v>
      </c>
      <c r="C24" s="9"/>
      <c r="D24" s="9"/>
      <c r="E24" s="9"/>
      <c r="F24" s="9">
        <v>60</v>
      </c>
    </row>
    <row r="25" spans="1:6" x14ac:dyDescent="0.55000000000000004">
      <c r="A25" s="8" t="s">
        <v>8357</v>
      </c>
      <c r="B25" s="9">
        <v>60</v>
      </c>
      <c r="C25" s="9"/>
      <c r="D25" s="9"/>
      <c r="E25" s="9"/>
      <c r="F25" s="9">
        <v>60</v>
      </c>
    </row>
    <row r="26" spans="1:6" x14ac:dyDescent="0.55000000000000004">
      <c r="A26" s="8" t="s">
        <v>8342</v>
      </c>
      <c r="B26" s="9">
        <v>60</v>
      </c>
      <c r="C26" s="9"/>
      <c r="D26" s="9"/>
      <c r="E26" s="9"/>
      <c r="F26" s="9">
        <v>60</v>
      </c>
    </row>
    <row r="27" spans="1:6" x14ac:dyDescent="0.55000000000000004">
      <c r="A27" s="8" t="s">
        <v>8358</v>
      </c>
      <c r="B27" s="9"/>
      <c r="C27" s="9">
        <v>47</v>
      </c>
      <c r="D27" s="9">
        <v>10</v>
      </c>
      <c r="E27" s="9"/>
      <c r="F27" s="9">
        <v>57</v>
      </c>
    </row>
    <row r="28" spans="1:6" x14ac:dyDescent="0.55000000000000004">
      <c r="A28" s="8" t="s">
        <v>8329</v>
      </c>
      <c r="B28" s="9">
        <v>40</v>
      </c>
      <c r="C28" s="9"/>
      <c r="D28" s="9"/>
      <c r="E28" s="9"/>
      <c r="F28" s="9">
        <v>40</v>
      </c>
    </row>
    <row r="29" spans="1:6" x14ac:dyDescent="0.55000000000000004">
      <c r="A29" s="8" t="s">
        <v>8331</v>
      </c>
      <c r="B29" s="9"/>
      <c r="C29" s="9">
        <v>40</v>
      </c>
      <c r="D29" s="9"/>
      <c r="E29" s="9"/>
      <c r="F29" s="9">
        <v>40</v>
      </c>
    </row>
    <row r="30" spans="1:6" x14ac:dyDescent="0.55000000000000004">
      <c r="A30" s="8" t="s">
        <v>8326</v>
      </c>
      <c r="B30" s="9">
        <v>40</v>
      </c>
      <c r="C30" s="9"/>
      <c r="D30" s="9"/>
      <c r="E30" s="9"/>
      <c r="F30" s="9">
        <v>40</v>
      </c>
    </row>
    <row r="31" spans="1:6" x14ac:dyDescent="0.55000000000000004">
      <c r="A31" s="8" t="s">
        <v>8339</v>
      </c>
      <c r="B31" s="9"/>
      <c r="C31" s="9">
        <v>40</v>
      </c>
      <c r="D31" s="9"/>
      <c r="E31" s="9"/>
      <c r="F31" s="9">
        <v>40</v>
      </c>
    </row>
    <row r="32" spans="1:6" x14ac:dyDescent="0.55000000000000004">
      <c r="A32" s="8" t="s">
        <v>8347</v>
      </c>
      <c r="B32" s="9">
        <v>40</v>
      </c>
      <c r="C32" s="9"/>
      <c r="D32" s="9"/>
      <c r="E32" s="9"/>
      <c r="F32" s="9">
        <v>40</v>
      </c>
    </row>
    <row r="33" spans="1:6" x14ac:dyDescent="0.55000000000000004">
      <c r="A33" s="8" t="s">
        <v>8325</v>
      </c>
      <c r="B33" s="9"/>
      <c r="C33" s="9">
        <v>40</v>
      </c>
      <c r="D33" s="9"/>
      <c r="E33" s="9"/>
      <c r="F33" s="9">
        <v>40</v>
      </c>
    </row>
    <row r="34" spans="1:6" x14ac:dyDescent="0.55000000000000004">
      <c r="A34" s="8" t="s">
        <v>8351</v>
      </c>
      <c r="B34" s="9"/>
      <c r="C34" s="9"/>
      <c r="D34" s="9">
        <v>40</v>
      </c>
      <c r="E34" s="9"/>
      <c r="F34" s="9">
        <v>40</v>
      </c>
    </row>
    <row r="35" spans="1:6" x14ac:dyDescent="0.55000000000000004">
      <c r="A35" s="8" t="s">
        <v>8353</v>
      </c>
      <c r="B35" s="9">
        <v>34</v>
      </c>
      <c r="C35" s="9"/>
      <c r="D35" s="9"/>
      <c r="E35" s="9">
        <v>6</v>
      </c>
      <c r="F35" s="9">
        <v>40</v>
      </c>
    </row>
    <row r="36" spans="1:6" x14ac:dyDescent="0.55000000000000004">
      <c r="A36" s="8" t="s">
        <v>8324</v>
      </c>
      <c r="B36" s="9"/>
      <c r="C36" s="9"/>
      <c r="D36" s="9">
        <v>24</v>
      </c>
      <c r="E36" s="9"/>
      <c r="F36" s="9">
        <v>24</v>
      </c>
    </row>
    <row r="37" spans="1:6" x14ac:dyDescent="0.55000000000000004">
      <c r="A37" s="8" t="s">
        <v>8341</v>
      </c>
      <c r="B37" s="9"/>
      <c r="C37" s="9">
        <v>20</v>
      </c>
      <c r="D37" s="9"/>
      <c r="E37" s="9"/>
      <c r="F37" s="9">
        <v>20</v>
      </c>
    </row>
    <row r="38" spans="1:6" x14ac:dyDescent="0.55000000000000004">
      <c r="A38" s="8" t="s">
        <v>8323</v>
      </c>
      <c r="B38" s="9"/>
      <c r="C38" s="9"/>
      <c r="D38" s="9">
        <v>20</v>
      </c>
      <c r="E38" s="9"/>
      <c r="F38" s="9">
        <v>20</v>
      </c>
    </row>
    <row r="39" spans="1:6" x14ac:dyDescent="0.55000000000000004">
      <c r="A39" s="8" t="s">
        <v>8362</v>
      </c>
      <c r="B39" s="9"/>
      <c r="C39" s="9"/>
      <c r="D39" s="9">
        <v>20</v>
      </c>
      <c r="E39" s="9"/>
      <c r="F39" s="9">
        <v>20</v>
      </c>
    </row>
    <row r="40" spans="1:6" x14ac:dyDescent="0.55000000000000004">
      <c r="A40" s="8" t="s">
        <v>8348</v>
      </c>
      <c r="B40" s="9">
        <v>20</v>
      </c>
      <c r="C40" s="9"/>
      <c r="D40" s="9"/>
      <c r="E40" s="9"/>
      <c r="F40" s="9">
        <v>20</v>
      </c>
    </row>
    <row r="41" spans="1:6" x14ac:dyDescent="0.55000000000000004">
      <c r="A41" s="8" t="s">
        <v>8333</v>
      </c>
      <c r="B41" s="9"/>
      <c r="C41" s="9">
        <v>20</v>
      </c>
      <c r="D41" s="9"/>
      <c r="E41" s="9"/>
      <c r="F41" s="9">
        <v>20</v>
      </c>
    </row>
    <row r="42" spans="1:6" x14ac:dyDescent="0.55000000000000004">
      <c r="A42" s="8" t="s">
        <v>8337</v>
      </c>
      <c r="B42" s="9">
        <v>9</v>
      </c>
      <c r="C42" s="9">
        <v>11</v>
      </c>
      <c r="D42" s="9"/>
      <c r="E42" s="9"/>
      <c r="F42" s="9">
        <v>20</v>
      </c>
    </row>
    <row r="43" spans="1:6" x14ac:dyDescent="0.55000000000000004">
      <c r="A43" s="8" t="s">
        <v>8343</v>
      </c>
      <c r="B43" s="9"/>
      <c r="C43" s="9">
        <v>20</v>
      </c>
      <c r="D43" s="9"/>
      <c r="E43" s="9"/>
      <c r="F43" s="9">
        <v>20</v>
      </c>
    </row>
    <row r="44" spans="1:6" x14ac:dyDescent="0.55000000000000004">
      <c r="A44" s="8" t="s">
        <v>8338</v>
      </c>
      <c r="B44" s="9">
        <v>20</v>
      </c>
      <c r="C44" s="9"/>
      <c r="D44" s="9"/>
      <c r="E44" s="9"/>
      <c r="F44" s="9">
        <v>20</v>
      </c>
    </row>
    <row r="45" spans="1:6" x14ac:dyDescent="0.55000000000000004">
      <c r="A45" s="8" t="s">
        <v>8345</v>
      </c>
      <c r="B45" s="9"/>
      <c r="C45" s="9">
        <v>20</v>
      </c>
      <c r="D45" s="9"/>
      <c r="E45" s="9"/>
      <c r="F45" s="9">
        <v>20</v>
      </c>
    </row>
    <row r="46" spans="1:6" x14ac:dyDescent="0.55000000000000004">
      <c r="A46" s="8" t="s">
        <v>8349</v>
      </c>
      <c r="B46" s="9"/>
      <c r="C46" s="9">
        <v>20</v>
      </c>
      <c r="D46" s="9"/>
      <c r="E46" s="9"/>
      <c r="F46" s="9">
        <v>20</v>
      </c>
    </row>
    <row r="47" spans="1:6" x14ac:dyDescent="0.55000000000000004">
      <c r="A47" s="8" t="s">
        <v>8321</v>
      </c>
      <c r="B47" s="9">
        <v>2185</v>
      </c>
      <c r="C47" s="9">
        <v>1530</v>
      </c>
      <c r="D47" s="9">
        <v>349</v>
      </c>
      <c r="E47" s="9">
        <v>50</v>
      </c>
      <c r="F47" s="9">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130E-D7F0-4DB1-9075-8E4DA46BAB0E}">
  <dimension ref="A1:F47"/>
  <sheetViews>
    <sheetView tabSelected="1" workbookViewId="0">
      <selection activeCell="F6" sqref="F6"/>
    </sheetView>
  </sheetViews>
  <sheetFormatPr defaultRowHeight="14.4" x14ac:dyDescent="0.55000000000000004"/>
  <cols>
    <col min="1" max="1" width="15.578125" bestFit="1" customWidth="1"/>
    <col min="2" max="2" width="10.578125" bestFit="1" customWidth="1"/>
    <col min="3" max="3" width="5.578125" bestFit="1" customWidth="1"/>
    <col min="4" max="4" width="8.1015625" bestFit="1" customWidth="1"/>
    <col min="5" max="5" width="3.89453125" bestFit="1" customWidth="1"/>
    <col min="6" max="7" width="10.3125" bestFit="1" customWidth="1"/>
  </cols>
  <sheetData>
    <row r="1" spans="1:6" x14ac:dyDescent="0.55000000000000004">
      <c r="A1" s="7" t="s">
        <v>8308</v>
      </c>
      <c r="B1" t="s">
        <v>8395</v>
      </c>
    </row>
    <row r="2" spans="1:6" x14ac:dyDescent="0.55000000000000004">
      <c r="A2" s="7" t="s">
        <v>8310</v>
      </c>
      <c r="B2" t="s">
        <v>8395</v>
      </c>
    </row>
    <row r="4" spans="1:6" x14ac:dyDescent="0.55000000000000004">
      <c r="A4" s="7" t="s">
        <v>9253</v>
      </c>
      <c r="B4" s="7" t="s">
        <v>9254</v>
      </c>
    </row>
    <row r="5" spans="1:6" x14ac:dyDescent="0.55000000000000004">
      <c r="A5" s="7" t="s">
        <v>9252</v>
      </c>
      <c r="B5" t="s">
        <v>8219</v>
      </c>
      <c r="C5" t="s">
        <v>8221</v>
      </c>
      <c r="D5" t="s">
        <v>8220</v>
      </c>
      <c r="E5" t="s">
        <v>8222</v>
      </c>
      <c r="F5" t="s">
        <v>8321</v>
      </c>
    </row>
    <row r="6" spans="1:6" x14ac:dyDescent="0.55000000000000004">
      <c r="A6" s="8" t="s">
        <v>8346</v>
      </c>
      <c r="B6" s="9">
        <v>694</v>
      </c>
      <c r="C6" s="9">
        <v>353</v>
      </c>
      <c r="D6" s="9"/>
      <c r="E6" s="9">
        <v>19</v>
      </c>
      <c r="F6" s="9">
        <v>1066</v>
      </c>
    </row>
    <row r="7" spans="1:6" x14ac:dyDescent="0.55000000000000004">
      <c r="A7" s="8" t="s">
        <v>8350</v>
      </c>
      <c r="B7" s="9">
        <v>260</v>
      </c>
      <c r="C7" s="9"/>
      <c r="D7" s="9"/>
      <c r="E7" s="9"/>
      <c r="F7" s="9">
        <v>260</v>
      </c>
    </row>
    <row r="8" spans="1:6" x14ac:dyDescent="0.55000000000000004">
      <c r="A8" s="8" t="s">
        <v>8360</v>
      </c>
      <c r="B8" s="9">
        <v>20</v>
      </c>
      <c r="C8" s="9">
        <v>120</v>
      </c>
      <c r="D8" s="9">
        <v>60</v>
      </c>
      <c r="E8" s="9"/>
      <c r="F8" s="9">
        <v>200</v>
      </c>
    </row>
    <row r="9" spans="1:6" x14ac:dyDescent="0.55000000000000004">
      <c r="A9" s="8" t="s">
        <v>8355</v>
      </c>
      <c r="B9" s="9">
        <v>85</v>
      </c>
      <c r="C9" s="9">
        <v>80</v>
      </c>
      <c r="D9" s="9">
        <v>17</v>
      </c>
      <c r="E9" s="9">
        <v>5</v>
      </c>
      <c r="F9" s="9">
        <v>187</v>
      </c>
    </row>
    <row r="10" spans="1:6" x14ac:dyDescent="0.55000000000000004">
      <c r="A10" s="8" t="s">
        <v>8327</v>
      </c>
      <c r="B10" s="9">
        <v>180</v>
      </c>
      <c r="C10" s="9"/>
      <c r="D10" s="9"/>
      <c r="E10" s="9"/>
      <c r="F10" s="9">
        <v>180</v>
      </c>
    </row>
    <row r="11" spans="1:6" x14ac:dyDescent="0.55000000000000004">
      <c r="A11" s="8" t="s">
        <v>8344</v>
      </c>
      <c r="B11" s="9">
        <v>103</v>
      </c>
      <c r="C11" s="9">
        <v>57</v>
      </c>
      <c r="D11" s="9"/>
      <c r="E11" s="9"/>
      <c r="F11" s="9">
        <v>160</v>
      </c>
    </row>
    <row r="12" spans="1:6" x14ac:dyDescent="0.55000000000000004">
      <c r="A12" s="8" t="s">
        <v>8361</v>
      </c>
      <c r="B12" s="9"/>
      <c r="C12" s="9">
        <v>60</v>
      </c>
      <c r="D12" s="9">
        <v>100</v>
      </c>
      <c r="E12" s="9"/>
      <c r="F12" s="9">
        <v>160</v>
      </c>
    </row>
    <row r="13" spans="1:6" x14ac:dyDescent="0.55000000000000004">
      <c r="A13" s="8" t="s">
        <v>8335</v>
      </c>
      <c r="B13" s="9">
        <v>140</v>
      </c>
      <c r="C13" s="9">
        <v>20</v>
      </c>
      <c r="D13" s="9"/>
      <c r="E13" s="9"/>
      <c r="F13" s="9">
        <v>160</v>
      </c>
    </row>
    <row r="14" spans="1:6" x14ac:dyDescent="0.55000000000000004">
      <c r="A14" s="8" t="s">
        <v>8334</v>
      </c>
      <c r="B14" s="9">
        <v>140</v>
      </c>
      <c r="C14" s="9"/>
      <c r="D14" s="9"/>
      <c r="E14" s="9"/>
      <c r="F14" s="9">
        <v>140</v>
      </c>
    </row>
    <row r="15" spans="1:6" x14ac:dyDescent="0.55000000000000004">
      <c r="A15" s="8" t="s">
        <v>8332</v>
      </c>
      <c r="B15" s="9"/>
      <c r="C15" s="9">
        <v>120</v>
      </c>
      <c r="D15" s="9">
        <v>20</v>
      </c>
      <c r="E15" s="9"/>
      <c r="F15" s="9">
        <v>140</v>
      </c>
    </row>
    <row r="16" spans="1:6" x14ac:dyDescent="0.55000000000000004">
      <c r="A16" s="8" t="s">
        <v>8340</v>
      </c>
      <c r="B16" s="9">
        <v>60</v>
      </c>
      <c r="C16" s="9">
        <v>60</v>
      </c>
      <c r="D16" s="9">
        <v>20</v>
      </c>
      <c r="E16" s="9"/>
      <c r="F16" s="9">
        <v>140</v>
      </c>
    </row>
    <row r="17" spans="1:6" x14ac:dyDescent="0.55000000000000004">
      <c r="A17" s="8" t="s">
        <v>8359</v>
      </c>
      <c r="B17" s="9"/>
      <c r="C17" s="9">
        <v>100</v>
      </c>
      <c r="D17" s="9"/>
      <c r="E17" s="9"/>
      <c r="F17" s="9">
        <v>100</v>
      </c>
    </row>
    <row r="18" spans="1:6" x14ac:dyDescent="0.55000000000000004">
      <c r="A18" s="8" t="s">
        <v>8322</v>
      </c>
      <c r="B18" s="9"/>
      <c r="C18" s="9">
        <v>100</v>
      </c>
      <c r="D18" s="9"/>
      <c r="E18" s="9"/>
      <c r="F18" s="9">
        <v>100</v>
      </c>
    </row>
    <row r="19" spans="1:6" x14ac:dyDescent="0.55000000000000004">
      <c r="A19" s="8" t="s">
        <v>8328</v>
      </c>
      <c r="B19" s="9"/>
      <c r="C19" s="9">
        <v>80</v>
      </c>
      <c r="D19" s="9"/>
      <c r="E19" s="9"/>
      <c r="F19" s="9">
        <v>80</v>
      </c>
    </row>
    <row r="20" spans="1:6" x14ac:dyDescent="0.55000000000000004">
      <c r="A20" s="8" t="s">
        <v>8356</v>
      </c>
      <c r="B20" s="9">
        <v>80</v>
      </c>
      <c r="C20" s="9"/>
      <c r="D20" s="9"/>
      <c r="E20" s="9"/>
      <c r="F20" s="9">
        <v>80</v>
      </c>
    </row>
    <row r="21" spans="1:6" x14ac:dyDescent="0.55000000000000004">
      <c r="A21" s="8" t="s">
        <v>8330</v>
      </c>
      <c r="B21" s="9"/>
      <c r="C21" s="9">
        <v>40</v>
      </c>
      <c r="D21" s="9"/>
      <c r="E21" s="9">
        <v>20</v>
      </c>
      <c r="F21" s="9">
        <v>60</v>
      </c>
    </row>
    <row r="22" spans="1:6" x14ac:dyDescent="0.55000000000000004">
      <c r="A22" s="8" t="s">
        <v>8336</v>
      </c>
      <c r="B22" s="9"/>
      <c r="C22" s="9">
        <v>60</v>
      </c>
      <c r="D22" s="9"/>
      <c r="E22" s="9"/>
      <c r="F22" s="9">
        <v>60</v>
      </c>
    </row>
    <row r="23" spans="1:6" x14ac:dyDescent="0.55000000000000004">
      <c r="A23" s="8" t="s">
        <v>8354</v>
      </c>
      <c r="B23" s="9">
        <v>40</v>
      </c>
      <c r="C23" s="9">
        <v>2</v>
      </c>
      <c r="D23" s="9">
        <v>18</v>
      </c>
      <c r="E23" s="9"/>
      <c r="F23" s="9">
        <v>60</v>
      </c>
    </row>
    <row r="24" spans="1:6" x14ac:dyDescent="0.55000000000000004">
      <c r="A24" s="8" t="s">
        <v>8352</v>
      </c>
      <c r="B24" s="9">
        <v>60</v>
      </c>
      <c r="C24" s="9"/>
      <c r="D24" s="9"/>
      <c r="E24" s="9"/>
      <c r="F24" s="9">
        <v>60</v>
      </c>
    </row>
    <row r="25" spans="1:6" x14ac:dyDescent="0.55000000000000004">
      <c r="A25" s="8" t="s">
        <v>8357</v>
      </c>
      <c r="B25" s="9">
        <v>60</v>
      </c>
      <c r="C25" s="9"/>
      <c r="D25" s="9"/>
      <c r="E25" s="9"/>
      <c r="F25" s="9">
        <v>60</v>
      </c>
    </row>
    <row r="26" spans="1:6" x14ac:dyDescent="0.55000000000000004">
      <c r="A26" s="8" t="s">
        <v>8342</v>
      </c>
      <c r="B26" s="9">
        <v>60</v>
      </c>
      <c r="C26" s="9"/>
      <c r="D26" s="9"/>
      <c r="E26" s="9"/>
      <c r="F26" s="9">
        <v>60</v>
      </c>
    </row>
    <row r="27" spans="1:6" x14ac:dyDescent="0.55000000000000004">
      <c r="A27" s="8" t="s">
        <v>8358</v>
      </c>
      <c r="B27" s="9"/>
      <c r="C27" s="9">
        <v>47</v>
      </c>
      <c r="D27" s="9">
        <v>10</v>
      </c>
      <c r="E27" s="9"/>
      <c r="F27" s="9">
        <v>57</v>
      </c>
    </row>
    <row r="28" spans="1:6" x14ac:dyDescent="0.55000000000000004">
      <c r="A28" s="8" t="s">
        <v>8329</v>
      </c>
      <c r="B28" s="9">
        <v>40</v>
      </c>
      <c r="C28" s="9"/>
      <c r="D28" s="9"/>
      <c r="E28" s="9"/>
      <c r="F28" s="9">
        <v>40</v>
      </c>
    </row>
    <row r="29" spans="1:6" x14ac:dyDescent="0.55000000000000004">
      <c r="A29" s="8" t="s">
        <v>8331</v>
      </c>
      <c r="B29" s="9"/>
      <c r="C29" s="9">
        <v>40</v>
      </c>
      <c r="D29" s="9"/>
      <c r="E29" s="9"/>
      <c r="F29" s="9">
        <v>40</v>
      </c>
    </row>
    <row r="30" spans="1:6" x14ac:dyDescent="0.55000000000000004">
      <c r="A30" s="8" t="s">
        <v>8326</v>
      </c>
      <c r="B30" s="9">
        <v>40</v>
      </c>
      <c r="C30" s="9"/>
      <c r="D30" s="9"/>
      <c r="E30" s="9"/>
      <c r="F30" s="9">
        <v>40</v>
      </c>
    </row>
    <row r="31" spans="1:6" x14ac:dyDescent="0.55000000000000004">
      <c r="A31" s="8" t="s">
        <v>8339</v>
      </c>
      <c r="B31" s="9"/>
      <c r="C31" s="9">
        <v>40</v>
      </c>
      <c r="D31" s="9"/>
      <c r="E31" s="9"/>
      <c r="F31" s="9">
        <v>40</v>
      </c>
    </row>
    <row r="32" spans="1:6" x14ac:dyDescent="0.55000000000000004">
      <c r="A32" s="8" t="s">
        <v>8347</v>
      </c>
      <c r="B32" s="9">
        <v>40</v>
      </c>
      <c r="C32" s="9"/>
      <c r="D32" s="9"/>
      <c r="E32" s="9"/>
      <c r="F32" s="9">
        <v>40</v>
      </c>
    </row>
    <row r="33" spans="1:6" x14ac:dyDescent="0.55000000000000004">
      <c r="A33" s="8" t="s">
        <v>8325</v>
      </c>
      <c r="B33" s="9"/>
      <c r="C33" s="9">
        <v>40</v>
      </c>
      <c r="D33" s="9"/>
      <c r="E33" s="9"/>
      <c r="F33" s="9">
        <v>40</v>
      </c>
    </row>
    <row r="34" spans="1:6" x14ac:dyDescent="0.55000000000000004">
      <c r="A34" s="8" t="s">
        <v>8351</v>
      </c>
      <c r="B34" s="9"/>
      <c r="C34" s="9"/>
      <c r="D34" s="9">
        <v>40</v>
      </c>
      <c r="E34" s="9"/>
      <c r="F34" s="9">
        <v>40</v>
      </c>
    </row>
    <row r="35" spans="1:6" x14ac:dyDescent="0.55000000000000004">
      <c r="A35" s="8" t="s">
        <v>8353</v>
      </c>
      <c r="B35" s="9">
        <v>34</v>
      </c>
      <c r="C35" s="9"/>
      <c r="D35" s="9"/>
      <c r="E35" s="9">
        <v>6</v>
      </c>
      <c r="F35" s="9">
        <v>40</v>
      </c>
    </row>
    <row r="36" spans="1:6" x14ac:dyDescent="0.55000000000000004">
      <c r="A36" s="8" t="s">
        <v>8324</v>
      </c>
      <c r="B36" s="9"/>
      <c r="C36" s="9"/>
      <c r="D36" s="9">
        <v>24</v>
      </c>
      <c r="E36" s="9"/>
      <c r="F36" s="9">
        <v>24</v>
      </c>
    </row>
    <row r="37" spans="1:6" x14ac:dyDescent="0.55000000000000004">
      <c r="A37" s="8" t="s">
        <v>8341</v>
      </c>
      <c r="B37" s="9"/>
      <c r="C37" s="9">
        <v>20</v>
      </c>
      <c r="D37" s="9"/>
      <c r="E37" s="9"/>
      <c r="F37" s="9">
        <v>20</v>
      </c>
    </row>
    <row r="38" spans="1:6" x14ac:dyDescent="0.55000000000000004">
      <c r="A38" s="8" t="s">
        <v>8323</v>
      </c>
      <c r="B38" s="9"/>
      <c r="C38" s="9"/>
      <c r="D38" s="9">
        <v>20</v>
      </c>
      <c r="E38" s="9"/>
      <c r="F38" s="9">
        <v>20</v>
      </c>
    </row>
    <row r="39" spans="1:6" x14ac:dyDescent="0.55000000000000004">
      <c r="A39" s="8" t="s">
        <v>8362</v>
      </c>
      <c r="B39" s="9"/>
      <c r="C39" s="9"/>
      <c r="D39" s="9">
        <v>20</v>
      </c>
      <c r="E39" s="9"/>
      <c r="F39" s="9">
        <v>20</v>
      </c>
    </row>
    <row r="40" spans="1:6" x14ac:dyDescent="0.55000000000000004">
      <c r="A40" s="8" t="s">
        <v>8348</v>
      </c>
      <c r="B40" s="9">
        <v>20</v>
      </c>
      <c r="C40" s="9"/>
      <c r="D40" s="9"/>
      <c r="E40" s="9"/>
      <c r="F40" s="9">
        <v>20</v>
      </c>
    </row>
    <row r="41" spans="1:6" x14ac:dyDescent="0.55000000000000004">
      <c r="A41" s="8" t="s">
        <v>8333</v>
      </c>
      <c r="B41" s="9"/>
      <c r="C41" s="9">
        <v>20</v>
      </c>
      <c r="D41" s="9"/>
      <c r="E41" s="9"/>
      <c r="F41" s="9">
        <v>20</v>
      </c>
    </row>
    <row r="42" spans="1:6" x14ac:dyDescent="0.55000000000000004">
      <c r="A42" s="8" t="s">
        <v>8337</v>
      </c>
      <c r="B42" s="9">
        <v>9</v>
      </c>
      <c r="C42" s="9">
        <v>11</v>
      </c>
      <c r="D42" s="9"/>
      <c r="E42" s="9"/>
      <c r="F42" s="9">
        <v>20</v>
      </c>
    </row>
    <row r="43" spans="1:6" x14ac:dyDescent="0.55000000000000004">
      <c r="A43" s="8" t="s">
        <v>8343</v>
      </c>
      <c r="B43" s="9"/>
      <c r="C43" s="9">
        <v>20</v>
      </c>
      <c r="D43" s="9"/>
      <c r="E43" s="9"/>
      <c r="F43" s="9">
        <v>20</v>
      </c>
    </row>
    <row r="44" spans="1:6" x14ac:dyDescent="0.55000000000000004">
      <c r="A44" s="8" t="s">
        <v>8338</v>
      </c>
      <c r="B44" s="9">
        <v>20</v>
      </c>
      <c r="C44" s="9"/>
      <c r="D44" s="9"/>
      <c r="E44" s="9"/>
      <c r="F44" s="9">
        <v>20</v>
      </c>
    </row>
    <row r="45" spans="1:6" x14ac:dyDescent="0.55000000000000004">
      <c r="A45" s="8" t="s">
        <v>8345</v>
      </c>
      <c r="B45" s="9"/>
      <c r="C45" s="9">
        <v>20</v>
      </c>
      <c r="D45" s="9"/>
      <c r="E45" s="9"/>
      <c r="F45" s="9">
        <v>20</v>
      </c>
    </row>
    <row r="46" spans="1:6" x14ac:dyDescent="0.55000000000000004">
      <c r="A46" s="8" t="s">
        <v>8349</v>
      </c>
      <c r="B46" s="9"/>
      <c r="C46" s="9">
        <v>20</v>
      </c>
      <c r="D46" s="9"/>
      <c r="E46" s="9"/>
      <c r="F46" s="9">
        <v>20</v>
      </c>
    </row>
    <row r="47" spans="1:6" x14ac:dyDescent="0.55000000000000004">
      <c r="A47" s="8" t="s">
        <v>8321</v>
      </c>
      <c r="B47" s="9">
        <v>2185</v>
      </c>
      <c r="C47" s="9">
        <v>1530</v>
      </c>
      <c r="D47" s="9">
        <v>349</v>
      </c>
      <c r="E47" s="9">
        <v>50</v>
      </c>
      <c r="F47" s="9">
        <v>4114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B027-99E7-4FEB-A06E-366E71F00FB4}">
  <dimension ref="A2:F15"/>
  <sheetViews>
    <sheetView workbookViewId="0">
      <selection activeCell="B18" sqref="B18"/>
    </sheetView>
  </sheetViews>
  <sheetFormatPr defaultRowHeight="14.4" x14ac:dyDescent="0.55000000000000004"/>
  <cols>
    <col min="1" max="1" width="12.41796875" bestFit="1" customWidth="1"/>
    <col min="2" max="2" width="15.05078125" bestFit="1" customWidth="1"/>
    <col min="3" max="3" width="5.578125" bestFit="1" customWidth="1"/>
    <col min="4" max="4" width="8.1015625" bestFit="1" customWidth="1"/>
    <col min="5" max="5" width="3.89453125" bestFit="1" customWidth="1"/>
    <col min="6" max="7" width="10.3125" bestFit="1" customWidth="1"/>
  </cols>
  <sheetData>
    <row r="2" spans="1:6" x14ac:dyDescent="0.55000000000000004">
      <c r="A2" s="7" t="s">
        <v>8308</v>
      </c>
      <c r="B2" t="s">
        <v>8395</v>
      </c>
    </row>
    <row r="4" spans="1:6" x14ac:dyDescent="0.55000000000000004">
      <c r="A4" s="7" t="s">
        <v>9255</v>
      </c>
      <c r="B4" s="7" t="s">
        <v>9254</v>
      </c>
    </row>
    <row r="5" spans="1:6" x14ac:dyDescent="0.55000000000000004">
      <c r="A5" s="7" t="s">
        <v>9252</v>
      </c>
      <c r="B5" t="s">
        <v>8219</v>
      </c>
      <c r="C5" t="s">
        <v>8221</v>
      </c>
      <c r="D5" t="s">
        <v>8220</v>
      </c>
      <c r="E5" t="s">
        <v>8222</v>
      </c>
      <c r="F5" t="s">
        <v>8321</v>
      </c>
    </row>
    <row r="6" spans="1:6" x14ac:dyDescent="0.55000000000000004">
      <c r="A6" s="8" t="s">
        <v>8320</v>
      </c>
      <c r="B6" s="9">
        <v>839</v>
      </c>
      <c r="C6" s="9">
        <v>493</v>
      </c>
      <c r="D6" s="9">
        <v>37</v>
      </c>
      <c r="E6" s="9">
        <v>24</v>
      </c>
      <c r="F6" s="9">
        <v>1393</v>
      </c>
    </row>
    <row r="7" spans="1:6" x14ac:dyDescent="0.55000000000000004">
      <c r="A7" s="8" t="s">
        <v>8316</v>
      </c>
      <c r="B7" s="9">
        <v>540</v>
      </c>
      <c r="C7" s="9">
        <v>120</v>
      </c>
      <c r="D7" s="9">
        <v>20</v>
      </c>
      <c r="E7" s="9">
        <v>20</v>
      </c>
      <c r="F7" s="9">
        <v>700</v>
      </c>
    </row>
    <row r="8" spans="1:6" x14ac:dyDescent="0.55000000000000004">
      <c r="A8" s="8" t="s">
        <v>8319</v>
      </c>
      <c r="B8" s="9">
        <v>209</v>
      </c>
      <c r="C8" s="9">
        <v>213</v>
      </c>
      <c r="D8" s="9">
        <v>178</v>
      </c>
      <c r="E8" s="9"/>
      <c r="F8" s="9">
        <v>600</v>
      </c>
    </row>
    <row r="9" spans="1:6" x14ac:dyDescent="0.55000000000000004">
      <c r="A9" s="8" t="s">
        <v>8312</v>
      </c>
      <c r="B9" s="9">
        <v>300</v>
      </c>
      <c r="C9" s="9">
        <v>180</v>
      </c>
      <c r="D9" s="9">
        <v>40</v>
      </c>
      <c r="E9" s="9"/>
      <c r="F9" s="9">
        <v>520</v>
      </c>
    </row>
    <row r="10" spans="1:6" x14ac:dyDescent="0.55000000000000004">
      <c r="A10" s="8" t="s">
        <v>8318</v>
      </c>
      <c r="B10" s="9">
        <v>80</v>
      </c>
      <c r="C10" s="9">
        <v>127</v>
      </c>
      <c r="D10" s="9">
        <v>30</v>
      </c>
      <c r="E10" s="9"/>
      <c r="F10" s="9">
        <v>237</v>
      </c>
    </row>
    <row r="11" spans="1:6" x14ac:dyDescent="0.55000000000000004">
      <c r="A11" s="8" t="s">
        <v>8314</v>
      </c>
      <c r="B11" s="9">
        <v>80</v>
      </c>
      <c r="C11" s="9">
        <v>140</v>
      </c>
      <c r="D11" s="9"/>
      <c r="E11" s="9"/>
      <c r="F11" s="9">
        <v>220</v>
      </c>
    </row>
    <row r="12" spans="1:6" x14ac:dyDescent="0.55000000000000004">
      <c r="A12" s="8" t="s">
        <v>8317</v>
      </c>
      <c r="B12" s="9">
        <v>103</v>
      </c>
      <c r="C12" s="9">
        <v>117</v>
      </c>
      <c r="D12" s="9"/>
      <c r="E12" s="9"/>
      <c r="F12" s="9">
        <v>220</v>
      </c>
    </row>
    <row r="13" spans="1:6" x14ac:dyDescent="0.55000000000000004">
      <c r="A13" s="8" t="s">
        <v>8313</v>
      </c>
      <c r="B13" s="9">
        <v>34</v>
      </c>
      <c r="C13" s="9">
        <v>140</v>
      </c>
      <c r="D13" s="9">
        <v>20</v>
      </c>
      <c r="E13" s="9">
        <v>6</v>
      </c>
      <c r="F13" s="9">
        <v>200</v>
      </c>
    </row>
    <row r="14" spans="1:6" x14ac:dyDescent="0.55000000000000004">
      <c r="A14" s="8" t="s">
        <v>8315</v>
      </c>
      <c r="B14" s="9"/>
      <c r="C14" s="9"/>
      <c r="D14" s="9">
        <v>24</v>
      </c>
      <c r="E14" s="9"/>
      <c r="F14" s="9">
        <v>24</v>
      </c>
    </row>
    <row r="15" spans="1:6" x14ac:dyDescent="0.55000000000000004">
      <c r="A15" s="8" t="s">
        <v>8321</v>
      </c>
      <c r="B15" s="9">
        <v>2185</v>
      </c>
      <c r="C15" s="9">
        <v>1530</v>
      </c>
      <c r="D15" s="9">
        <v>349</v>
      </c>
      <c r="E15" s="9">
        <v>50</v>
      </c>
      <c r="F15" s="9">
        <v>4114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
  <dimension ref="A1:U4115"/>
  <sheetViews>
    <sheetView zoomScaleNormal="100" workbookViewId="0">
      <pane ySplit="1" topLeftCell="A2" activePane="bottomLeft" state="frozen"/>
      <selection pane="bottomLeft" sqref="A1:XFD1048576"/>
    </sheetView>
  </sheetViews>
  <sheetFormatPr defaultRowHeight="14.4" x14ac:dyDescent="0.55000000000000004"/>
  <cols>
    <col min="1" max="1" width="4.68359375" bestFit="1" customWidth="1"/>
    <col min="2" max="2" width="38.41796875" style="1" customWidth="1"/>
    <col min="3" max="3" width="40.26171875" style="1" customWidth="1"/>
    <col min="4" max="4" width="9.68359375" bestFit="1" customWidth="1"/>
    <col min="5" max="5" width="10.68359375" bestFit="1" customWidth="1"/>
    <col min="6" max="6" width="12.89453125" bestFit="1" customWidth="1"/>
    <col min="7" max="7" width="9.05078125" customWidth="1"/>
    <col min="8" max="8" width="9.5234375" customWidth="1"/>
    <col min="9" max="9" width="10.68359375" bestFit="1" customWidth="1"/>
    <col min="10" max="10" width="12.5234375" customWidth="1"/>
    <col min="11" max="11" width="10.41796875" customWidth="1"/>
    <col min="12" max="12" width="14.3125" customWidth="1"/>
    <col min="13" max="13" width="9.734375" customWidth="1"/>
    <col min="14" max="14" width="24.62890625" customWidth="1"/>
    <col min="15" max="15" width="15.3125" style="6" customWidth="1"/>
    <col min="16" max="16" width="17.15625" style="17" customWidth="1"/>
    <col min="17" max="17" width="13.1015625" customWidth="1"/>
    <col min="18" max="18" width="13.41796875" customWidth="1"/>
    <col min="19" max="19" width="22.7890625" customWidth="1"/>
    <col min="20" max="20" width="21.47265625" customWidth="1"/>
    <col min="21" max="21" width="10.7890625" bestFit="1" customWidth="1"/>
  </cols>
  <sheetData>
    <row r="1" spans="1:21" s="11" customFormat="1" ht="28.8" x14ac:dyDescent="0.55000000000000004">
      <c r="A1" s="10" t="s">
        <v>0</v>
      </c>
      <c r="B1" s="10" t="s">
        <v>1</v>
      </c>
      <c r="C1" s="10" t="s">
        <v>4110</v>
      </c>
      <c r="D1" s="10" t="s">
        <v>8216</v>
      </c>
      <c r="E1" s="10" t="s">
        <v>8217</v>
      </c>
      <c r="F1" s="10" t="s">
        <v>8218</v>
      </c>
      <c r="G1" s="10" t="s">
        <v>8308</v>
      </c>
      <c r="H1" s="10" t="s">
        <v>8245</v>
      </c>
      <c r="I1" s="10" t="s">
        <v>8259</v>
      </c>
      <c r="J1" s="10" t="s">
        <v>8260</v>
      </c>
      <c r="K1" s="10" t="s">
        <v>8261</v>
      </c>
      <c r="L1" s="10" t="s">
        <v>8262</v>
      </c>
      <c r="M1" s="10" t="s">
        <v>8263</v>
      </c>
      <c r="N1" s="10" t="s">
        <v>8264</v>
      </c>
      <c r="O1" s="10" t="s">
        <v>8306</v>
      </c>
      <c r="P1" s="15" t="s">
        <v>8368</v>
      </c>
      <c r="Q1" s="10" t="s">
        <v>8310</v>
      </c>
      <c r="R1" s="10" t="s">
        <v>8311</v>
      </c>
      <c r="S1" s="10" t="s">
        <v>8367</v>
      </c>
      <c r="T1" s="10" t="s">
        <v>8369</v>
      </c>
      <c r="U1" s="19" t="s">
        <v>8246</v>
      </c>
    </row>
    <row r="2" spans="1:21" ht="43.2" x14ac:dyDescent="0.55000000000000004">
      <c r="A2">
        <v>0</v>
      </c>
      <c r="B2" s="1" t="s">
        <v>2</v>
      </c>
      <c r="C2" s="1" t="s">
        <v>4111</v>
      </c>
      <c r="D2">
        <v>8500</v>
      </c>
      <c r="E2">
        <v>11633</v>
      </c>
      <c r="F2" t="s">
        <v>8219</v>
      </c>
      <c r="G2" t="s">
        <v>8224</v>
      </c>
      <c r="H2" t="s">
        <v>8246</v>
      </c>
      <c r="I2">
        <v>1437620400</v>
      </c>
      <c r="J2">
        <v>1434931811</v>
      </c>
      <c r="K2" t="b">
        <v>0</v>
      </c>
      <c r="L2">
        <v>182</v>
      </c>
      <c r="M2" t="b">
        <v>1</v>
      </c>
      <c r="N2" t="s">
        <v>8265</v>
      </c>
      <c r="O2" s="6">
        <f t="shared" ref="O2:O65" si="0">pledged/goal</f>
        <v>1.3685882352941177</v>
      </c>
      <c r="P2" s="16">
        <f t="shared" ref="P2:P65" si="1">IF(pledged=0,0,pledged/backers_count)</f>
        <v>63.917582417582416</v>
      </c>
      <c r="Q2" t="str">
        <f>LEFT(N2,FIND("/",N2,1)-1)</f>
        <v>film &amp; video</v>
      </c>
      <c r="R2" t="str">
        <f>RIGHT(N2,(LEN(N2)-FIND("/",N2,1)))</f>
        <v>television</v>
      </c>
      <c r="S2" s="4">
        <f t="shared" ref="S2:S65" si="2">(((Unix_launched_date/60)/60)/24)+DATE(1970,1,1)</f>
        <v>42177.007071759261</v>
      </c>
      <c r="T2" s="4">
        <f t="shared" ref="T2:T65" si="3">(((Unix_deadline/60)/60)/24)+DATE(1970,1,1)</f>
        <v>42208.125</v>
      </c>
      <c r="U2" s="5">
        <f>VLOOKUP(currency,Tables!$A$1:$C$14,3,FALSE)*pledged</f>
        <v>11633</v>
      </c>
    </row>
    <row r="3" spans="1:21" ht="28.8" x14ac:dyDescent="0.55000000000000004">
      <c r="A3">
        <v>1</v>
      </c>
      <c r="B3" s="1" t="s">
        <v>3</v>
      </c>
      <c r="C3" s="1" t="s">
        <v>4112</v>
      </c>
      <c r="D3">
        <v>10275</v>
      </c>
      <c r="E3">
        <v>14653</v>
      </c>
      <c r="F3" t="s">
        <v>8219</v>
      </c>
      <c r="G3" t="s">
        <v>8224</v>
      </c>
      <c r="H3" t="s">
        <v>8246</v>
      </c>
      <c r="I3">
        <v>1488464683</v>
      </c>
      <c r="J3">
        <v>1485872683</v>
      </c>
      <c r="K3" t="b">
        <v>0</v>
      </c>
      <c r="L3">
        <v>79</v>
      </c>
      <c r="M3" t="b">
        <v>1</v>
      </c>
      <c r="N3" t="s">
        <v>8265</v>
      </c>
      <c r="O3" s="6">
        <f t="shared" si="0"/>
        <v>1.4260827250608272</v>
      </c>
      <c r="P3" s="16">
        <f t="shared" si="1"/>
        <v>185.48101265822785</v>
      </c>
      <c r="Q3" t="str">
        <f t="shared" ref="Q3:Q66" si="4">LEFT(N3,FIND("/",N3,1)-1)</f>
        <v>film &amp; video</v>
      </c>
      <c r="R3" t="str">
        <f t="shared" ref="R3:R66" si="5">RIGHT(N3,(LEN(N3)-FIND("/",N3,1)))</f>
        <v>television</v>
      </c>
      <c r="S3" s="4">
        <f t="shared" si="2"/>
        <v>42766.600497685184</v>
      </c>
      <c r="T3" s="4">
        <f t="shared" si="3"/>
        <v>42796.600497685184</v>
      </c>
      <c r="U3" s="5">
        <f>VLOOKUP(currency,Tables!$A$1:$C$14,3,FALSE)*pledged</f>
        <v>14653</v>
      </c>
    </row>
    <row r="4" spans="1:21" ht="43.2" x14ac:dyDescent="0.55000000000000004">
      <c r="A4">
        <v>2</v>
      </c>
      <c r="B4" s="1" t="s">
        <v>4</v>
      </c>
      <c r="C4" s="1" t="s">
        <v>4113</v>
      </c>
      <c r="D4">
        <v>500</v>
      </c>
      <c r="E4">
        <v>525</v>
      </c>
      <c r="F4" t="s">
        <v>8219</v>
      </c>
      <c r="G4" t="s">
        <v>8225</v>
      </c>
      <c r="H4" t="s">
        <v>8247</v>
      </c>
      <c r="I4">
        <v>1455555083</v>
      </c>
      <c r="J4">
        <v>1454691083</v>
      </c>
      <c r="K4" t="b">
        <v>0</v>
      </c>
      <c r="L4">
        <v>35</v>
      </c>
      <c r="M4" t="b">
        <v>1</v>
      </c>
      <c r="N4" t="s">
        <v>8265</v>
      </c>
      <c r="O4" s="6">
        <f t="shared" si="0"/>
        <v>1.05</v>
      </c>
      <c r="P4" s="16">
        <f t="shared" si="1"/>
        <v>15</v>
      </c>
      <c r="Q4" t="str">
        <f t="shared" si="4"/>
        <v>film &amp; video</v>
      </c>
      <c r="R4" t="str">
        <f t="shared" si="5"/>
        <v>television</v>
      </c>
      <c r="S4" s="4">
        <f t="shared" si="2"/>
        <v>42405.702349537038</v>
      </c>
      <c r="T4" s="4">
        <f t="shared" si="3"/>
        <v>42415.702349537038</v>
      </c>
      <c r="U4" s="5">
        <f>VLOOKUP(currency,Tables!$A$1:$C$14,3,FALSE)*pledged</f>
        <v>693</v>
      </c>
    </row>
    <row r="5" spans="1:21" ht="28.8" x14ac:dyDescent="0.55000000000000004">
      <c r="A5">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16">
        <f t="shared" si="1"/>
        <v>69.266666666666666</v>
      </c>
      <c r="Q5" t="str">
        <f t="shared" si="4"/>
        <v>film &amp; video</v>
      </c>
      <c r="R5" t="str">
        <f t="shared" si="5"/>
        <v>television</v>
      </c>
      <c r="S5" s="4">
        <f t="shared" si="2"/>
        <v>41828.515127314815</v>
      </c>
      <c r="T5" s="4">
        <f t="shared" si="3"/>
        <v>41858.515127314815</v>
      </c>
      <c r="U5" s="5">
        <f>VLOOKUP(currency,Tables!$A$1:$C$14,3,FALSE)*pledged</f>
        <v>10390</v>
      </c>
    </row>
    <row r="6" spans="1:21" ht="57.6" x14ac:dyDescent="0.55000000000000004">
      <c r="A6">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16">
        <f t="shared" si="1"/>
        <v>190.55028169014085</v>
      </c>
      <c r="Q6" t="str">
        <f t="shared" si="4"/>
        <v>film &amp; video</v>
      </c>
      <c r="R6" t="str">
        <f t="shared" si="5"/>
        <v>television</v>
      </c>
      <c r="S6" s="4">
        <f t="shared" si="2"/>
        <v>42327.834247685183</v>
      </c>
      <c r="T6" s="4">
        <f t="shared" si="3"/>
        <v>42357.834247685183</v>
      </c>
      <c r="U6" s="5">
        <f>VLOOKUP(currency,Tables!$A$1:$C$14,3,FALSE)*pledged</f>
        <v>54116.28</v>
      </c>
    </row>
    <row r="7" spans="1:21" ht="43.2" x14ac:dyDescent="0.55000000000000004">
      <c r="A7">
        <v>5</v>
      </c>
      <c r="B7" s="1" t="s">
        <v>7</v>
      </c>
      <c r="C7" s="1" t="s">
        <v>4116</v>
      </c>
      <c r="D7">
        <v>3999</v>
      </c>
      <c r="E7">
        <v>4390</v>
      </c>
      <c r="F7" t="s">
        <v>8219</v>
      </c>
      <c r="G7" t="s">
        <v>8224</v>
      </c>
      <c r="H7" t="s">
        <v>8246</v>
      </c>
      <c r="I7">
        <v>1469770500</v>
      </c>
      <c r="J7">
        <v>1468362207</v>
      </c>
      <c r="K7" t="b">
        <v>0</v>
      </c>
      <c r="L7">
        <v>47</v>
      </c>
      <c r="M7" t="b">
        <v>1</v>
      </c>
      <c r="N7" t="s">
        <v>8265</v>
      </c>
      <c r="O7" s="6">
        <f t="shared" si="0"/>
        <v>1.0977744436109027</v>
      </c>
      <c r="P7" s="16">
        <f t="shared" si="1"/>
        <v>93.40425531914893</v>
      </c>
      <c r="Q7" t="str">
        <f t="shared" si="4"/>
        <v>film &amp; video</v>
      </c>
      <c r="R7" t="str">
        <f t="shared" si="5"/>
        <v>television</v>
      </c>
      <c r="S7" s="4">
        <f t="shared" si="2"/>
        <v>42563.932951388888</v>
      </c>
      <c r="T7" s="4">
        <f t="shared" si="3"/>
        <v>42580.232638888891</v>
      </c>
      <c r="U7" s="5">
        <f>VLOOKUP(currency,Tables!$A$1:$C$14,3,FALSE)*pledged</f>
        <v>4390</v>
      </c>
    </row>
    <row r="8" spans="1:21" ht="43.2" x14ac:dyDescent="0.55000000000000004">
      <c r="A8">
        <v>6</v>
      </c>
      <c r="B8" s="1" t="s">
        <v>8</v>
      </c>
      <c r="C8" s="1" t="s">
        <v>4117</v>
      </c>
      <c r="D8">
        <v>8000</v>
      </c>
      <c r="E8">
        <v>8519</v>
      </c>
      <c r="F8" t="s">
        <v>8219</v>
      </c>
      <c r="G8" t="s">
        <v>8224</v>
      </c>
      <c r="H8" t="s">
        <v>8246</v>
      </c>
      <c r="I8">
        <v>1402710250</v>
      </c>
      <c r="J8">
        <v>1401846250</v>
      </c>
      <c r="K8" t="b">
        <v>0</v>
      </c>
      <c r="L8">
        <v>58</v>
      </c>
      <c r="M8" t="b">
        <v>1</v>
      </c>
      <c r="N8" t="s">
        <v>8265</v>
      </c>
      <c r="O8" s="6">
        <f t="shared" si="0"/>
        <v>1.064875</v>
      </c>
      <c r="P8" s="16">
        <f t="shared" si="1"/>
        <v>146.87931034482759</v>
      </c>
      <c r="Q8" t="str">
        <f t="shared" si="4"/>
        <v>film &amp; video</v>
      </c>
      <c r="R8" t="str">
        <f t="shared" si="5"/>
        <v>television</v>
      </c>
      <c r="S8" s="4">
        <f t="shared" si="2"/>
        <v>41794.072337962964</v>
      </c>
      <c r="T8" s="4">
        <f t="shared" si="3"/>
        <v>41804.072337962964</v>
      </c>
      <c r="U8" s="5">
        <f>VLOOKUP(currency,Tables!$A$1:$C$14,3,FALSE)*pledged</f>
        <v>8519</v>
      </c>
    </row>
    <row r="9" spans="1:21" ht="43.2" x14ac:dyDescent="0.55000000000000004">
      <c r="A9">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16">
        <f t="shared" si="1"/>
        <v>159.82456140350877</v>
      </c>
      <c r="Q9" t="str">
        <f t="shared" si="4"/>
        <v>film &amp; video</v>
      </c>
      <c r="R9" t="str">
        <f t="shared" si="5"/>
        <v>television</v>
      </c>
      <c r="S9" s="4">
        <f t="shared" si="2"/>
        <v>42516.047071759262</v>
      </c>
      <c r="T9" s="4">
        <f t="shared" si="3"/>
        <v>42556.047071759262</v>
      </c>
      <c r="U9" s="5">
        <f>VLOOKUP(currency,Tables!$A$1:$C$14,3,FALSE)*pledged</f>
        <v>9110</v>
      </c>
    </row>
    <row r="10" spans="1:21" x14ac:dyDescent="0.55000000000000004">
      <c r="A10">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16">
        <f t="shared" si="1"/>
        <v>291.79333333333335</v>
      </c>
      <c r="Q10" t="str">
        <f t="shared" si="4"/>
        <v>film &amp; video</v>
      </c>
      <c r="R10" t="str">
        <f t="shared" si="5"/>
        <v>television</v>
      </c>
      <c r="S10" s="4">
        <f t="shared" si="2"/>
        <v>42468.94458333333</v>
      </c>
      <c r="T10" s="4">
        <f t="shared" si="3"/>
        <v>42475.875</v>
      </c>
      <c r="U10" s="5">
        <f>VLOOKUP(currency,Tables!$A$1:$C$14,3,FALSE)*pledged</f>
        <v>3501.52</v>
      </c>
    </row>
    <row r="11" spans="1:21" ht="43.2" x14ac:dyDescent="0.55000000000000004">
      <c r="A11">
        <v>9</v>
      </c>
      <c r="B11" s="1" t="s">
        <v>11</v>
      </c>
      <c r="C11" s="1" t="s">
        <v>4120</v>
      </c>
      <c r="D11">
        <v>500</v>
      </c>
      <c r="E11">
        <v>629.99</v>
      </c>
      <c r="F11" t="s">
        <v>8219</v>
      </c>
      <c r="G11" t="s">
        <v>8224</v>
      </c>
      <c r="H11" t="s">
        <v>8246</v>
      </c>
      <c r="I11">
        <v>1460860144</v>
      </c>
      <c r="J11">
        <v>1458268144</v>
      </c>
      <c r="K11" t="b">
        <v>0</v>
      </c>
      <c r="L11">
        <v>20</v>
      </c>
      <c r="M11" t="b">
        <v>1</v>
      </c>
      <c r="N11" t="s">
        <v>8265</v>
      </c>
      <c r="O11" s="6">
        <f t="shared" si="0"/>
        <v>1.2599800000000001</v>
      </c>
      <c r="P11" s="16">
        <f t="shared" si="1"/>
        <v>31.499500000000001</v>
      </c>
      <c r="Q11" t="str">
        <f t="shared" si="4"/>
        <v>film &amp; video</v>
      </c>
      <c r="R11" t="str">
        <f t="shared" si="5"/>
        <v>television</v>
      </c>
      <c r="S11" s="4">
        <f t="shared" si="2"/>
        <v>42447.103518518517</v>
      </c>
      <c r="T11" s="4">
        <f t="shared" si="3"/>
        <v>42477.103518518517</v>
      </c>
      <c r="U11" s="5">
        <f>VLOOKUP(currency,Tables!$A$1:$C$14,3,FALSE)*pledged</f>
        <v>629.99</v>
      </c>
    </row>
    <row r="12" spans="1:21" ht="43.2" x14ac:dyDescent="0.55000000000000004">
      <c r="A12">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16">
        <f t="shared" si="1"/>
        <v>158.68421052631578</v>
      </c>
      <c r="Q12" t="str">
        <f t="shared" si="4"/>
        <v>film &amp; video</v>
      </c>
      <c r="R12" t="str">
        <f t="shared" si="5"/>
        <v>television</v>
      </c>
      <c r="S12" s="4">
        <f t="shared" si="2"/>
        <v>41780.068043981482</v>
      </c>
      <c r="T12" s="4">
        <f t="shared" si="3"/>
        <v>41815.068043981482</v>
      </c>
      <c r="U12" s="5">
        <f>VLOOKUP(currency,Tables!$A$1:$C$14,3,FALSE)*pledged</f>
        <v>3015</v>
      </c>
    </row>
    <row r="13" spans="1:21" ht="43.2" x14ac:dyDescent="0.55000000000000004">
      <c r="A13">
        <v>11</v>
      </c>
      <c r="B13" s="1" t="s">
        <v>13</v>
      </c>
      <c r="C13" s="1" t="s">
        <v>4122</v>
      </c>
      <c r="D13">
        <v>5000</v>
      </c>
      <c r="E13">
        <v>6025</v>
      </c>
      <c r="F13" t="s">
        <v>8219</v>
      </c>
      <c r="G13" t="s">
        <v>8224</v>
      </c>
      <c r="H13" t="s">
        <v>8246</v>
      </c>
      <c r="I13">
        <v>1471834800</v>
      </c>
      <c r="J13">
        <v>1469126462</v>
      </c>
      <c r="K13" t="b">
        <v>0</v>
      </c>
      <c r="L13">
        <v>75</v>
      </c>
      <c r="M13" t="b">
        <v>1</v>
      </c>
      <c r="N13" t="s">
        <v>8265</v>
      </c>
      <c r="O13" s="6">
        <f t="shared" si="0"/>
        <v>1.2050000000000001</v>
      </c>
      <c r="P13" s="16">
        <f t="shared" si="1"/>
        <v>80.333333333333329</v>
      </c>
      <c r="Q13" t="str">
        <f t="shared" si="4"/>
        <v>film &amp; video</v>
      </c>
      <c r="R13" t="str">
        <f t="shared" si="5"/>
        <v>television</v>
      </c>
      <c r="S13" s="4">
        <f t="shared" si="2"/>
        <v>42572.778495370367</v>
      </c>
      <c r="T13" s="4">
        <f t="shared" si="3"/>
        <v>42604.125</v>
      </c>
      <c r="U13" s="5">
        <f>VLOOKUP(currency,Tables!$A$1:$C$14,3,FALSE)*pledged</f>
        <v>6025</v>
      </c>
    </row>
    <row r="14" spans="1:21" ht="43.2" x14ac:dyDescent="0.55000000000000004">
      <c r="A14">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1.6529333333333334</v>
      </c>
      <c r="P14" s="16">
        <f t="shared" si="1"/>
        <v>59.961305925030231</v>
      </c>
      <c r="Q14" t="str">
        <f t="shared" si="4"/>
        <v>film &amp; video</v>
      </c>
      <c r="R14" t="str">
        <f t="shared" si="5"/>
        <v>television</v>
      </c>
      <c r="S14" s="4">
        <f t="shared" si="2"/>
        <v>41791.713252314818</v>
      </c>
      <c r="T14" s="4">
        <f t="shared" si="3"/>
        <v>41836.125</v>
      </c>
      <c r="U14" s="5">
        <f>VLOOKUP(currency,Tables!$A$1:$C$14,3,FALSE)*pledged</f>
        <v>49588</v>
      </c>
    </row>
    <row r="15" spans="1:21" ht="28.8" x14ac:dyDescent="0.55000000000000004">
      <c r="A15">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16">
        <f t="shared" si="1"/>
        <v>109.78431372549019</v>
      </c>
      <c r="Q15" t="str">
        <f t="shared" si="4"/>
        <v>film &amp; video</v>
      </c>
      <c r="R15" t="str">
        <f t="shared" si="5"/>
        <v>television</v>
      </c>
      <c r="S15" s="4">
        <f t="shared" si="2"/>
        <v>42508.677187499998</v>
      </c>
      <c r="T15" s="4">
        <f t="shared" si="3"/>
        <v>42544.852083333331</v>
      </c>
      <c r="U15" s="5">
        <f>VLOOKUP(currency,Tables!$A$1:$C$14,3,FALSE)*pledged</f>
        <v>5599</v>
      </c>
    </row>
    <row r="16" spans="1:21" ht="28.8" x14ac:dyDescent="0.55000000000000004">
      <c r="A16">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16">
        <f t="shared" si="1"/>
        <v>147.70731707317074</v>
      </c>
      <c r="Q16" t="str">
        <f t="shared" si="4"/>
        <v>film &amp; video</v>
      </c>
      <c r="R16" t="str">
        <f t="shared" si="5"/>
        <v>television</v>
      </c>
      <c r="S16" s="4">
        <f t="shared" si="2"/>
        <v>41808.02648148148</v>
      </c>
      <c r="T16" s="4">
        <f t="shared" si="3"/>
        <v>41833.582638888889</v>
      </c>
      <c r="U16" s="5">
        <f>VLOOKUP(currency,Tables!$A$1:$C$14,3,FALSE)*pledged</f>
        <v>4420.88</v>
      </c>
    </row>
    <row r="17" spans="1:21" ht="43.2" x14ac:dyDescent="0.55000000000000004">
      <c r="A17">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16">
        <f t="shared" si="1"/>
        <v>21.755102040816325</v>
      </c>
      <c r="Q17" t="str">
        <f t="shared" si="4"/>
        <v>film &amp; video</v>
      </c>
      <c r="R17" t="str">
        <f t="shared" si="5"/>
        <v>television</v>
      </c>
      <c r="S17" s="4">
        <f t="shared" si="2"/>
        <v>42256.391875000001</v>
      </c>
      <c r="T17" s="4">
        <f t="shared" si="3"/>
        <v>42274.843055555553</v>
      </c>
      <c r="U17" s="5">
        <f>VLOOKUP(currency,Tables!$A$1:$C$14,3,FALSE)*pledged</f>
        <v>2515.7599999999998</v>
      </c>
    </row>
    <row r="18" spans="1:21" ht="43.2" x14ac:dyDescent="0.55000000000000004">
      <c r="A18">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16">
        <f t="shared" si="1"/>
        <v>171.84285714285716</v>
      </c>
      <c r="Q18" t="str">
        <f t="shared" si="4"/>
        <v>film &amp; video</v>
      </c>
      <c r="R18" t="str">
        <f t="shared" si="5"/>
        <v>television</v>
      </c>
      <c r="S18" s="4">
        <f t="shared" si="2"/>
        <v>41760.796423611115</v>
      </c>
      <c r="T18" s="4">
        <f t="shared" si="3"/>
        <v>41806.229166666664</v>
      </c>
      <c r="U18" s="5">
        <f>VLOOKUP(currency,Tables!$A$1:$C$14,3,FALSE)*pledged</f>
        <v>12029</v>
      </c>
    </row>
    <row r="19" spans="1:21" ht="43.2" x14ac:dyDescent="0.55000000000000004">
      <c r="A19">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16">
        <f t="shared" si="1"/>
        <v>41.944444444444443</v>
      </c>
      <c r="Q19" t="str">
        <f t="shared" si="4"/>
        <v>film &amp; video</v>
      </c>
      <c r="R19" t="str">
        <f t="shared" si="5"/>
        <v>television</v>
      </c>
      <c r="S19" s="4">
        <f t="shared" si="2"/>
        <v>41917.731736111113</v>
      </c>
      <c r="T19" s="4">
        <f t="shared" si="3"/>
        <v>41947.773402777777</v>
      </c>
      <c r="U19" s="5">
        <f>VLOOKUP(currency,Tables!$A$1:$C$14,3,FALSE)*pledged</f>
        <v>1993.2</v>
      </c>
    </row>
    <row r="20" spans="1:21" ht="43.2" x14ac:dyDescent="0.55000000000000004">
      <c r="A20">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1.0632110000000001</v>
      </c>
      <c r="P20" s="16">
        <f t="shared" si="1"/>
        <v>93.264122807017543</v>
      </c>
      <c r="Q20" t="str">
        <f t="shared" si="4"/>
        <v>film &amp; video</v>
      </c>
      <c r="R20" t="str">
        <f t="shared" si="5"/>
        <v>television</v>
      </c>
      <c r="S20" s="4">
        <f t="shared" si="2"/>
        <v>41869.542314814818</v>
      </c>
      <c r="T20" s="4">
        <f t="shared" si="3"/>
        <v>41899.542314814818</v>
      </c>
      <c r="U20" s="5">
        <f>VLOOKUP(currency,Tables!$A$1:$C$14,3,FALSE)*pledged</f>
        <v>31896.33</v>
      </c>
    </row>
    <row r="21" spans="1:21" ht="43.2" x14ac:dyDescent="0.55000000000000004">
      <c r="A21">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1.4529411764705882</v>
      </c>
      <c r="P21" s="16">
        <f t="shared" si="1"/>
        <v>56.136363636363633</v>
      </c>
      <c r="Q21" t="str">
        <f t="shared" si="4"/>
        <v>film &amp; video</v>
      </c>
      <c r="R21" t="str">
        <f t="shared" si="5"/>
        <v>television</v>
      </c>
      <c r="S21" s="4">
        <f t="shared" si="2"/>
        <v>42175.816365740742</v>
      </c>
      <c r="T21" s="4">
        <f t="shared" si="3"/>
        <v>42205.816365740742</v>
      </c>
      <c r="U21" s="5">
        <f>VLOOKUP(currency,Tables!$A$1:$C$14,3,FALSE)*pledged</f>
        <v>1235</v>
      </c>
    </row>
    <row r="22" spans="1:21" ht="43.2" x14ac:dyDescent="0.55000000000000004">
      <c r="A22">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16">
        <f t="shared" si="1"/>
        <v>80.16</v>
      </c>
      <c r="Q22" t="str">
        <f t="shared" si="4"/>
        <v>film &amp; video</v>
      </c>
      <c r="R22" t="str">
        <f t="shared" si="5"/>
        <v>television</v>
      </c>
      <c r="S22" s="4">
        <f t="shared" si="2"/>
        <v>42200.758240740746</v>
      </c>
      <c r="T22" s="4">
        <f t="shared" si="3"/>
        <v>42260.758240740746</v>
      </c>
      <c r="U22" s="5">
        <f>VLOOKUP(currency,Tables!$A$1:$C$14,3,FALSE)*pledged</f>
        <v>2004</v>
      </c>
    </row>
    <row r="23" spans="1:21" ht="43.2" x14ac:dyDescent="0.55000000000000004">
      <c r="A2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16">
        <f t="shared" si="1"/>
        <v>199.9009900990099</v>
      </c>
      <c r="Q23" t="str">
        <f t="shared" si="4"/>
        <v>film &amp; video</v>
      </c>
      <c r="R23" t="str">
        <f t="shared" si="5"/>
        <v>television</v>
      </c>
      <c r="S23" s="4">
        <f t="shared" si="2"/>
        <v>41878.627187500002</v>
      </c>
      <c r="T23" s="4">
        <f t="shared" si="3"/>
        <v>41908.627187500002</v>
      </c>
      <c r="U23" s="5">
        <f>VLOOKUP(currency,Tables!$A$1:$C$14,3,FALSE)*pledged</f>
        <v>20190</v>
      </c>
    </row>
    <row r="24" spans="1:21" ht="28.8" x14ac:dyDescent="0.55000000000000004">
      <c r="A24">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16">
        <f t="shared" si="1"/>
        <v>51.25</v>
      </c>
      <c r="Q24" t="str">
        <f t="shared" si="4"/>
        <v>film &amp; video</v>
      </c>
      <c r="R24" t="str">
        <f t="shared" si="5"/>
        <v>television</v>
      </c>
      <c r="S24" s="4">
        <f t="shared" si="2"/>
        <v>41989.91134259259</v>
      </c>
      <c r="T24" s="4">
        <f t="shared" si="3"/>
        <v>42005.332638888889</v>
      </c>
      <c r="U24" s="5">
        <f>VLOOKUP(currency,Tables!$A$1:$C$14,3,FALSE)*pledged</f>
        <v>410</v>
      </c>
    </row>
    <row r="25" spans="1:21" ht="43.2" x14ac:dyDescent="0.55000000000000004">
      <c r="A25">
        <v>23</v>
      </c>
      <c r="B25" s="1" t="s">
        <v>25</v>
      </c>
      <c r="C25" s="1" t="s">
        <v>4134</v>
      </c>
      <c r="D25">
        <v>2000</v>
      </c>
      <c r="E25">
        <v>2370</v>
      </c>
      <c r="F25" t="s">
        <v>8219</v>
      </c>
      <c r="G25" t="s">
        <v>8224</v>
      </c>
      <c r="H25" t="s">
        <v>8246</v>
      </c>
      <c r="I25">
        <v>1430407200</v>
      </c>
      <c r="J25">
        <v>1428086501</v>
      </c>
      <c r="K25" t="b">
        <v>0</v>
      </c>
      <c r="L25">
        <v>23</v>
      </c>
      <c r="M25" t="b">
        <v>1</v>
      </c>
      <c r="N25" t="s">
        <v>8265</v>
      </c>
      <c r="O25" s="6">
        <f t="shared" si="0"/>
        <v>1.1850000000000001</v>
      </c>
      <c r="P25" s="16">
        <f t="shared" si="1"/>
        <v>103.04347826086956</v>
      </c>
      <c r="Q25" t="str">
        <f t="shared" si="4"/>
        <v>film &amp; video</v>
      </c>
      <c r="R25" t="str">
        <f t="shared" si="5"/>
        <v>television</v>
      </c>
      <c r="S25" s="4">
        <f t="shared" si="2"/>
        <v>42097.778946759259</v>
      </c>
      <c r="T25" s="4">
        <f t="shared" si="3"/>
        <v>42124.638888888891</v>
      </c>
      <c r="U25" s="5">
        <f>VLOOKUP(currency,Tables!$A$1:$C$14,3,FALSE)*pledged</f>
        <v>2370</v>
      </c>
    </row>
    <row r="26" spans="1:21" ht="28.8" x14ac:dyDescent="0.55000000000000004">
      <c r="A26">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16">
        <f t="shared" si="1"/>
        <v>66.346149825783982</v>
      </c>
      <c r="Q26" t="str">
        <f t="shared" si="4"/>
        <v>film &amp; video</v>
      </c>
      <c r="R26" t="str">
        <f t="shared" si="5"/>
        <v>television</v>
      </c>
      <c r="S26" s="4">
        <f t="shared" si="2"/>
        <v>42229.820173611108</v>
      </c>
      <c r="T26" s="4">
        <f t="shared" si="3"/>
        <v>42262.818750000006</v>
      </c>
      <c r="U26" s="5">
        <f>VLOOKUP(currency,Tables!$A$1:$C$14,3,FALSE)*pledged</f>
        <v>38082.69</v>
      </c>
    </row>
    <row r="27" spans="1:21" ht="43.2" x14ac:dyDescent="0.55000000000000004">
      <c r="A27">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1.3333333333333333</v>
      </c>
      <c r="P27" s="16">
        <f t="shared" si="1"/>
        <v>57.142857142857146</v>
      </c>
      <c r="Q27" t="str">
        <f t="shared" si="4"/>
        <v>film &amp; video</v>
      </c>
      <c r="R27" t="str">
        <f t="shared" si="5"/>
        <v>television</v>
      </c>
      <c r="S27" s="4">
        <f t="shared" si="2"/>
        <v>42318.025011574078</v>
      </c>
      <c r="T27" s="4">
        <f t="shared" si="3"/>
        <v>42378.025011574078</v>
      </c>
      <c r="U27" s="5">
        <f>VLOOKUP(currency,Tables!$A$1:$C$14,3,FALSE)*pledged</f>
        <v>800</v>
      </c>
    </row>
    <row r="28" spans="1:21" ht="43.2" x14ac:dyDescent="0.55000000000000004">
      <c r="A28">
        <v>26</v>
      </c>
      <c r="B28" s="1" t="s">
        <v>28</v>
      </c>
      <c r="C28" s="1" t="s">
        <v>4137</v>
      </c>
      <c r="D28">
        <v>1250</v>
      </c>
      <c r="E28">
        <v>1940</v>
      </c>
      <c r="F28" t="s">
        <v>8219</v>
      </c>
      <c r="G28" t="s">
        <v>8224</v>
      </c>
      <c r="H28" t="s">
        <v>8246</v>
      </c>
      <c r="I28">
        <v>1408278144</v>
      </c>
      <c r="J28">
        <v>1404822144</v>
      </c>
      <c r="K28" t="b">
        <v>0</v>
      </c>
      <c r="L28">
        <v>19</v>
      </c>
      <c r="M28" t="b">
        <v>1</v>
      </c>
      <c r="N28" t="s">
        <v>8265</v>
      </c>
      <c r="O28" s="6">
        <f t="shared" si="0"/>
        <v>1.552</v>
      </c>
      <c r="P28" s="16">
        <f t="shared" si="1"/>
        <v>102.10526315789474</v>
      </c>
      <c r="Q28" t="str">
        <f t="shared" si="4"/>
        <v>film &amp; video</v>
      </c>
      <c r="R28" t="str">
        <f t="shared" si="5"/>
        <v>television</v>
      </c>
      <c r="S28" s="4">
        <f t="shared" si="2"/>
        <v>41828.515555555554</v>
      </c>
      <c r="T28" s="4">
        <f t="shared" si="3"/>
        <v>41868.515555555554</v>
      </c>
      <c r="U28" s="5">
        <f>VLOOKUP(currency,Tables!$A$1:$C$14,3,FALSE)*pledged</f>
        <v>1940</v>
      </c>
    </row>
    <row r="29" spans="1:21" ht="43.2" x14ac:dyDescent="0.55000000000000004">
      <c r="A29">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16">
        <f t="shared" si="1"/>
        <v>148.96666666666667</v>
      </c>
      <c r="Q29" t="str">
        <f t="shared" si="4"/>
        <v>film &amp; video</v>
      </c>
      <c r="R29" t="str">
        <f t="shared" si="5"/>
        <v>television</v>
      </c>
      <c r="S29" s="4">
        <f t="shared" si="2"/>
        <v>41929.164733796293</v>
      </c>
      <c r="T29" s="4">
        <f t="shared" si="3"/>
        <v>41959.206400462965</v>
      </c>
      <c r="U29" s="5">
        <f>VLOOKUP(currency,Tables!$A$1:$C$14,3,FALSE)*pledged</f>
        <v>14971.150000000001</v>
      </c>
    </row>
    <row r="30" spans="1:21" ht="28.8" x14ac:dyDescent="0.55000000000000004">
      <c r="A30">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16">
        <f t="shared" si="1"/>
        <v>169.6056338028169</v>
      </c>
      <c r="Q30" t="str">
        <f t="shared" si="4"/>
        <v>film &amp; video</v>
      </c>
      <c r="R30" t="str">
        <f t="shared" si="5"/>
        <v>television</v>
      </c>
      <c r="S30" s="4">
        <f t="shared" si="2"/>
        <v>42324.96393518518</v>
      </c>
      <c r="T30" s="4">
        <f t="shared" si="3"/>
        <v>42354.96393518518</v>
      </c>
      <c r="U30" s="5">
        <f>VLOOKUP(currency,Tables!$A$1:$C$14,3,FALSE)*pledged</f>
        <v>12042</v>
      </c>
    </row>
    <row r="31" spans="1:21" ht="43.2" x14ac:dyDescent="0.55000000000000004">
      <c r="A31">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16">
        <f t="shared" si="1"/>
        <v>31.623931623931625</v>
      </c>
      <c r="Q31" t="str">
        <f t="shared" si="4"/>
        <v>film &amp; video</v>
      </c>
      <c r="R31" t="str">
        <f t="shared" si="5"/>
        <v>television</v>
      </c>
      <c r="S31" s="4">
        <f t="shared" si="2"/>
        <v>41812.67324074074</v>
      </c>
      <c r="T31" s="4">
        <f t="shared" si="3"/>
        <v>41842.67324074074</v>
      </c>
      <c r="U31" s="5">
        <f>VLOOKUP(currency,Tables!$A$1:$C$14,3,FALSE)*pledged</f>
        <v>4884</v>
      </c>
    </row>
    <row r="32" spans="1:21" ht="43.2" x14ac:dyDescent="0.55000000000000004">
      <c r="A32">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16">
        <f t="shared" si="1"/>
        <v>76.45264150943396</v>
      </c>
      <c r="Q32" t="str">
        <f t="shared" si="4"/>
        <v>film &amp; video</v>
      </c>
      <c r="R32" t="str">
        <f t="shared" si="5"/>
        <v>television</v>
      </c>
      <c r="S32" s="4">
        <f t="shared" si="2"/>
        <v>41842.292997685188</v>
      </c>
      <c r="T32" s="4">
        <f t="shared" si="3"/>
        <v>41872.292997685188</v>
      </c>
      <c r="U32" s="5">
        <f>VLOOKUP(currency,Tables!$A$1:$C$14,3,FALSE)*pledged</f>
        <v>4051.99</v>
      </c>
    </row>
    <row r="33" spans="1:21" ht="43.2" x14ac:dyDescent="0.55000000000000004">
      <c r="A33">
        <v>31</v>
      </c>
      <c r="B33" s="1" t="s">
        <v>33</v>
      </c>
      <c r="C33" s="1" t="s">
        <v>4142</v>
      </c>
      <c r="D33">
        <v>13</v>
      </c>
      <c r="E33">
        <v>13</v>
      </c>
      <c r="F33" t="s">
        <v>8219</v>
      </c>
      <c r="G33" t="s">
        <v>8224</v>
      </c>
      <c r="H33" t="s">
        <v>8246</v>
      </c>
      <c r="I33">
        <v>1453748434</v>
      </c>
      <c r="J33">
        <v>1452193234</v>
      </c>
      <c r="K33" t="b">
        <v>0</v>
      </c>
      <c r="L33">
        <v>1</v>
      </c>
      <c r="M33" t="b">
        <v>1</v>
      </c>
      <c r="N33" t="s">
        <v>8265</v>
      </c>
      <c r="O33" s="6">
        <f t="shared" si="0"/>
        <v>1</v>
      </c>
      <c r="P33" s="16">
        <f t="shared" si="1"/>
        <v>13</v>
      </c>
      <c r="Q33" t="str">
        <f t="shared" si="4"/>
        <v>film &amp; video</v>
      </c>
      <c r="R33" t="str">
        <f t="shared" si="5"/>
        <v>television</v>
      </c>
      <c r="S33" s="4">
        <f t="shared" si="2"/>
        <v>42376.79206018518</v>
      </c>
      <c r="T33" s="4">
        <f t="shared" si="3"/>
        <v>42394.79206018518</v>
      </c>
      <c r="U33" s="5">
        <f>VLOOKUP(currency,Tables!$A$1:$C$14,3,FALSE)*pledged</f>
        <v>13</v>
      </c>
    </row>
    <row r="34" spans="1:21" ht="43.2" x14ac:dyDescent="0.55000000000000004">
      <c r="A34">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16">
        <f t="shared" si="1"/>
        <v>320.44943820224717</v>
      </c>
      <c r="Q34" t="str">
        <f t="shared" si="4"/>
        <v>film &amp; video</v>
      </c>
      <c r="R34" t="str">
        <f t="shared" si="5"/>
        <v>television</v>
      </c>
      <c r="S34" s="4">
        <f t="shared" si="2"/>
        <v>42461.627511574072</v>
      </c>
      <c r="T34" s="4">
        <f t="shared" si="3"/>
        <v>42503.165972222225</v>
      </c>
      <c r="U34" s="5">
        <f>VLOOKUP(currency,Tables!$A$1:$C$14,3,FALSE)*pledged</f>
        <v>28520</v>
      </c>
    </row>
    <row r="35" spans="1:21" ht="43.2" x14ac:dyDescent="0.55000000000000004">
      <c r="A35">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1.0209523809523811</v>
      </c>
      <c r="P35" s="16">
        <f t="shared" si="1"/>
        <v>83.75</v>
      </c>
      <c r="Q35" t="str">
        <f t="shared" si="4"/>
        <v>film &amp; video</v>
      </c>
      <c r="R35" t="str">
        <f t="shared" si="5"/>
        <v>television</v>
      </c>
      <c r="S35" s="4">
        <f t="shared" si="2"/>
        <v>42286.660891203705</v>
      </c>
      <c r="T35" s="4">
        <f t="shared" si="3"/>
        <v>42316.702557870376</v>
      </c>
      <c r="U35" s="5">
        <f>VLOOKUP(currency,Tables!$A$1:$C$14,3,FALSE)*pledged</f>
        <v>5360</v>
      </c>
    </row>
    <row r="36" spans="1:21" ht="43.2" x14ac:dyDescent="0.55000000000000004">
      <c r="A36">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16">
        <f t="shared" si="1"/>
        <v>49.882352941176471</v>
      </c>
      <c r="Q36" t="str">
        <f t="shared" si="4"/>
        <v>film &amp; video</v>
      </c>
      <c r="R36" t="str">
        <f t="shared" si="5"/>
        <v>television</v>
      </c>
      <c r="S36" s="4">
        <f t="shared" si="2"/>
        <v>41841.321770833332</v>
      </c>
      <c r="T36" s="4">
        <f t="shared" si="3"/>
        <v>41856.321770833332</v>
      </c>
      <c r="U36" s="5">
        <f>VLOOKUP(currency,Tables!$A$1:$C$14,3,FALSE)*pledged</f>
        <v>3392</v>
      </c>
    </row>
    <row r="37" spans="1:21" ht="43.2" x14ac:dyDescent="0.55000000000000004">
      <c r="A37">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16">
        <f t="shared" si="1"/>
        <v>59.464285714285715</v>
      </c>
      <c r="Q37" t="str">
        <f t="shared" si="4"/>
        <v>film &amp; video</v>
      </c>
      <c r="R37" t="str">
        <f t="shared" si="5"/>
        <v>television</v>
      </c>
      <c r="S37" s="4">
        <f t="shared" si="2"/>
        <v>42098.291828703703</v>
      </c>
      <c r="T37" s="4">
        <f t="shared" si="3"/>
        <v>42122</v>
      </c>
      <c r="U37" s="5">
        <f>VLOOKUP(currency,Tables!$A$1:$C$14,3,FALSE)*pledged</f>
        <v>1665</v>
      </c>
    </row>
    <row r="38" spans="1:21" ht="28.8" x14ac:dyDescent="0.55000000000000004">
      <c r="A38">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16">
        <f t="shared" si="1"/>
        <v>193.84090909090909</v>
      </c>
      <c r="Q38" t="str">
        <f t="shared" si="4"/>
        <v>film &amp; video</v>
      </c>
      <c r="R38" t="str">
        <f t="shared" si="5"/>
        <v>television</v>
      </c>
      <c r="S38" s="4">
        <f t="shared" si="2"/>
        <v>42068.307002314818</v>
      </c>
      <c r="T38" s="4">
        <f t="shared" si="3"/>
        <v>42098.265335648146</v>
      </c>
      <c r="U38" s="5">
        <f>VLOOKUP(currency,Tables!$A$1:$C$14,3,FALSE)*pledged</f>
        <v>8529</v>
      </c>
    </row>
    <row r="39" spans="1:21" ht="43.2" x14ac:dyDescent="0.55000000000000004">
      <c r="A39">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16">
        <f t="shared" si="1"/>
        <v>159.51383399209487</v>
      </c>
      <c r="Q39" t="str">
        <f t="shared" si="4"/>
        <v>film &amp; video</v>
      </c>
      <c r="R39" t="str">
        <f t="shared" si="5"/>
        <v>television</v>
      </c>
      <c r="S39" s="4">
        <f t="shared" si="2"/>
        <v>42032.693043981482</v>
      </c>
      <c r="T39" s="4">
        <f t="shared" si="3"/>
        <v>42062.693043981482</v>
      </c>
      <c r="U39" s="5">
        <f>VLOOKUP(currency,Tables!$A$1:$C$14,3,FALSE)*pledged</f>
        <v>40357</v>
      </c>
    </row>
    <row r="40" spans="1:21" ht="43.2" x14ac:dyDescent="0.55000000000000004">
      <c r="A40">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16">
        <f t="shared" si="1"/>
        <v>41.68181818181818</v>
      </c>
      <c r="Q40" t="str">
        <f t="shared" si="4"/>
        <v>film &amp; video</v>
      </c>
      <c r="R40" t="str">
        <f t="shared" si="5"/>
        <v>television</v>
      </c>
      <c r="S40" s="4">
        <f t="shared" si="2"/>
        <v>41375.057222222218</v>
      </c>
      <c r="T40" s="4">
        <f t="shared" si="3"/>
        <v>41405.057222222218</v>
      </c>
      <c r="U40" s="5">
        <f>VLOOKUP(currency,Tables!$A$1:$C$14,3,FALSE)*pledged</f>
        <v>2751</v>
      </c>
    </row>
    <row r="41" spans="1:21" ht="43.2" x14ac:dyDescent="0.55000000000000004">
      <c r="A41">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1.3098000000000001</v>
      </c>
      <c r="P41" s="16">
        <f t="shared" si="1"/>
        <v>150.89861751152074</v>
      </c>
      <c r="Q41" t="str">
        <f t="shared" si="4"/>
        <v>film &amp; video</v>
      </c>
      <c r="R41" t="str">
        <f t="shared" si="5"/>
        <v>television</v>
      </c>
      <c r="S41" s="4">
        <f t="shared" si="2"/>
        <v>41754.047083333331</v>
      </c>
      <c r="T41" s="4">
        <f t="shared" si="3"/>
        <v>41784.957638888889</v>
      </c>
      <c r="U41" s="5">
        <f>VLOOKUP(currency,Tables!$A$1:$C$14,3,FALSE)*pledged</f>
        <v>43223.4</v>
      </c>
    </row>
    <row r="42" spans="1:21" ht="43.2" x14ac:dyDescent="0.55000000000000004">
      <c r="A42">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16">
        <f t="shared" si="1"/>
        <v>126.6875</v>
      </c>
      <c r="Q42" t="str">
        <f t="shared" si="4"/>
        <v>film &amp; video</v>
      </c>
      <c r="R42" t="str">
        <f t="shared" si="5"/>
        <v>television</v>
      </c>
      <c r="S42" s="4">
        <f t="shared" si="2"/>
        <v>41789.21398148148</v>
      </c>
      <c r="T42" s="4">
        <f t="shared" si="3"/>
        <v>41809.166666666664</v>
      </c>
      <c r="U42" s="5">
        <f>VLOOKUP(currency,Tables!$A$1:$C$14,3,FALSE)*pledged</f>
        <v>2027</v>
      </c>
    </row>
    <row r="43" spans="1:21" ht="43.2" x14ac:dyDescent="0.55000000000000004">
      <c r="A43">
        <v>41</v>
      </c>
      <c r="B43" s="1" t="s">
        <v>43</v>
      </c>
      <c r="C43" s="1" t="s">
        <v>4152</v>
      </c>
      <c r="D43">
        <v>2000</v>
      </c>
      <c r="E43">
        <v>2000</v>
      </c>
      <c r="F43" t="s">
        <v>8219</v>
      </c>
      <c r="G43" t="s">
        <v>8224</v>
      </c>
      <c r="H43" t="s">
        <v>8246</v>
      </c>
      <c r="I43">
        <v>1412516354</v>
      </c>
      <c r="J43">
        <v>1409924354</v>
      </c>
      <c r="K43" t="b">
        <v>0</v>
      </c>
      <c r="L43">
        <v>19</v>
      </c>
      <c r="M43" t="b">
        <v>1</v>
      </c>
      <c r="N43" t="s">
        <v>8265</v>
      </c>
      <c r="O43" s="6">
        <f t="shared" si="0"/>
        <v>1</v>
      </c>
      <c r="P43" s="16">
        <f t="shared" si="1"/>
        <v>105.26315789473684</v>
      </c>
      <c r="Q43" t="str">
        <f t="shared" si="4"/>
        <v>film &amp; video</v>
      </c>
      <c r="R43" t="str">
        <f t="shared" si="5"/>
        <v>television</v>
      </c>
      <c r="S43" s="4">
        <f t="shared" si="2"/>
        <v>41887.568912037037</v>
      </c>
      <c r="T43" s="4">
        <f t="shared" si="3"/>
        <v>41917.568912037037</v>
      </c>
      <c r="U43" s="5">
        <f>VLOOKUP(currency,Tables!$A$1:$C$14,3,FALSE)*pledged</f>
        <v>2000</v>
      </c>
    </row>
    <row r="44" spans="1:21" ht="43.2" x14ac:dyDescent="0.55000000000000004">
      <c r="A44">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16">
        <f t="shared" si="1"/>
        <v>117.51479289940828</v>
      </c>
      <c r="Q44" t="str">
        <f t="shared" si="4"/>
        <v>film &amp; video</v>
      </c>
      <c r="R44" t="str">
        <f t="shared" si="5"/>
        <v>television</v>
      </c>
      <c r="S44" s="4">
        <f t="shared" si="2"/>
        <v>41971.639189814814</v>
      </c>
      <c r="T44" s="4">
        <f t="shared" si="3"/>
        <v>42001.639189814814</v>
      </c>
      <c r="U44" s="5">
        <f>VLOOKUP(currency,Tables!$A$1:$C$14,3,FALSE)*pledged</f>
        <v>19860</v>
      </c>
    </row>
    <row r="45" spans="1:21" ht="43.2" x14ac:dyDescent="0.55000000000000004">
      <c r="A45">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3.0865999999999998</v>
      </c>
      <c r="P45" s="16">
        <f t="shared" si="1"/>
        <v>117.36121673003802</v>
      </c>
      <c r="Q45" t="str">
        <f t="shared" si="4"/>
        <v>film &amp; video</v>
      </c>
      <c r="R45" t="str">
        <f t="shared" si="5"/>
        <v>television</v>
      </c>
      <c r="S45" s="4">
        <f t="shared" si="2"/>
        <v>41802.790347222224</v>
      </c>
      <c r="T45" s="4">
        <f t="shared" si="3"/>
        <v>41833</v>
      </c>
      <c r="U45" s="5">
        <f>VLOOKUP(currency,Tables!$A$1:$C$14,3,FALSE)*pledged</f>
        <v>30866</v>
      </c>
    </row>
    <row r="46" spans="1:21" ht="43.2" x14ac:dyDescent="0.55000000000000004">
      <c r="A46">
        <v>44</v>
      </c>
      <c r="B46" s="1" t="s">
        <v>46</v>
      </c>
      <c r="C46" s="1" t="s">
        <v>4155</v>
      </c>
      <c r="D46">
        <v>2000</v>
      </c>
      <c r="E46">
        <v>2000</v>
      </c>
      <c r="F46" t="s">
        <v>8219</v>
      </c>
      <c r="G46" t="s">
        <v>8224</v>
      </c>
      <c r="H46" t="s">
        <v>8246</v>
      </c>
      <c r="I46">
        <v>1412648537</v>
      </c>
      <c r="J46">
        <v>1408760537</v>
      </c>
      <c r="K46" t="b">
        <v>0</v>
      </c>
      <c r="L46">
        <v>15</v>
      </c>
      <c r="M46" t="b">
        <v>1</v>
      </c>
      <c r="N46" t="s">
        <v>8265</v>
      </c>
      <c r="O46" s="6">
        <f t="shared" si="0"/>
        <v>1</v>
      </c>
      <c r="P46" s="16">
        <f t="shared" si="1"/>
        <v>133.33333333333334</v>
      </c>
      <c r="Q46" t="str">
        <f t="shared" si="4"/>
        <v>film &amp; video</v>
      </c>
      <c r="R46" t="str">
        <f t="shared" si="5"/>
        <v>television</v>
      </c>
      <c r="S46" s="4">
        <f t="shared" si="2"/>
        <v>41874.098807870374</v>
      </c>
      <c r="T46" s="4">
        <f t="shared" si="3"/>
        <v>41919.098807870374</v>
      </c>
      <c r="U46" s="5">
        <f>VLOOKUP(currency,Tables!$A$1:$C$14,3,FALSE)*pledged</f>
        <v>2000</v>
      </c>
    </row>
    <row r="47" spans="1:21" ht="43.2" x14ac:dyDescent="0.55000000000000004">
      <c r="A47">
        <v>45</v>
      </c>
      <c r="B47" s="1" t="s">
        <v>47</v>
      </c>
      <c r="C47" s="1" t="s">
        <v>4156</v>
      </c>
      <c r="D47">
        <v>5000</v>
      </c>
      <c r="E47">
        <v>6000</v>
      </c>
      <c r="F47" t="s">
        <v>8219</v>
      </c>
      <c r="G47" t="s">
        <v>8224</v>
      </c>
      <c r="H47" t="s">
        <v>8246</v>
      </c>
      <c r="I47">
        <v>1461769107</v>
      </c>
      <c r="J47">
        <v>1459177107</v>
      </c>
      <c r="K47" t="b">
        <v>0</v>
      </c>
      <c r="L47">
        <v>61</v>
      </c>
      <c r="M47" t="b">
        <v>1</v>
      </c>
      <c r="N47" t="s">
        <v>8265</v>
      </c>
      <c r="O47" s="6">
        <f t="shared" si="0"/>
        <v>1.2</v>
      </c>
      <c r="P47" s="16">
        <f t="shared" si="1"/>
        <v>98.360655737704917</v>
      </c>
      <c r="Q47" t="str">
        <f t="shared" si="4"/>
        <v>film &amp; video</v>
      </c>
      <c r="R47" t="str">
        <f t="shared" si="5"/>
        <v>television</v>
      </c>
      <c r="S47" s="4">
        <f t="shared" si="2"/>
        <v>42457.623923611114</v>
      </c>
      <c r="T47" s="4">
        <f t="shared" si="3"/>
        <v>42487.623923611114</v>
      </c>
      <c r="U47" s="5">
        <f>VLOOKUP(currency,Tables!$A$1:$C$14,3,FALSE)*pledged</f>
        <v>6000</v>
      </c>
    </row>
    <row r="48" spans="1:21" ht="43.2" x14ac:dyDescent="0.55000000000000004">
      <c r="A48">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16">
        <f t="shared" si="1"/>
        <v>194.44444444444446</v>
      </c>
      <c r="Q48" t="str">
        <f t="shared" si="4"/>
        <v>film &amp; video</v>
      </c>
      <c r="R48" t="str">
        <f t="shared" si="5"/>
        <v>television</v>
      </c>
      <c r="S48" s="4">
        <f t="shared" si="2"/>
        <v>42323.964976851858</v>
      </c>
      <c r="T48" s="4">
        <f t="shared" si="3"/>
        <v>42353.964976851858</v>
      </c>
      <c r="U48" s="5">
        <f>VLOOKUP(currency,Tables!$A$1:$C$14,3,FALSE)*pledged</f>
        <v>6387.5</v>
      </c>
    </row>
    <row r="49" spans="1:21" ht="43.2" x14ac:dyDescent="0.55000000000000004">
      <c r="A49">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1.0761100000000001</v>
      </c>
      <c r="P49" s="16">
        <f t="shared" si="1"/>
        <v>76.865000000000009</v>
      </c>
      <c r="Q49" t="str">
        <f t="shared" si="4"/>
        <v>film &amp; video</v>
      </c>
      <c r="R49" t="str">
        <f t="shared" si="5"/>
        <v>television</v>
      </c>
      <c r="S49" s="4">
        <f t="shared" si="2"/>
        <v>41932.819525462961</v>
      </c>
      <c r="T49" s="4">
        <f t="shared" si="3"/>
        <v>41992.861192129625</v>
      </c>
      <c r="U49" s="5">
        <f>VLOOKUP(currency,Tables!$A$1:$C$14,3,FALSE)*pledged</f>
        <v>5380.55</v>
      </c>
    </row>
    <row r="50" spans="1:21" ht="43.2" x14ac:dyDescent="0.55000000000000004">
      <c r="A50">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16">
        <f t="shared" si="1"/>
        <v>56.815789473684212</v>
      </c>
      <c r="Q50" t="str">
        <f t="shared" si="4"/>
        <v>film &amp; video</v>
      </c>
      <c r="R50" t="str">
        <f t="shared" si="5"/>
        <v>television</v>
      </c>
      <c r="S50" s="4">
        <f t="shared" si="2"/>
        <v>42033.516898148147</v>
      </c>
      <c r="T50" s="4">
        <f t="shared" si="3"/>
        <v>42064.5</v>
      </c>
      <c r="U50" s="5">
        <f>VLOOKUP(currency,Tables!$A$1:$C$14,3,FALSE)*pledged</f>
        <v>2849.88</v>
      </c>
    </row>
    <row r="51" spans="1:21" x14ac:dyDescent="0.55000000000000004">
      <c r="A51">
        <v>49</v>
      </c>
      <c r="B51" s="1" t="s">
        <v>51</v>
      </c>
      <c r="C51" s="1" t="s">
        <v>4160</v>
      </c>
      <c r="D51">
        <v>12000</v>
      </c>
      <c r="E51">
        <v>12000</v>
      </c>
      <c r="F51" t="s">
        <v>8219</v>
      </c>
      <c r="G51" t="s">
        <v>8224</v>
      </c>
      <c r="H51" t="s">
        <v>8246</v>
      </c>
      <c r="I51">
        <v>1445660045</v>
      </c>
      <c r="J51">
        <v>1443068045</v>
      </c>
      <c r="K51" t="b">
        <v>0</v>
      </c>
      <c r="L51">
        <v>87</v>
      </c>
      <c r="M51" t="b">
        <v>1</v>
      </c>
      <c r="N51" t="s">
        <v>8265</v>
      </c>
      <c r="O51" s="6">
        <f t="shared" si="0"/>
        <v>1</v>
      </c>
      <c r="P51" s="16">
        <f t="shared" si="1"/>
        <v>137.93103448275863</v>
      </c>
      <c r="Q51" t="str">
        <f t="shared" si="4"/>
        <v>film &amp; video</v>
      </c>
      <c r="R51" t="str">
        <f t="shared" si="5"/>
        <v>television</v>
      </c>
      <c r="S51" s="4">
        <f t="shared" si="2"/>
        <v>42271.176446759258</v>
      </c>
      <c r="T51" s="4">
        <f t="shared" si="3"/>
        <v>42301.176446759258</v>
      </c>
      <c r="U51" s="5">
        <f>VLOOKUP(currency,Tables!$A$1:$C$14,3,FALSE)*pledged</f>
        <v>12000</v>
      </c>
    </row>
    <row r="52" spans="1:21" ht="43.2" x14ac:dyDescent="0.55000000000000004">
      <c r="A52">
        <v>50</v>
      </c>
      <c r="B52" s="1" t="s">
        <v>52</v>
      </c>
      <c r="C52" s="1" t="s">
        <v>4161</v>
      </c>
      <c r="D52">
        <v>600</v>
      </c>
      <c r="E52">
        <v>600</v>
      </c>
      <c r="F52" t="s">
        <v>8219</v>
      </c>
      <c r="G52" t="s">
        <v>8225</v>
      </c>
      <c r="H52" t="s">
        <v>8247</v>
      </c>
      <c r="I52">
        <v>1422637200</v>
      </c>
      <c r="J52">
        <v>1419271458</v>
      </c>
      <c r="K52" t="b">
        <v>0</v>
      </c>
      <c r="L52">
        <v>22</v>
      </c>
      <c r="M52" t="b">
        <v>1</v>
      </c>
      <c r="N52" t="s">
        <v>8265</v>
      </c>
      <c r="O52" s="6">
        <f t="shared" si="0"/>
        <v>1</v>
      </c>
      <c r="P52" s="16">
        <f t="shared" si="1"/>
        <v>27.272727272727273</v>
      </c>
      <c r="Q52" t="str">
        <f t="shared" si="4"/>
        <v>film &amp; video</v>
      </c>
      <c r="R52" t="str">
        <f t="shared" si="5"/>
        <v>television</v>
      </c>
      <c r="S52" s="4">
        <f t="shared" si="2"/>
        <v>41995.752986111111</v>
      </c>
      <c r="T52" s="4">
        <f t="shared" si="3"/>
        <v>42034.708333333328</v>
      </c>
      <c r="U52" s="5">
        <f>VLOOKUP(currency,Tables!$A$1:$C$14,3,FALSE)*pledged</f>
        <v>792</v>
      </c>
    </row>
    <row r="53" spans="1:21" ht="43.2" x14ac:dyDescent="0.55000000000000004">
      <c r="A5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1.2801818181818181</v>
      </c>
      <c r="P53" s="16">
        <f t="shared" si="1"/>
        <v>118.33613445378151</v>
      </c>
      <c r="Q53" t="str">
        <f t="shared" si="4"/>
        <v>film &amp; video</v>
      </c>
      <c r="R53" t="str">
        <f t="shared" si="5"/>
        <v>television</v>
      </c>
      <c r="S53" s="4">
        <f t="shared" si="2"/>
        <v>42196.928668981483</v>
      </c>
      <c r="T53" s="4">
        <f t="shared" si="3"/>
        <v>42226.928668981483</v>
      </c>
      <c r="U53" s="5">
        <f>VLOOKUP(currency,Tables!$A$1:$C$14,3,FALSE)*pledged</f>
        <v>14082</v>
      </c>
    </row>
    <row r="54" spans="1:21" ht="43.2" x14ac:dyDescent="0.55000000000000004">
      <c r="A54">
        <v>52</v>
      </c>
      <c r="B54" s="1" t="s">
        <v>54</v>
      </c>
      <c r="C54" s="1" t="s">
        <v>4163</v>
      </c>
      <c r="D54">
        <v>10000</v>
      </c>
      <c r="E54">
        <v>11621</v>
      </c>
      <c r="F54" t="s">
        <v>8219</v>
      </c>
      <c r="G54" t="s">
        <v>8224</v>
      </c>
      <c r="H54" t="s">
        <v>8246</v>
      </c>
      <c r="I54">
        <v>1405615846</v>
      </c>
      <c r="J54">
        <v>1403023846</v>
      </c>
      <c r="K54" t="b">
        <v>0</v>
      </c>
      <c r="L54">
        <v>52</v>
      </c>
      <c r="M54" t="b">
        <v>1</v>
      </c>
      <c r="N54" t="s">
        <v>8265</v>
      </c>
      <c r="O54" s="6">
        <f t="shared" si="0"/>
        <v>1.1620999999999999</v>
      </c>
      <c r="P54" s="16">
        <f t="shared" si="1"/>
        <v>223.48076923076923</v>
      </c>
      <c r="Q54" t="str">
        <f t="shared" si="4"/>
        <v>film &amp; video</v>
      </c>
      <c r="R54" t="str">
        <f t="shared" si="5"/>
        <v>television</v>
      </c>
      <c r="S54" s="4">
        <f t="shared" si="2"/>
        <v>41807.701921296299</v>
      </c>
      <c r="T54" s="4">
        <f t="shared" si="3"/>
        <v>41837.701921296299</v>
      </c>
      <c r="U54" s="5">
        <f>VLOOKUP(currency,Tables!$A$1:$C$14,3,FALSE)*pledged</f>
        <v>11621</v>
      </c>
    </row>
    <row r="55" spans="1:21" ht="28.8" x14ac:dyDescent="0.55000000000000004">
      <c r="A55">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16">
        <f t="shared" si="1"/>
        <v>28.111111111111111</v>
      </c>
      <c r="Q55" t="str">
        <f t="shared" si="4"/>
        <v>film &amp; video</v>
      </c>
      <c r="R55" t="str">
        <f t="shared" si="5"/>
        <v>television</v>
      </c>
      <c r="S55" s="4">
        <f t="shared" si="2"/>
        <v>41719.549131944441</v>
      </c>
      <c r="T55" s="4">
        <f t="shared" si="3"/>
        <v>41733.916666666664</v>
      </c>
      <c r="U55" s="5">
        <f>VLOOKUP(currency,Tables!$A$1:$C$14,3,FALSE)*pledged</f>
        <v>3289</v>
      </c>
    </row>
    <row r="56" spans="1:21" ht="43.2" x14ac:dyDescent="0.55000000000000004">
      <c r="A56">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16">
        <f t="shared" si="1"/>
        <v>194.23076923076923</v>
      </c>
      <c r="Q56" t="str">
        <f t="shared" si="4"/>
        <v>film &amp; video</v>
      </c>
      <c r="R56" t="str">
        <f t="shared" si="5"/>
        <v>television</v>
      </c>
      <c r="S56" s="4">
        <f t="shared" si="2"/>
        <v>42333.713206018518</v>
      </c>
      <c r="T56" s="4">
        <f t="shared" si="3"/>
        <v>42363.713206018518</v>
      </c>
      <c r="U56" s="5">
        <f>VLOOKUP(currency,Tables!$A$1:$C$14,3,FALSE)*pledged</f>
        <v>10100</v>
      </c>
    </row>
    <row r="57" spans="1:21" ht="43.2" x14ac:dyDescent="0.55000000000000004">
      <c r="A57">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1.2895348837209302</v>
      </c>
      <c r="P57" s="16">
        <f t="shared" si="1"/>
        <v>128.95348837209303</v>
      </c>
      <c r="Q57" t="str">
        <f t="shared" si="4"/>
        <v>film &amp; video</v>
      </c>
      <c r="R57" t="str">
        <f t="shared" si="5"/>
        <v>television</v>
      </c>
      <c r="S57" s="4">
        <f t="shared" si="2"/>
        <v>42496.968935185185</v>
      </c>
      <c r="T57" s="4">
        <f t="shared" si="3"/>
        <v>42517.968935185185</v>
      </c>
      <c r="U57" s="5">
        <f>VLOOKUP(currency,Tables!$A$1:$C$14,3,FALSE)*pledged</f>
        <v>11090</v>
      </c>
    </row>
    <row r="58" spans="1:21" ht="28.8" x14ac:dyDescent="0.55000000000000004">
      <c r="A58">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16">
        <f t="shared" si="1"/>
        <v>49.316091954022987</v>
      </c>
      <c r="Q58" t="str">
        <f t="shared" si="4"/>
        <v>film &amp; video</v>
      </c>
      <c r="R58" t="str">
        <f t="shared" si="5"/>
        <v>television</v>
      </c>
      <c r="S58" s="4">
        <f t="shared" si="2"/>
        <v>42149.548888888887</v>
      </c>
      <c r="T58" s="4">
        <f t="shared" si="3"/>
        <v>42163.666666666672</v>
      </c>
      <c r="U58" s="5">
        <f>VLOOKUP(currency,Tables!$A$1:$C$14,3,FALSE)*pledged</f>
        <v>11326.92</v>
      </c>
    </row>
    <row r="59" spans="1:21" ht="43.2" x14ac:dyDescent="0.55000000000000004">
      <c r="A59">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16">
        <f t="shared" si="1"/>
        <v>221.52173913043478</v>
      </c>
      <c r="Q59" t="str">
        <f t="shared" si="4"/>
        <v>film &amp; video</v>
      </c>
      <c r="R59" t="str">
        <f t="shared" si="5"/>
        <v>television</v>
      </c>
      <c r="S59" s="4">
        <f t="shared" si="2"/>
        <v>42089.83289351852</v>
      </c>
      <c r="T59" s="4">
        <f t="shared" si="3"/>
        <v>42119.83289351852</v>
      </c>
      <c r="U59" s="5">
        <f>VLOOKUP(currency,Tables!$A$1:$C$14,3,FALSE)*pledged</f>
        <v>15285</v>
      </c>
    </row>
    <row r="60" spans="1:21" ht="43.2" x14ac:dyDescent="0.55000000000000004">
      <c r="A60">
        <v>58</v>
      </c>
      <c r="B60" s="1" t="s">
        <v>60</v>
      </c>
      <c r="C60" s="1" t="s">
        <v>4169</v>
      </c>
      <c r="D60">
        <v>10000</v>
      </c>
      <c r="E60">
        <v>10291</v>
      </c>
      <c r="F60" t="s">
        <v>8219</v>
      </c>
      <c r="G60" t="s">
        <v>8224</v>
      </c>
      <c r="H60" t="s">
        <v>8246</v>
      </c>
      <c r="I60">
        <v>1416423172</v>
      </c>
      <c r="J60">
        <v>1413827572</v>
      </c>
      <c r="K60" t="b">
        <v>0</v>
      </c>
      <c r="L60">
        <v>75</v>
      </c>
      <c r="M60" t="b">
        <v>1</v>
      </c>
      <c r="N60" t="s">
        <v>8265</v>
      </c>
      <c r="O60" s="6">
        <f t="shared" si="0"/>
        <v>1.0290999999999999</v>
      </c>
      <c r="P60" s="16">
        <f t="shared" si="1"/>
        <v>137.21333333333334</v>
      </c>
      <c r="Q60" t="str">
        <f t="shared" si="4"/>
        <v>film &amp; video</v>
      </c>
      <c r="R60" t="str">
        <f t="shared" si="5"/>
        <v>television</v>
      </c>
      <c r="S60" s="4">
        <f t="shared" si="2"/>
        <v>41932.745046296295</v>
      </c>
      <c r="T60" s="4">
        <f t="shared" si="3"/>
        <v>41962.786712962959</v>
      </c>
      <c r="U60" s="5">
        <f>VLOOKUP(currency,Tables!$A$1:$C$14,3,FALSE)*pledged</f>
        <v>10291</v>
      </c>
    </row>
    <row r="61" spans="1:21" ht="43.2" x14ac:dyDescent="0.55000000000000004">
      <c r="A61">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16">
        <f t="shared" si="1"/>
        <v>606.82242424242418</v>
      </c>
      <c r="Q61" t="str">
        <f t="shared" si="4"/>
        <v>film &amp; video</v>
      </c>
      <c r="R61" t="str">
        <f t="shared" si="5"/>
        <v>television</v>
      </c>
      <c r="S61" s="4">
        <f t="shared" si="2"/>
        <v>42230.23583333334</v>
      </c>
      <c r="T61" s="4">
        <f t="shared" si="3"/>
        <v>42261.875</v>
      </c>
      <c r="U61" s="5">
        <f>VLOOKUP(currency,Tables!$A$1:$C$14,3,FALSE)*pledged</f>
        <v>20025.14</v>
      </c>
    </row>
    <row r="62" spans="1:21" ht="43.2" x14ac:dyDescent="0.55000000000000004">
      <c r="A62">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16">
        <f t="shared" si="1"/>
        <v>43.040092592592593</v>
      </c>
      <c r="Q62" t="str">
        <f t="shared" si="4"/>
        <v>film &amp; video</v>
      </c>
      <c r="R62" t="str">
        <f t="shared" si="5"/>
        <v>shorts</v>
      </c>
      <c r="S62" s="4">
        <f t="shared" si="2"/>
        <v>41701.901817129627</v>
      </c>
      <c r="T62" s="4">
        <f t="shared" si="3"/>
        <v>41721</v>
      </c>
      <c r="U62" s="5">
        <f>VLOOKUP(currency,Tables!$A$1:$C$14,3,FALSE)*pledged</f>
        <v>6135.7956000000004</v>
      </c>
    </row>
    <row r="63" spans="1:21" ht="43.2" x14ac:dyDescent="0.55000000000000004">
      <c r="A6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16">
        <f t="shared" si="1"/>
        <v>322.39130434782606</v>
      </c>
      <c r="Q63" t="str">
        <f t="shared" si="4"/>
        <v>film &amp; video</v>
      </c>
      <c r="R63" t="str">
        <f t="shared" si="5"/>
        <v>shorts</v>
      </c>
      <c r="S63" s="4">
        <f t="shared" si="2"/>
        <v>41409.814317129632</v>
      </c>
      <c r="T63" s="4">
        <f t="shared" si="3"/>
        <v>41431.814317129632</v>
      </c>
      <c r="U63" s="5">
        <f>VLOOKUP(currency,Tables!$A$1:$C$14,3,FALSE)*pledged</f>
        <v>7415</v>
      </c>
    </row>
    <row r="64" spans="1:21" ht="43.2" x14ac:dyDescent="0.55000000000000004">
      <c r="A64">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16">
        <f t="shared" si="1"/>
        <v>96.708333333333329</v>
      </c>
      <c r="Q64" t="str">
        <f t="shared" si="4"/>
        <v>film &amp; video</v>
      </c>
      <c r="R64" t="str">
        <f t="shared" si="5"/>
        <v>shorts</v>
      </c>
      <c r="S64" s="4">
        <f t="shared" si="2"/>
        <v>41311.799513888887</v>
      </c>
      <c r="T64" s="4">
        <f t="shared" si="3"/>
        <v>41336.799513888887</v>
      </c>
      <c r="U64" s="5">
        <f>VLOOKUP(currency,Tables!$A$1:$C$14,3,FALSE)*pledged</f>
        <v>4642</v>
      </c>
    </row>
    <row r="65" spans="1:21" ht="43.2" x14ac:dyDescent="0.55000000000000004">
      <c r="A65">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16">
        <f t="shared" si="1"/>
        <v>35.474531249999998</v>
      </c>
      <c r="Q65" t="str">
        <f t="shared" si="4"/>
        <v>film &amp; video</v>
      </c>
      <c r="R65" t="str">
        <f t="shared" si="5"/>
        <v>shorts</v>
      </c>
      <c r="S65" s="4">
        <f t="shared" si="2"/>
        <v>41612.912187499998</v>
      </c>
      <c r="T65" s="4">
        <f t="shared" si="3"/>
        <v>41636.207638888889</v>
      </c>
      <c r="U65" s="5">
        <f>VLOOKUP(currency,Tables!$A$1:$C$14,3,FALSE)*pledged</f>
        <v>2270.37</v>
      </c>
    </row>
    <row r="66" spans="1:21" ht="43.2" x14ac:dyDescent="0.55000000000000004">
      <c r="A66">
        <v>64</v>
      </c>
      <c r="B66" s="1" t="s">
        <v>66</v>
      </c>
      <c r="C66" s="1" t="s">
        <v>4175</v>
      </c>
      <c r="D66">
        <v>1200</v>
      </c>
      <c r="E66">
        <v>2080</v>
      </c>
      <c r="F66" t="s">
        <v>8219</v>
      </c>
      <c r="G66" t="s">
        <v>8224</v>
      </c>
      <c r="H66" t="s">
        <v>8246</v>
      </c>
      <c r="I66">
        <v>1373243181</v>
      </c>
      <c r="J66">
        <v>1370651181</v>
      </c>
      <c r="K66" t="b">
        <v>0</v>
      </c>
      <c r="L66">
        <v>24</v>
      </c>
      <c r="M66" t="b">
        <v>1</v>
      </c>
      <c r="N66" t="s">
        <v>8266</v>
      </c>
      <c r="O66" s="6">
        <f t="shared" ref="O66:O129" si="6">pledged/goal</f>
        <v>1.7333333333333334</v>
      </c>
      <c r="P66" s="16">
        <f t="shared" ref="P66:P129" si="7">IF(pledged=0,0,pledged/backers_count)</f>
        <v>86.666666666666671</v>
      </c>
      <c r="Q66" t="str">
        <f t="shared" si="4"/>
        <v>film &amp; video</v>
      </c>
      <c r="R66" t="str">
        <f t="shared" si="5"/>
        <v>shorts</v>
      </c>
      <c r="S66" s="4">
        <f t="shared" ref="S66:S129" si="8">(((Unix_launched_date/60)/60)/24)+DATE(1970,1,1)</f>
        <v>41433.01829861111</v>
      </c>
      <c r="T66" s="4">
        <f t="shared" ref="T66:T129" si="9">(((Unix_deadline/60)/60)/24)+DATE(1970,1,1)</f>
        <v>41463.01829861111</v>
      </c>
      <c r="U66" s="5">
        <f>VLOOKUP(currency,Tables!$A$1:$C$14,3,FALSE)*pledged</f>
        <v>2080</v>
      </c>
    </row>
    <row r="67" spans="1:21" ht="28.8" x14ac:dyDescent="0.55000000000000004">
      <c r="A67">
        <v>65</v>
      </c>
      <c r="B67" s="1" t="s">
        <v>67</v>
      </c>
      <c r="C67" s="1" t="s">
        <v>4176</v>
      </c>
      <c r="D67">
        <v>7000</v>
      </c>
      <c r="E67">
        <v>7527</v>
      </c>
      <c r="F67" t="s">
        <v>8219</v>
      </c>
      <c r="G67" t="s">
        <v>8229</v>
      </c>
      <c r="H67" t="s">
        <v>8251</v>
      </c>
      <c r="I67">
        <v>1407736740</v>
      </c>
      <c r="J67">
        <v>1405453354</v>
      </c>
      <c r="K67" t="b">
        <v>0</v>
      </c>
      <c r="L67">
        <v>57</v>
      </c>
      <c r="M67" t="b">
        <v>1</v>
      </c>
      <c r="N67" t="s">
        <v>8266</v>
      </c>
      <c r="O67" s="6">
        <f t="shared" si="6"/>
        <v>1.0752857142857142</v>
      </c>
      <c r="P67" s="16">
        <f t="shared" si="7"/>
        <v>132.05263157894737</v>
      </c>
      <c r="Q67" t="str">
        <f t="shared" ref="Q67:Q130" si="10">LEFT(N67,FIND("/",N67,1)-1)</f>
        <v>film &amp; video</v>
      </c>
      <c r="R67" t="str">
        <f t="shared" ref="R67:R130" si="11">RIGHT(N67,(LEN(N67)-FIND("/",N67,1)))</f>
        <v>shorts</v>
      </c>
      <c r="S67" s="4">
        <f t="shared" si="8"/>
        <v>41835.821226851855</v>
      </c>
      <c r="T67" s="4">
        <f t="shared" si="9"/>
        <v>41862.249305555553</v>
      </c>
      <c r="U67" s="5">
        <f>VLOOKUP(currency,Tables!$A$1:$C$14,3,FALSE)*pledged</f>
        <v>5720.52</v>
      </c>
    </row>
    <row r="68" spans="1:21" ht="28.8" x14ac:dyDescent="0.55000000000000004">
      <c r="A68">
        <v>66</v>
      </c>
      <c r="B68" s="1" t="s">
        <v>68</v>
      </c>
      <c r="C68" s="1" t="s">
        <v>4177</v>
      </c>
      <c r="D68">
        <v>2000</v>
      </c>
      <c r="E68">
        <v>2372</v>
      </c>
      <c r="F68" t="s">
        <v>8219</v>
      </c>
      <c r="G68" t="s">
        <v>8224</v>
      </c>
      <c r="H68" t="s">
        <v>8246</v>
      </c>
      <c r="I68">
        <v>1468873420</v>
      </c>
      <c r="J68">
        <v>1466281420</v>
      </c>
      <c r="K68" t="b">
        <v>0</v>
      </c>
      <c r="L68">
        <v>26</v>
      </c>
      <c r="M68" t="b">
        <v>1</v>
      </c>
      <c r="N68" t="s">
        <v>8266</v>
      </c>
      <c r="O68" s="6">
        <f t="shared" si="6"/>
        <v>1.1859999999999999</v>
      </c>
      <c r="P68" s="16">
        <f t="shared" si="7"/>
        <v>91.230769230769226</v>
      </c>
      <c r="Q68" t="str">
        <f t="shared" si="10"/>
        <v>film &amp; video</v>
      </c>
      <c r="R68" t="str">
        <f t="shared" si="11"/>
        <v>shorts</v>
      </c>
      <c r="S68" s="4">
        <f t="shared" si="8"/>
        <v>42539.849768518514</v>
      </c>
      <c r="T68" s="4">
        <f t="shared" si="9"/>
        <v>42569.849768518514</v>
      </c>
      <c r="U68" s="5">
        <f>VLOOKUP(currency,Tables!$A$1:$C$14,3,FALSE)*pledged</f>
        <v>2372</v>
      </c>
    </row>
    <row r="69" spans="1:21" ht="43.2" x14ac:dyDescent="0.55000000000000004">
      <c r="A69">
        <v>67</v>
      </c>
      <c r="B69" s="1" t="s">
        <v>69</v>
      </c>
      <c r="C69" s="1" t="s">
        <v>4178</v>
      </c>
      <c r="D69">
        <v>2000</v>
      </c>
      <c r="E69">
        <v>2325</v>
      </c>
      <c r="F69" t="s">
        <v>8219</v>
      </c>
      <c r="G69" t="s">
        <v>8224</v>
      </c>
      <c r="H69" t="s">
        <v>8246</v>
      </c>
      <c r="I69">
        <v>1342360804</v>
      </c>
      <c r="J69">
        <v>1339768804</v>
      </c>
      <c r="K69" t="b">
        <v>0</v>
      </c>
      <c r="L69">
        <v>20</v>
      </c>
      <c r="M69" t="b">
        <v>1</v>
      </c>
      <c r="N69" t="s">
        <v>8266</v>
      </c>
      <c r="O69" s="6">
        <f t="shared" si="6"/>
        <v>1.1625000000000001</v>
      </c>
      <c r="P69" s="16">
        <f t="shared" si="7"/>
        <v>116.25</v>
      </c>
      <c r="Q69" t="str">
        <f t="shared" si="10"/>
        <v>film &amp; video</v>
      </c>
      <c r="R69" t="str">
        <f t="shared" si="11"/>
        <v>shorts</v>
      </c>
      <c r="S69" s="4">
        <f t="shared" si="8"/>
        <v>41075.583379629628</v>
      </c>
      <c r="T69" s="4">
        <f t="shared" si="9"/>
        <v>41105.583379629628</v>
      </c>
      <c r="U69" s="5">
        <f>VLOOKUP(currency,Tables!$A$1:$C$14,3,FALSE)*pledged</f>
        <v>2325</v>
      </c>
    </row>
    <row r="70" spans="1:21" ht="57.6" x14ac:dyDescent="0.55000000000000004">
      <c r="A70">
        <v>68</v>
      </c>
      <c r="B70" s="1" t="s">
        <v>70</v>
      </c>
      <c r="C70" s="1" t="s">
        <v>4179</v>
      </c>
      <c r="D70">
        <v>600</v>
      </c>
      <c r="E70">
        <v>763</v>
      </c>
      <c r="F70" t="s">
        <v>8219</v>
      </c>
      <c r="G70" t="s">
        <v>8225</v>
      </c>
      <c r="H70" t="s">
        <v>8247</v>
      </c>
      <c r="I70">
        <v>1393162791</v>
      </c>
      <c r="J70">
        <v>1390570791</v>
      </c>
      <c r="K70" t="b">
        <v>0</v>
      </c>
      <c r="L70">
        <v>36</v>
      </c>
      <c r="M70" t="b">
        <v>1</v>
      </c>
      <c r="N70" t="s">
        <v>8266</v>
      </c>
      <c r="O70" s="6">
        <f t="shared" si="6"/>
        <v>1.2716666666666667</v>
      </c>
      <c r="P70" s="16">
        <f t="shared" si="7"/>
        <v>21.194444444444443</v>
      </c>
      <c r="Q70" t="str">
        <f t="shared" si="10"/>
        <v>film &amp; video</v>
      </c>
      <c r="R70" t="str">
        <f t="shared" si="11"/>
        <v>shorts</v>
      </c>
      <c r="S70" s="4">
        <f t="shared" si="8"/>
        <v>41663.569340277776</v>
      </c>
      <c r="T70" s="4">
        <f t="shared" si="9"/>
        <v>41693.569340277776</v>
      </c>
      <c r="U70" s="5">
        <f>VLOOKUP(currency,Tables!$A$1:$C$14,3,FALSE)*pledged</f>
        <v>1007.1600000000001</v>
      </c>
    </row>
    <row r="71" spans="1:21" ht="43.2" x14ac:dyDescent="0.55000000000000004">
      <c r="A71">
        <v>69</v>
      </c>
      <c r="B71" s="1" t="s">
        <v>71</v>
      </c>
      <c r="C71" s="1" t="s">
        <v>4180</v>
      </c>
      <c r="D71">
        <v>10000</v>
      </c>
      <c r="E71">
        <v>11094.23</v>
      </c>
      <c r="F71" t="s">
        <v>8219</v>
      </c>
      <c r="G71" t="s">
        <v>8224</v>
      </c>
      <c r="H71" t="s">
        <v>8246</v>
      </c>
      <c r="I71">
        <v>1317538740</v>
      </c>
      <c r="J71">
        <v>1314765025</v>
      </c>
      <c r="K71" t="b">
        <v>0</v>
      </c>
      <c r="L71">
        <v>178</v>
      </c>
      <c r="M71" t="b">
        <v>1</v>
      </c>
      <c r="N71" t="s">
        <v>8266</v>
      </c>
      <c r="O71" s="6">
        <f t="shared" si="6"/>
        <v>1.109423</v>
      </c>
      <c r="P71" s="16">
        <f t="shared" si="7"/>
        <v>62.327134831460668</v>
      </c>
      <c r="Q71" t="str">
        <f t="shared" si="10"/>
        <v>film &amp; video</v>
      </c>
      <c r="R71" t="str">
        <f t="shared" si="11"/>
        <v>shorts</v>
      </c>
      <c r="S71" s="4">
        <f t="shared" si="8"/>
        <v>40786.187789351854</v>
      </c>
      <c r="T71" s="4">
        <f t="shared" si="9"/>
        <v>40818.290972222225</v>
      </c>
      <c r="U71" s="5">
        <f>VLOOKUP(currency,Tables!$A$1:$C$14,3,FALSE)*pledged</f>
        <v>11094.23</v>
      </c>
    </row>
    <row r="72" spans="1:21" ht="43.2" x14ac:dyDescent="0.55000000000000004">
      <c r="A72">
        <v>70</v>
      </c>
      <c r="B72" s="1" t="s">
        <v>72</v>
      </c>
      <c r="C72" s="1" t="s">
        <v>4181</v>
      </c>
      <c r="D72">
        <v>500</v>
      </c>
      <c r="E72">
        <v>636</v>
      </c>
      <c r="F72" t="s">
        <v>8219</v>
      </c>
      <c r="G72" t="s">
        <v>8224</v>
      </c>
      <c r="H72" t="s">
        <v>8246</v>
      </c>
      <c r="I72">
        <v>1315171845</v>
      </c>
      <c r="J72">
        <v>1309987845</v>
      </c>
      <c r="K72" t="b">
        <v>0</v>
      </c>
      <c r="L72">
        <v>17</v>
      </c>
      <c r="M72" t="b">
        <v>1</v>
      </c>
      <c r="N72" t="s">
        <v>8266</v>
      </c>
      <c r="O72" s="6">
        <f t="shared" si="6"/>
        <v>1.272</v>
      </c>
      <c r="P72" s="16">
        <f t="shared" si="7"/>
        <v>37.411764705882355</v>
      </c>
      <c r="Q72" t="str">
        <f t="shared" si="10"/>
        <v>film &amp; video</v>
      </c>
      <c r="R72" t="str">
        <f t="shared" si="11"/>
        <v>shorts</v>
      </c>
      <c r="S72" s="4">
        <f t="shared" si="8"/>
        <v>40730.896354166667</v>
      </c>
      <c r="T72" s="4">
        <f t="shared" si="9"/>
        <v>40790.896354166667</v>
      </c>
      <c r="U72" s="5">
        <f>VLOOKUP(currency,Tables!$A$1:$C$14,3,FALSE)*pledged</f>
        <v>636</v>
      </c>
    </row>
    <row r="73" spans="1:21" ht="43.2" x14ac:dyDescent="0.55000000000000004">
      <c r="A73">
        <v>71</v>
      </c>
      <c r="B73" s="1" t="s">
        <v>73</v>
      </c>
      <c r="C73" s="1" t="s">
        <v>4182</v>
      </c>
      <c r="D73">
        <v>1800</v>
      </c>
      <c r="E73">
        <v>2231</v>
      </c>
      <c r="F73" t="s">
        <v>8219</v>
      </c>
      <c r="G73" t="s">
        <v>8224</v>
      </c>
      <c r="H73" t="s">
        <v>8246</v>
      </c>
      <c r="I73">
        <v>1338186657</v>
      </c>
      <c r="J73">
        <v>1333002657</v>
      </c>
      <c r="K73" t="b">
        <v>0</v>
      </c>
      <c r="L73">
        <v>32</v>
      </c>
      <c r="M73" t="b">
        <v>1</v>
      </c>
      <c r="N73" t="s">
        <v>8266</v>
      </c>
      <c r="O73" s="6">
        <f t="shared" si="6"/>
        <v>1.2394444444444443</v>
      </c>
      <c r="P73" s="16">
        <f t="shared" si="7"/>
        <v>69.71875</v>
      </c>
      <c r="Q73" t="str">
        <f t="shared" si="10"/>
        <v>film &amp; video</v>
      </c>
      <c r="R73" t="str">
        <f t="shared" si="11"/>
        <v>shorts</v>
      </c>
      <c r="S73" s="4">
        <f t="shared" si="8"/>
        <v>40997.271493055552</v>
      </c>
      <c r="T73" s="4">
        <f t="shared" si="9"/>
        <v>41057.271493055552</v>
      </c>
      <c r="U73" s="5">
        <f>VLOOKUP(currency,Tables!$A$1:$C$14,3,FALSE)*pledged</f>
        <v>2231</v>
      </c>
    </row>
    <row r="74" spans="1:21" ht="43.2" x14ac:dyDescent="0.55000000000000004">
      <c r="A74">
        <v>72</v>
      </c>
      <c r="B74" s="1" t="s">
        <v>74</v>
      </c>
      <c r="C74" s="1" t="s">
        <v>4183</v>
      </c>
      <c r="D74">
        <v>2200</v>
      </c>
      <c r="E74">
        <v>2385</v>
      </c>
      <c r="F74" t="s">
        <v>8219</v>
      </c>
      <c r="G74" t="s">
        <v>8224</v>
      </c>
      <c r="H74" t="s">
        <v>8246</v>
      </c>
      <c r="I74">
        <v>1352937600</v>
      </c>
      <c r="J74">
        <v>1351210481</v>
      </c>
      <c r="K74" t="b">
        <v>0</v>
      </c>
      <c r="L74">
        <v>41</v>
      </c>
      <c r="M74" t="b">
        <v>1</v>
      </c>
      <c r="N74" t="s">
        <v>8266</v>
      </c>
      <c r="O74" s="6">
        <f t="shared" si="6"/>
        <v>1.084090909090909</v>
      </c>
      <c r="P74" s="16">
        <f t="shared" si="7"/>
        <v>58.170731707317074</v>
      </c>
      <c r="Q74" t="str">
        <f t="shared" si="10"/>
        <v>film &amp; video</v>
      </c>
      <c r="R74" t="str">
        <f t="shared" si="11"/>
        <v>shorts</v>
      </c>
      <c r="S74" s="4">
        <f t="shared" si="8"/>
        <v>41208.010196759256</v>
      </c>
      <c r="T74" s="4">
        <f t="shared" si="9"/>
        <v>41228</v>
      </c>
      <c r="U74" s="5">
        <f>VLOOKUP(currency,Tables!$A$1:$C$14,3,FALSE)*pledged</f>
        <v>2385</v>
      </c>
    </row>
    <row r="75" spans="1:21" ht="43.2" x14ac:dyDescent="0.55000000000000004">
      <c r="A75">
        <v>73</v>
      </c>
      <c r="B75" s="1" t="s">
        <v>75</v>
      </c>
      <c r="C75" s="1" t="s">
        <v>4184</v>
      </c>
      <c r="D75">
        <v>900</v>
      </c>
      <c r="E75">
        <v>900</v>
      </c>
      <c r="F75" t="s">
        <v>8219</v>
      </c>
      <c r="G75" t="s">
        <v>8224</v>
      </c>
      <c r="H75" t="s">
        <v>8246</v>
      </c>
      <c r="I75">
        <v>1304395140</v>
      </c>
      <c r="J75">
        <v>1297620584</v>
      </c>
      <c r="K75" t="b">
        <v>0</v>
      </c>
      <c r="L75">
        <v>18</v>
      </c>
      <c r="M75" t="b">
        <v>1</v>
      </c>
      <c r="N75" t="s">
        <v>8266</v>
      </c>
      <c r="O75" s="6">
        <f t="shared" si="6"/>
        <v>1</v>
      </c>
      <c r="P75" s="16">
        <f t="shared" si="7"/>
        <v>50</v>
      </c>
      <c r="Q75" t="str">
        <f t="shared" si="10"/>
        <v>film &amp; video</v>
      </c>
      <c r="R75" t="str">
        <f t="shared" si="11"/>
        <v>shorts</v>
      </c>
      <c r="S75" s="4">
        <f t="shared" si="8"/>
        <v>40587.75675925926</v>
      </c>
      <c r="T75" s="4">
        <f t="shared" si="9"/>
        <v>40666.165972222225</v>
      </c>
      <c r="U75" s="5">
        <f>VLOOKUP(currency,Tables!$A$1:$C$14,3,FALSE)*pledged</f>
        <v>900</v>
      </c>
    </row>
    <row r="76" spans="1:21" ht="43.2" x14ac:dyDescent="0.55000000000000004">
      <c r="A76">
        <v>74</v>
      </c>
      <c r="B76" s="1" t="s">
        <v>76</v>
      </c>
      <c r="C76" s="1" t="s">
        <v>4185</v>
      </c>
      <c r="D76">
        <v>500</v>
      </c>
      <c r="E76">
        <v>564.66</v>
      </c>
      <c r="F76" t="s">
        <v>8219</v>
      </c>
      <c r="G76" t="s">
        <v>8230</v>
      </c>
      <c r="H76" t="s">
        <v>8249</v>
      </c>
      <c r="I76">
        <v>1453376495</v>
      </c>
      <c r="J76">
        <v>1450784495</v>
      </c>
      <c r="K76" t="b">
        <v>0</v>
      </c>
      <c r="L76">
        <v>29</v>
      </c>
      <c r="M76" t="b">
        <v>1</v>
      </c>
      <c r="N76" t="s">
        <v>8266</v>
      </c>
      <c r="O76" s="6">
        <f t="shared" si="6"/>
        <v>1.1293199999999999</v>
      </c>
      <c r="P76" s="16">
        <f t="shared" si="7"/>
        <v>19.471034482758618</v>
      </c>
      <c r="Q76" t="str">
        <f t="shared" si="10"/>
        <v>film &amp; video</v>
      </c>
      <c r="R76" t="str">
        <f t="shared" si="11"/>
        <v>shorts</v>
      </c>
      <c r="S76" s="4">
        <f t="shared" si="8"/>
        <v>42360.487210648149</v>
      </c>
      <c r="T76" s="4">
        <f t="shared" si="9"/>
        <v>42390.487210648149</v>
      </c>
      <c r="U76" s="5">
        <f>VLOOKUP(currency,Tables!$A$1:$C$14,3,FALSE)*pledged</f>
        <v>666.29879999999991</v>
      </c>
    </row>
    <row r="77" spans="1:21" ht="43.2" x14ac:dyDescent="0.55000000000000004">
      <c r="A77">
        <v>75</v>
      </c>
      <c r="B77" s="1" t="s">
        <v>77</v>
      </c>
      <c r="C77" s="1" t="s">
        <v>4186</v>
      </c>
      <c r="D77">
        <v>3500</v>
      </c>
      <c r="E77">
        <v>4040</v>
      </c>
      <c r="F77" t="s">
        <v>8219</v>
      </c>
      <c r="G77" t="s">
        <v>8224</v>
      </c>
      <c r="H77" t="s">
        <v>8246</v>
      </c>
      <c r="I77">
        <v>1366693272</v>
      </c>
      <c r="J77">
        <v>1364101272</v>
      </c>
      <c r="K77" t="b">
        <v>0</v>
      </c>
      <c r="L77">
        <v>47</v>
      </c>
      <c r="M77" t="b">
        <v>1</v>
      </c>
      <c r="N77" t="s">
        <v>8266</v>
      </c>
      <c r="O77" s="6">
        <f t="shared" si="6"/>
        <v>1.1542857142857144</v>
      </c>
      <c r="P77" s="16">
        <f t="shared" si="7"/>
        <v>85.957446808510639</v>
      </c>
      <c r="Q77" t="str">
        <f t="shared" si="10"/>
        <v>film &amp; video</v>
      </c>
      <c r="R77" t="str">
        <f t="shared" si="11"/>
        <v>shorts</v>
      </c>
      <c r="S77" s="4">
        <f t="shared" si="8"/>
        <v>41357.209166666667</v>
      </c>
      <c r="T77" s="4">
        <f t="shared" si="9"/>
        <v>41387.209166666667</v>
      </c>
      <c r="U77" s="5">
        <f>VLOOKUP(currency,Tables!$A$1:$C$14,3,FALSE)*pledged</f>
        <v>4040</v>
      </c>
    </row>
    <row r="78" spans="1:21" ht="43.2" x14ac:dyDescent="0.55000000000000004">
      <c r="A78">
        <v>76</v>
      </c>
      <c r="B78" s="1" t="s">
        <v>78</v>
      </c>
      <c r="C78" s="1" t="s">
        <v>4187</v>
      </c>
      <c r="D78">
        <v>300</v>
      </c>
      <c r="E78">
        <v>460</v>
      </c>
      <c r="F78" t="s">
        <v>8219</v>
      </c>
      <c r="G78" t="s">
        <v>8224</v>
      </c>
      <c r="H78" t="s">
        <v>8246</v>
      </c>
      <c r="I78">
        <v>1325007358</v>
      </c>
      <c r="J78">
        <v>1319819758</v>
      </c>
      <c r="K78" t="b">
        <v>0</v>
      </c>
      <c r="L78">
        <v>15</v>
      </c>
      <c r="M78" t="b">
        <v>1</v>
      </c>
      <c r="N78" t="s">
        <v>8266</v>
      </c>
      <c r="O78" s="6">
        <f t="shared" si="6"/>
        <v>1.5333333333333334</v>
      </c>
      <c r="P78" s="16">
        <f t="shared" si="7"/>
        <v>30.666666666666668</v>
      </c>
      <c r="Q78" t="str">
        <f t="shared" si="10"/>
        <v>film &amp; video</v>
      </c>
      <c r="R78" t="str">
        <f t="shared" si="11"/>
        <v>shorts</v>
      </c>
      <c r="S78" s="4">
        <f t="shared" si="8"/>
        <v>40844.691643518519</v>
      </c>
      <c r="T78" s="4">
        <f t="shared" si="9"/>
        <v>40904.733310185184</v>
      </c>
      <c r="U78" s="5">
        <f>VLOOKUP(currency,Tables!$A$1:$C$14,3,FALSE)*pledged</f>
        <v>460</v>
      </c>
    </row>
    <row r="79" spans="1:21" ht="43.2" x14ac:dyDescent="0.55000000000000004">
      <c r="A79">
        <v>77</v>
      </c>
      <c r="B79" s="1" t="s">
        <v>79</v>
      </c>
      <c r="C79" s="1" t="s">
        <v>4188</v>
      </c>
      <c r="D79">
        <v>400</v>
      </c>
      <c r="E79">
        <v>1570</v>
      </c>
      <c r="F79" t="s">
        <v>8219</v>
      </c>
      <c r="G79" t="s">
        <v>8224</v>
      </c>
      <c r="H79" t="s">
        <v>8246</v>
      </c>
      <c r="I79">
        <v>1337569140</v>
      </c>
      <c r="J79">
        <v>1332991717</v>
      </c>
      <c r="K79" t="b">
        <v>0</v>
      </c>
      <c r="L79">
        <v>26</v>
      </c>
      <c r="M79" t="b">
        <v>1</v>
      </c>
      <c r="N79" t="s">
        <v>8266</v>
      </c>
      <c r="O79" s="6">
        <f t="shared" si="6"/>
        <v>3.9249999999999998</v>
      </c>
      <c r="P79" s="16">
        <f t="shared" si="7"/>
        <v>60.384615384615387</v>
      </c>
      <c r="Q79" t="str">
        <f t="shared" si="10"/>
        <v>film &amp; video</v>
      </c>
      <c r="R79" t="str">
        <f t="shared" si="11"/>
        <v>shorts</v>
      </c>
      <c r="S79" s="4">
        <f t="shared" si="8"/>
        <v>40997.144872685189</v>
      </c>
      <c r="T79" s="4">
        <f t="shared" si="9"/>
        <v>41050.124305555553</v>
      </c>
      <c r="U79" s="5">
        <f>VLOOKUP(currency,Tables!$A$1:$C$14,3,FALSE)*pledged</f>
        <v>1570</v>
      </c>
    </row>
    <row r="80" spans="1:21" ht="86.4" x14ac:dyDescent="0.55000000000000004">
      <c r="A80">
        <v>78</v>
      </c>
      <c r="B80" s="1" t="s">
        <v>80</v>
      </c>
      <c r="C80" s="1" t="s">
        <v>4189</v>
      </c>
      <c r="D80">
        <v>50</v>
      </c>
      <c r="E80">
        <v>1351</v>
      </c>
      <c r="F80" t="s">
        <v>8219</v>
      </c>
      <c r="G80" t="s">
        <v>8230</v>
      </c>
      <c r="H80" t="s">
        <v>8249</v>
      </c>
      <c r="I80">
        <v>1472751121</v>
      </c>
      <c r="J80">
        <v>1471887121</v>
      </c>
      <c r="K80" t="b">
        <v>0</v>
      </c>
      <c r="L80">
        <v>35</v>
      </c>
      <c r="M80" t="b">
        <v>1</v>
      </c>
      <c r="N80" t="s">
        <v>8266</v>
      </c>
      <c r="O80" s="6">
        <f t="shared" si="6"/>
        <v>27.02</v>
      </c>
      <c r="P80" s="16">
        <f t="shared" si="7"/>
        <v>38.6</v>
      </c>
      <c r="Q80" t="str">
        <f t="shared" si="10"/>
        <v>film &amp; video</v>
      </c>
      <c r="R80" t="str">
        <f t="shared" si="11"/>
        <v>shorts</v>
      </c>
      <c r="S80" s="4">
        <f t="shared" si="8"/>
        <v>42604.730567129634</v>
      </c>
      <c r="T80" s="4">
        <f t="shared" si="9"/>
        <v>42614.730567129634</v>
      </c>
      <c r="U80" s="5">
        <f>VLOOKUP(currency,Tables!$A$1:$C$14,3,FALSE)*pledged</f>
        <v>1594.1799999999998</v>
      </c>
    </row>
    <row r="81" spans="1:21" ht="43.2" x14ac:dyDescent="0.55000000000000004">
      <c r="A81">
        <v>79</v>
      </c>
      <c r="B81" s="1" t="s">
        <v>81</v>
      </c>
      <c r="C81" s="1" t="s">
        <v>4190</v>
      </c>
      <c r="D81">
        <v>1300</v>
      </c>
      <c r="E81">
        <v>1651</v>
      </c>
      <c r="F81" t="s">
        <v>8219</v>
      </c>
      <c r="G81" t="s">
        <v>8225</v>
      </c>
      <c r="H81" t="s">
        <v>8247</v>
      </c>
      <c r="I81">
        <v>1398451093</v>
      </c>
      <c r="J81">
        <v>1395859093</v>
      </c>
      <c r="K81" t="b">
        <v>0</v>
      </c>
      <c r="L81">
        <v>41</v>
      </c>
      <c r="M81" t="b">
        <v>1</v>
      </c>
      <c r="N81" t="s">
        <v>8266</v>
      </c>
      <c r="O81" s="6">
        <f t="shared" si="6"/>
        <v>1.27</v>
      </c>
      <c r="P81" s="16">
        <f t="shared" si="7"/>
        <v>40.268292682926827</v>
      </c>
      <c r="Q81" t="str">
        <f t="shared" si="10"/>
        <v>film &amp; video</v>
      </c>
      <c r="R81" t="str">
        <f t="shared" si="11"/>
        <v>shorts</v>
      </c>
      <c r="S81" s="4">
        <f t="shared" si="8"/>
        <v>41724.776539351849</v>
      </c>
      <c r="T81" s="4">
        <f t="shared" si="9"/>
        <v>41754.776539351849</v>
      </c>
      <c r="U81" s="5">
        <f>VLOOKUP(currency,Tables!$A$1:$C$14,3,FALSE)*pledged</f>
        <v>2179.3200000000002</v>
      </c>
    </row>
    <row r="82" spans="1:21" ht="43.2" x14ac:dyDescent="0.55000000000000004">
      <c r="A82">
        <v>80</v>
      </c>
      <c r="B82" s="1" t="s">
        <v>82</v>
      </c>
      <c r="C82" s="1" t="s">
        <v>4191</v>
      </c>
      <c r="D82">
        <v>12000</v>
      </c>
      <c r="E82">
        <v>12870</v>
      </c>
      <c r="F82" t="s">
        <v>8219</v>
      </c>
      <c r="G82" t="s">
        <v>8224</v>
      </c>
      <c r="H82" t="s">
        <v>8246</v>
      </c>
      <c r="I82">
        <v>1386640856</v>
      </c>
      <c r="J82">
        <v>1383616856</v>
      </c>
      <c r="K82" t="b">
        <v>0</v>
      </c>
      <c r="L82">
        <v>47</v>
      </c>
      <c r="M82" t="b">
        <v>1</v>
      </c>
      <c r="N82" t="s">
        <v>8266</v>
      </c>
      <c r="O82" s="6">
        <f t="shared" si="6"/>
        <v>1.0725</v>
      </c>
      <c r="P82" s="16">
        <f t="shared" si="7"/>
        <v>273.82978723404256</v>
      </c>
      <c r="Q82" t="str">
        <f t="shared" si="10"/>
        <v>film &amp; video</v>
      </c>
      <c r="R82" t="str">
        <f t="shared" si="11"/>
        <v>shorts</v>
      </c>
      <c r="S82" s="4">
        <f t="shared" si="8"/>
        <v>41583.083981481483</v>
      </c>
      <c r="T82" s="4">
        <f t="shared" si="9"/>
        <v>41618.083981481483</v>
      </c>
      <c r="U82" s="5">
        <f>VLOOKUP(currency,Tables!$A$1:$C$14,3,FALSE)*pledged</f>
        <v>12870</v>
      </c>
    </row>
    <row r="83" spans="1:21" ht="43.2" x14ac:dyDescent="0.55000000000000004">
      <c r="A83">
        <v>81</v>
      </c>
      <c r="B83" s="1" t="s">
        <v>83</v>
      </c>
      <c r="C83" s="1" t="s">
        <v>4192</v>
      </c>
      <c r="D83">
        <v>750</v>
      </c>
      <c r="E83">
        <v>1485</v>
      </c>
      <c r="F83" t="s">
        <v>8219</v>
      </c>
      <c r="G83" t="s">
        <v>8224</v>
      </c>
      <c r="H83" t="s">
        <v>8246</v>
      </c>
      <c r="I83">
        <v>1342234920</v>
      </c>
      <c r="J83">
        <v>1341892127</v>
      </c>
      <c r="K83" t="b">
        <v>0</v>
      </c>
      <c r="L83">
        <v>28</v>
      </c>
      <c r="M83" t="b">
        <v>1</v>
      </c>
      <c r="N83" t="s">
        <v>8266</v>
      </c>
      <c r="O83" s="6">
        <f t="shared" si="6"/>
        <v>1.98</v>
      </c>
      <c r="P83" s="16">
        <f t="shared" si="7"/>
        <v>53.035714285714285</v>
      </c>
      <c r="Q83" t="str">
        <f t="shared" si="10"/>
        <v>film &amp; video</v>
      </c>
      <c r="R83" t="str">
        <f t="shared" si="11"/>
        <v>shorts</v>
      </c>
      <c r="S83" s="4">
        <f t="shared" si="8"/>
        <v>41100.158877314818</v>
      </c>
      <c r="T83" s="4">
        <f t="shared" si="9"/>
        <v>41104.126388888886</v>
      </c>
      <c r="U83" s="5">
        <f>VLOOKUP(currency,Tables!$A$1:$C$14,3,FALSE)*pledged</f>
        <v>1485</v>
      </c>
    </row>
    <row r="84" spans="1:21" ht="43.2" x14ac:dyDescent="0.55000000000000004">
      <c r="A84">
        <v>82</v>
      </c>
      <c r="B84" s="1" t="s">
        <v>84</v>
      </c>
      <c r="C84" s="1" t="s">
        <v>4193</v>
      </c>
      <c r="D84">
        <v>4000</v>
      </c>
      <c r="E84">
        <v>4000.5</v>
      </c>
      <c r="F84" t="s">
        <v>8219</v>
      </c>
      <c r="G84" t="s">
        <v>8224</v>
      </c>
      <c r="H84" t="s">
        <v>8246</v>
      </c>
      <c r="I84">
        <v>1318189261</v>
      </c>
      <c r="J84">
        <v>1315597261</v>
      </c>
      <c r="K84" t="b">
        <v>0</v>
      </c>
      <c r="L84">
        <v>100</v>
      </c>
      <c r="M84" t="b">
        <v>1</v>
      </c>
      <c r="N84" t="s">
        <v>8266</v>
      </c>
      <c r="O84" s="6">
        <f t="shared" si="6"/>
        <v>1.0001249999999999</v>
      </c>
      <c r="P84" s="16">
        <f t="shared" si="7"/>
        <v>40.005000000000003</v>
      </c>
      <c r="Q84" t="str">
        <f t="shared" si="10"/>
        <v>film &amp; video</v>
      </c>
      <c r="R84" t="str">
        <f t="shared" si="11"/>
        <v>shorts</v>
      </c>
      <c r="S84" s="4">
        <f t="shared" si="8"/>
        <v>40795.820150462961</v>
      </c>
      <c r="T84" s="4">
        <f t="shared" si="9"/>
        <v>40825.820150462961</v>
      </c>
      <c r="U84" s="5">
        <f>VLOOKUP(currency,Tables!$A$1:$C$14,3,FALSE)*pledged</f>
        <v>4000.5</v>
      </c>
    </row>
    <row r="85" spans="1:21" ht="43.2" x14ac:dyDescent="0.55000000000000004">
      <c r="A85">
        <v>83</v>
      </c>
      <c r="B85" s="1" t="s">
        <v>85</v>
      </c>
      <c r="C85" s="1" t="s">
        <v>4194</v>
      </c>
      <c r="D85">
        <v>200</v>
      </c>
      <c r="E85">
        <v>205</v>
      </c>
      <c r="F85" t="s">
        <v>8219</v>
      </c>
      <c r="G85" t="s">
        <v>8225</v>
      </c>
      <c r="H85" t="s">
        <v>8247</v>
      </c>
      <c r="I85">
        <v>1424604600</v>
      </c>
      <c r="J85">
        <v>1423320389</v>
      </c>
      <c r="K85" t="b">
        <v>0</v>
      </c>
      <c r="L85">
        <v>13</v>
      </c>
      <c r="M85" t="b">
        <v>1</v>
      </c>
      <c r="N85" t="s">
        <v>8266</v>
      </c>
      <c r="O85" s="6">
        <f t="shared" si="6"/>
        <v>1.0249999999999999</v>
      </c>
      <c r="P85" s="16">
        <f t="shared" si="7"/>
        <v>15.76923076923077</v>
      </c>
      <c r="Q85" t="str">
        <f t="shared" si="10"/>
        <v>film &amp; video</v>
      </c>
      <c r="R85" t="str">
        <f t="shared" si="11"/>
        <v>shorts</v>
      </c>
      <c r="S85" s="4">
        <f t="shared" si="8"/>
        <v>42042.615613425922</v>
      </c>
      <c r="T85" s="4">
        <f t="shared" si="9"/>
        <v>42057.479166666672</v>
      </c>
      <c r="U85" s="5">
        <f>VLOOKUP(currency,Tables!$A$1:$C$14,3,FALSE)*pledged</f>
        <v>270.60000000000002</v>
      </c>
    </row>
    <row r="86" spans="1:21" ht="43.2" x14ac:dyDescent="0.55000000000000004">
      <c r="A86">
        <v>84</v>
      </c>
      <c r="B86" s="1" t="s">
        <v>86</v>
      </c>
      <c r="C86" s="1" t="s">
        <v>4195</v>
      </c>
      <c r="D86">
        <v>500</v>
      </c>
      <c r="E86">
        <v>500</v>
      </c>
      <c r="F86" t="s">
        <v>8219</v>
      </c>
      <c r="G86" t="s">
        <v>8224</v>
      </c>
      <c r="H86" t="s">
        <v>8246</v>
      </c>
      <c r="I86">
        <v>1305483086</v>
      </c>
      <c r="J86">
        <v>1302891086</v>
      </c>
      <c r="K86" t="b">
        <v>0</v>
      </c>
      <c r="L86">
        <v>7</v>
      </c>
      <c r="M86" t="b">
        <v>1</v>
      </c>
      <c r="N86" t="s">
        <v>8266</v>
      </c>
      <c r="O86" s="6">
        <f t="shared" si="6"/>
        <v>1</v>
      </c>
      <c r="P86" s="16">
        <f t="shared" si="7"/>
        <v>71.428571428571431</v>
      </c>
      <c r="Q86" t="str">
        <f t="shared" si="10"/>
        <v>film &amp; video</v>
      </c>
      <c r="R86" t="str">
        <f t="shared" si="11"/>
        <v>shorts</v>
      </c>
      <c r="S86" s="4">
        <f t="shared" si="8"/>
        <v>40648.757939814815</v>
      </c>
      <c r="T86" s="4">
        <f t="shared" si="9"/>
        <v>40678.757939814815</v>
      </c>
      <c r="U86" s="5">
        <f>VLOOKUP(currency,Tables!$A$1:$C$14,3,FALSE)*pledged</f>
        <v>500</v>
      </c>
    </row>
    <row r="87" spans="1:21" ht="43.2" x14ac:dyDescent="0.55000000000000004">
      <c r="A87">
        <v>85</v>
      </c>
      <c r="B87" s="1" t="s">
        <v>87</v>
      </c>
      <c r="C87" s="1" t="s">
        <v>4196</v>
      </c>
      <c r="D87">
        <v>1200</v>
      </c>
      <c r="E87">
        <v>1506</v>
      </c>
      <c r="F87" t="s">
        <v>8219</v>
      </c>
      <c r="G87" t="s">
        <v>8224</v>
      </c>
      <c r="H87" t="s">
        <v>8246</v>
      </c>
      <c r="I87">
        <v>1316746837</v>
      </c>
      <c r="J87">
        <v>1314154837</v>
      </c>
      <c r="K87" t="b">
        <v>0</v>
      </c>
      <c r="L87">
        <v>21</v>
      </c>
      <c r="M87" t="b">
        <v>1</v>
      </c>
      <c r="N87" t="s">
        <v>8266</v>
      </c>
      <c r="O87" s="6">
        <f t="shared" si="6"/>
        <v>1.2549999999999999</v>
      </c>
      <c r="P87" s="16">
        <f t="shared" si="7"/>
        <v>71.714285714285708</v>
      </c>
      <c r="Q87" t="str">
        <f t="shared" si="10"/>
        <v>film &amp; video</v>
      </c>
      <c r="R87" t="str">
        <f t="shared" si="11"/>
        <v>shorts</v>
      </c>
      <c r="S87" s="4">
        <f t="shared" si="8"/>
        <v>40779.125428240739</v>
      </c>
      <c r="T87" s="4">
        <f t="shared" si="9"/>
        <v>40809.125428240739</v>
      </c>
      <c r="U87" s="5">
        <f>VLOOKUP(currency,Tables!$A$1:$C$14,3,FALSE)*pledged</f>
        <v>1506</v>
      </c>
    </row>
    <row r="88" spans="1:21" ht="43.2" x14ac:dyDescent="0.55000000000000004">
      <c r="A88">
        <v>86</v>
      </c>
      <c r="B88" s="1" t="s">
        <v>88</v>
      </c>
      <c r="C88" s="1" t="s">
        <v>4197</v>
      </c>
      <c r="D88">
        <v>6000</v>
      </c>
      <c r="E88">
        <v>6388</v>
      </c>
      <c r="F88" t="s">
        <v>8219</v>
      </c>
      <c r="G88" t="s">
        <v>8230</v>
      </c>
      <c r="H88" t="s">
        <v>8249</v>
      </c>
      <c r="I88">
        <v>1451226045</v>
      </c>
      <c r="J88">
        <v>1444828845</v>
      </c>
      <c r="K88" t="b">
        <v>0</v>
      </c>
      <c r="L88">
        <v>17</v>
      </c>
      <c r="M88" t="b">
        <v>1</v>
      </c>
      <c r="N88" t="s">
        <v>8266</v>
      </c>
      <c r="O88" s="6">
        <f t="shared" si="6"/>
        <v>1.0646666666666667</v>
      </c>
      <c r="P88" s="16">
        <f t="shared" si="7"/>
        <v>375.76470588235293</v>
      </c>
      <c r="Q88" t="str">
        <f t="shared" si="10"/>
        <v>film &amp; video</v>
      </c>
      <c r="R88" t="str">
        <f t="shared" si="11"/>
        <v>shorts</v>
      </c>
      <c r="S88" s="4">
        <f t="shared" si="8"/>
        <v>42291.556076388893</v>
      </c>
      <c r="T88" s="4">
        <f t="shared" si="9"/>
        <v>42365.59774305555</v>
      </c>
      <c r="U88" s="5">
        <f>VLOOKUP(currency,Tables!$A$1:$C$14,3,FALSE)*pledged</f>
        <v>7537.8399999999992</v>
      </c>
    </row>
    <row r="89" spans="1:21" ht="43.2" x14ac:dyDescent="0.55000000000000004">
      <c r="A89">
        <v>87</v>
      </c>
      <c r="B89" s="1" t="s">
        <v>89</v>
      </c>
      <c r="C89" s="1" t="s">
        <v>4198</v>
      </c>
      <c r="D89">
        <v>2500</v>
      </c>
      <c r="E89">
        <v>2615</v>
      </c>
      <c r="F89" t="s">
        <v>8219</v>
      </c>
      <c r="G89" t="s">
        <v>8224</v>
      </c>
      <c r="H89" t="s">
        <v>8246</v>
      </c>
      <c r="I89">
        <v>1275529260</v>
      </c>
      <c r="J89">
        <v>1274705803</v>
      </c>
      <c r="K89" t="b">
        <v>0</v>
      </c>
      <c r="L89">
        <v>25</v>
      </c>
      <c r="M89" t="b">
        <v>1</v>
      </c>
      <c r="N89" t="s">
        <v>8266</v>
      </c>
      <c r="O89" s="6">
        <f t="shared" si="6"/>
        <v>1.046</v>
      </c>
      <c r="P89" s="16">
        <f t="shared" si="7"/>
        <v>104.6</v>
      </c>
      <c r="Q89" t="str">
        <f t="shared" si="10"/>
        <v>film &amp; video</v>
      </c>
      <c r="R89" t="str">
        <f t="shared" si="11"/>
        <v>shorts</v>
      </c>
      <c r="S89" s="4">
        <f t="shared" si="8"/>
        <v>40322.53938657407</v>
      </c>
      <c r="T89" s="4">
        <f t="shared" si="9"/>
        <v>40332.070138888892</v>
      </c>
      <c r="U89" s="5">
        <f>VLOOKUP(currency,Tables!$A$1:$C$14,3,FALSE)*pledged</f>
        <v>2615</v>
      </c>
    </row>
    <row r="90" spans="1:21" ht="43.2" x14ac:dyDescent="0.55000000000000004">
      <c r="A90">
        <v>88</v>
      </c>
      <c r="B90" s="1" t="s">
        <v>90</v>
      </c>
      <c r="C90" s="1" t="s">
        <v>4199</v>
      </c>
      <c r="D90">
        <v>3500</v>
      </c>
      <c r="E90">
        <v>3600</v>
      </c>
      <c r="F90" t="s">
        <v>8219</v>
      </c>
      <c r="G90" t="s">
        <v>8224</v>
      </c>
      <c r="H90" t="s">
        <v>8246</v>
      </c>
      <c r="I90">
        <v>1403452131</v>
      </c>
      <c r="J90">
        <v>1401205731</v>
      </c>
      <c r="K90" t="b">
        <v>0</v>
      </c>
      <c r="L90">
        <v>60</v>
      </c>
      <c r="M90" t="b">
        <v>1</v>
      </c>
      <c r="N90" t="s">
        <v>8266</v>
      </c>
      <c r="O90" s="6">
        <f t="shared" si="6"/>
        <v>1.0285714285714285</v>
      </c>
      <c r="P90" s="16">
        <f t="shared" si="7"/>
        <v>60</v>
      </c>
      <c r="Q90" t="str">
        <f t="shared" si="10"/>
        <v>film &amp; video</v>
      </c>
      <c r="R90" t="str">
        <f t="shared" si="11"/>
        <v>shorts</v>
      </c>
      <c r="S90" s="4">
        <f t="shared" si="8"/>
        <v>41786.65892361111</v>
      </c>
      <c r="T90" s="4">
        <f t="shared" si="9"/>
        <v>41812.65892361111</v>
      </c>
      <c r="U90" s="5">
        <f>VLOOKUP(currency,Tables!$A$1:$C$14,3,FALSE)*pledged</f>
        <v>3600</v>
      </c>
    </row>
    <row r="91" spans="1:21" ht="43.2" x14ac:dyDescent="0.55000000000000004">
      <c r="A91">
        <v>89</v>
      </c>
      <c r="B91" s="1" t="s">
        <v>91</v>
      </c>
      <c r="C91" s="1" t="s">
        <v>4200</v>
      </c>
      <c r="D91">
        <v>6000</v>
      </c>
      <c r="E91">
        <v>6904</v>
      </c>
      <c r="F91" t="s">
        <v>8219</v>
      </c>
      <c r="G91" t="s">
        <v>8224</v>
      </c>
      <c r="H91" t="s">
        <v>8246</v>
      </c>
      <c r="I91">
        <v>1370196192</v>
      </c>
      <c r="J91">
        <v>1368036192</v>
      </c>
      <c r="K91" t="b">
        <v>0</v>
      </c>
      <c r="L91">
        <v>56</v>
      </c>
      <c r="M91" t="b">
        <v>1</v>
      </c>
      <c r="N91" t="s">
        <v>8266</v>
      </c>
      <c r="O91" s="6">
        <f t="shared" si="6"/>
        <v>1.1506666666666667</v>
      </c>
      <c r="P91" s="16">
        <f t="shared" si="7"/>
        <v>123.28571428571429</v>
      </c>
      <c r="Q91" t="str">
        <f t="shared" si="10"/>
        <v>film &amp; video</v>
      </c>
      <c r="R91" t="str">
        <f t="shared" si="11"/>
        <v>shorts</v>
      </c>
      <c r="S91" s="4">
        <f t="shared" si="8"/>
        <v>41402.752222222225</v>
      </c>
      <c r="T91" s="4">
        <f t="shared" si="9"/>
        <v>41427.752222222225</v>
      </c>
      <c r="U91" s="5">
        <f>VLOOKUP(currency,Tables!$A$1:$C$14,3,FALSE)*pledged</f>
        <v>6904</v>
      </c>
    </row>
    <row r="92" spans="1:21" ht="28.8" x14ac:dyDescent="0.55000000000000004">
      <c r="A92">
        <v>90</v>
      </c>
      <c r="B92" s="1" t="s">
        <v>92</v>
      </c>
      <c r="C92" s="1" t="s">
        <v>4201</v>
      </c>
      <c r="D92">
        <v>500</v>
      </c>
      <c r="E92">
        <v>502</v>
      </c>
      <c r="F92" t="s">
        <v>8219</v>
      </c>
      <c r="G92" t="s">
        <v>8224</v>
      </c>
      <c r="H92" t="s">
        <v>8246</v>
      </c>
      <c r="I92">
        <v>1310454499</v>
      </c>
      <c r="J92">
        <v>1307862499</v>
      </c>
      <c r="K92" t="b">
        <v>0</v>
      </c>
      <c r="L92">
        <v>16</v>
      </c>
      <c r="M92" t="b">
        <v>1</v>
      </c>
      <c r="N92" t="s">
        <v>8266</v>
      </c>
      <c r="O92" s="6">
        <f t="shared" si="6"/>
        <v>1.004</v>
      </c>
      <c r="P92" s="16">
        <f t="shared" si="7"/>
        <v>31.375</v>
      </c>
      <c r="Q92" t="str">
        <f t="shared" si="10"/>
        <v>film &amp; video</v>
      </c>
      <c r="R92" t="str">
        <f t="shared" si="11"/>
        <v>shorts</v>
      </c>
      <c r="S92" s="4">
        <f t="shared" si="8"/>
        <v>40706.297442129631</v>
      </c>
      <c r="T92" s="4">
        <f t="shared" si="9"/>
        <v>40736.297442129631</v>
      </c>
      <c r="U92" s="5">
        <f>VLOOKUP(currency,Tables!$A$1:$C$14,3,FALSE)*pledged</f>
        <v>502</v>
      </c>
    </row>
    <row r="93" spans="1:21" ht="43.2" x14ac:dyDescent="0.55000000000000004">
      <c r="A93">
        <v>91</v>
      </c>
      <c r="B93" s="1" t="s">
        <v>93</v>
      </c>
      <c r="C93" s="1" t="s">
        <v>4202</v>
      </c>
      <c r="D93">
        <v>3000</v>
      </c>
      <c r="E93">
        <v>3600</v>
      </c>
      <c r="F93" t="s">
        <v>8219</v>
      </c>
      <c r="G93" t="s">
        <v>8224</v>
      </c>
      <c r="H93" t="s">
        <v>8246</v>
      </c>
      <c r="I93">
        <v>1305625164</v>
      </c>
      <c r="J93">
        <v>1300354764</v>
      </c>
      <c r="K93" t="b">
        <v>0</v>
      </c>
      <c r="L93">
        <v>46</v>
      </c>
      <c r="M93" t="b">
        <v>1</v>
      </c>
      <c r="N93" t="s">
        <v>8266</v>
      </c>
      <c r="O93" s="6">
        <f t="shared" si="6"/>
        <v>1.2</v>
      </c>
      <c r="P93" s="16">
        <f t="shared" si="7"/>
        <v>78.260869565217391</v>
      </c>
      <c r="Q93" t="str">
        <f t="shared" si="10"/>
        <v>film &amp; video</v>
      </c>
      <c r="R93" t="str">
        <f t="shared" si="11"/>
        <v>shorts</v>
      </c>
      <c r="S93" s="4">
        <f t="shared" si="8"/>
        <v>40619.402361111112</v>
      </c>
      <c r="T93" s="4">
        <f t="shared" si="9"/>
        <v>40680.402361111112</v>
      </c>
      <c r="U93" s="5">
        <f>VLOOKUP(currency,Tables!$A$1:$C$14,3,FALSE)*pledged</f>
        <v>3600</v>
      </c>
    </row>
    <row r="94" spans="1:21" ht="43.2" x14ac:dyDescent="0.55000000000000004">
      <c r="A94">
        <v>92</v>
      </c>
      <c r="B94" s="1" t="s">
        <v>94</v>
      </c>
      <c r="C94" s="1" t="s">
        <v>4203</v>
      </c>
      <c r="D94">
        <v>5000</v>
      </c>
      <c r="E94">
        <v>5260</v>
      </c>
      <c r="F94" t="s">
        <v>8219</v>
      </c>
      <c r="G94" t="s">
        <v>8229</v>
      </c>
      <c r="H94" t="s">
        <v>8251</v>
      </c>
      <c r="I94">
        <v>1485936000</v>
      </c>
      <c r="J94">
        <v>1481949983</v>
      </c>
      <c r="K94" t="b">
        <v>0</v>
      </c>
      <c r="L94">
        <v>43</v>
      </c>
      <c r="M94" t="b">
        <v>1</v>
      </c>
      <c r="N94" t="s">
        <v>8266</v>
      </c>
      <c r="O94" s="6">
        <f t="shared" si="6"/>
        <v>1.052</v>
      </c>
      <c r="P94" s="16">
        <f t="shared" si="7"/>
        <v>122.32558139534883</v>
      </c>
      <c r="Q94" t="str">
        <f t="shared" si="10"/>
        <v>film &amp; video</v>
      </c>
      <c r="R94" t="str">
        <f t="shared" si="11"/>
        <v>shorts</v>
      </c>
      <c r="S94" s="4">
        <f t="shared" si="8"/>
        <v>42721.198877314819</v>
      </c>
      <c r="T94" s="4">
        <f t="shared" si="9"/>
        <v>42767.333333333328</v>
      </c>
      <c r="U94" s="5">
        <f>VLOOKUP(currency,Tables!$A$1:$C$14,3,FALSE)*pledged</f>
        <v>3997.6</v>
      </c>
    </row>
    <row r="95" spans="1:21" ht="57.6" x14ac:dyDescent="0.55000000000000004">
      <c r="A95">
        <v>93</v>
      </c>
      <c r="B95" s="1" t="s">
        <v>95</v>
      </c>
      <c r="C95" s="1" t="s">
        <v>4204</v>
      </c>
      <c r="D95">
        <v>1000</v>
      </c>
      <c r="E95">
        <v>1106</v>
      </c>
      <c r="F95" t="s">
        <v>8219</v>
      </c>
      <c r="G95" t="s">
        <v>8224</v>
      </c>
      <c r="H95" t="s">
        <v>8246</v>
      </c>
      <c r="I95">
        <v>1341349200</v>
      </c>
      <c r="J95">
        <v>1338928537</v>
      </c>
      <c r="K95" t="b">
        <v>0</v>
      </c>
      <c r="L95">
        <v>15</v>
      </c>
      <c r="M95" t="b">
        <v>1</v>
      </c>
      <c r="N95" t="s">
        <v>8266</v>
      </c>
      <c r="O95" s="6">
        <f t="shared" si="6"/>
        <v>1.1060000000000001</v>
      </c>
      <c r="P95" s="16">
        <f t="shared" si="7"/>
        <v>73.733333333333334</v>
      </c>
      <c r="Q95" t="str">
        <f t="shared" si="10"/>
        <v>film &amp; video</v>
      </c>
      <c r="R95" t="str">
        <f t="shared" si="11"/>
        <v>shorts</v>
      </c>
      <c r="S95" s="4">
        <f t="shared" si="8"/>
        <v>41065.858067129629</v>
      </c>
      <c r="T95" s="4">
        <f t="shared" si="9"/>
        <v>41093.875</v>
      </c>
      <c r="U95" s="5">
        <f>VLOOKUP(currency,Tables!$A$1:$C$14,3,FALSE)*pledged</f>
        <v>1106</v>
      </c>
    </row>
    <row r="96" spans="1:21" ht="43.2" x14ac:dyDescent="0.55000000000000004">
      <c r="A96">
        <v>94</v>
      </c>
      <c r="B96" s="1" t="s">
        <v>96</v>
      </c>
      <c r="C96" s="1" t="s">
        <v>4205</v>
      </c>
      <c r="D96">
        <v>250</v>
      </c>
      <c r="E96">
        <v>260</v>
      </c>
      <c r="F96" t="s">
        <v>8219</v>
      </c>
      <c r="G96" t="s">
        <v>8225</v>
      </c>
      <c r="H96" t="s">
        <v>8247</v>
      </c>
      <c r="I96">
        <v>1396890822</v>
      </c>
      <c r="J96">
        <v>1395162822</v>
      </c>
      <c r="K96" t="b">
        <v>0</v>
      </c>
      <c r="L96">
        <v>12</v>
      </c>
      <c r="M96" t="b">
        <v>1</v>
      </c>
      <c r="N96" t="s">
        <v>8266</v>
      </c>
      <c r="O96" s="6">
        <f t="shared" si="6"/>
        <v>1.04</v>
      </c>
      <c r="P96" s="16">
        <f t="shared" si="7"/>
        <v>21.666666666666668</v>
      </c>
      <c r="Q96" t="str">
        <f t="shared" si="10"/>
        <v>film &amp; video</v>
      </c>
      <c r="R96" t="str">
        <f t="shared" si="11"/>
        <v>shorts</v>
      </c>
      <c r="S96" s="4">
        <f t="shared" si="8"/>
        <v>41716.717847222222</v>
      </c>
      <c r="T96" s="4">
        <f t="shared" si="9"/>
        <v>41736.717847222222</v>
      </c>
      <c r="U96" s="5">
        <f>VLOOKUP(currency,Tables!$A$1:$C$14,3,FALSE)*pledged</f>
        <v>343.2</v>
      </c>
    </row>
    <row r="97" spans="1:21" ht="43.2" x14ac:dyDescent="0.55000000000000004">
      <c r="A97">
        <v>95</v>
      </c>
      <c r="B97" s="1" t="s">
        <v>97</v>
      </c>
      <c r="C97" s="1" t="s">
        <v>4206</v>
      </c>
      <c r="D97">
        <v>350</v>
      </c>
      <c r="E97">
        <v>460</v>
      </c>
      <c r="F97" t="s">
        <v>8219</v>
      </c>
      <c r="G97" t="s">
        <v>8224</v>
      </c>
      <c r="H97" t="s">
        <v>8246</v>
      </c>
      <c r="I97">
        <v>1330214841</v>
      </c>
      <c r="J97">
        <v>1327622841</v>
      </c>
      <c r="K97" t="b">
        <v>0</v>
      </c>
      <c r="L97">
        <v>21</v>
      </c>
      <c r="M97" t="b">
        <v>1</v>
      </c>
      <c r="N97" t="s">
        <v>8266</v>
      </c>
      <c r="O97" s="6">
        <f t="shared" si="6"/>
        <v>1.3142857142857143</v>
      </c>
      <c r="P97" s="16">
        <f t="shared" si="7"/>
        <v>21.904761904761905</v>
      </c>
      <c r="Q97" t="str">
        <f t="shared" si="10"/>
        <v>film &amp; video</v>
      </c>
      <c r="R97" t="str">
        <f t="shared" si="11"/>
        <v>shorts</v>
      </c>
      <c r="S97" s="4">
        <f t="shared" si="8"/>
        <v>40935.005104166667</v>
      </c>
      <c r="T97" s="4">
        <f t="shared" si="9"/>
        <v>40965.005104166667</v>
      </c>
      <c r="U97" s="5">
        <f>VLOOKUP(currency,Tables!$A$1:$C$14,3,FALSE)*pledged</f>
        <v>460</v>
      </c>
    </row>
    <row r="98" spans="1:21" ht="43.2" x14ac:dyDescent="0.55000000000000004">
      <c r="A98">
        <v>96</v>
      </c>
      <c r="B98" s="1" t="s">
        <v>98</v>
      </c>
      <c r="C98" s="1" t="s">
        <v>4207</v>
      </c>
      <c r="D98">
        <v>1500</v>
      </c>
      <c r="E98">
        <v>1720</v>
      </c>
      <c r="F98" t="s">
        <v>8219</v>
      </c>
      <c r="G98" t="s">
        <v>8224</v>
      </c>
      <c r="H98" t="s">
        <v>8246</v>
      </c>
      <c r="I98">
        <v>1280631600</v>
      </c>
      <c r="J98">
        <v>1274889241</v>
      </c>
      <c r="K98" t="b">
        <v>0</v>
      </c>
      <c r="L98">
        <v>34</v>
      </c>
      <c r="M98" t="b">
        <v>1</v>
      </c>
      <c r="N98" t="s">
        <v>8266</v>
      </c>
      <c r="O98" s="6">
        <f t="shared" si="6"/>
        <v>1.1466666666666667</v>
      </c>
      <c r="P98" s="16">
        <f t="shared" si="7"/>
        <v>50.588235294117645</v>
      </c>
      <c r="Q98" t="str">
        <f t="shared" si="10"/>
        <v>film &amp; video</v>
      </c>
      <c r="R98" t="str">
        <f t="shared" si="11"/>
        <v>shorts</v>
      </c>
      <c r="S98" s="4">
        <f t="shared" si="8"/>
        <v>40324.662511574075</v>
      </c>
      <c r="T98" s="4">
        <f t="shared" si="9"/>
        <v>40391.125</v>
      </c>
      <c r="U98" s="5">
        <f>VLOOKUP(currency,Tables!$A$1:$C$14,3,FALSE)*pledged</f>
        <v>1720</v>
      </c>
    </row>
    <row r="99" spans="1:21" ht="43.2" x14ac:dyDescent="0.55000000000000004">
      <c r="A99">
        <v>97</v>
      </c>
      <c r="B99" s="1" t="s">
        <v>99</v>
      </c>
      <c r="C99" s="1" t="s">
        <v>4208</v>
      </c>
      <c r="D99">
        <v>400</v>
      </c>
      <c r="E99">
        <v>425</v>
      </c>
      <c r="F99" t="s">
        <v>8219</v>
      </c>
      <c r="G99" t="s">
        <v>8224</v>
      </c>
      <c r="H99" t="s">
        <v>8246</v>
      </c>
      <c r="I99">
        <v>1310440482</v>
      </c>
      <c r="J99">
        <v>1307848482</v>
      </c>
      <c r="K99" t="b">
        <v>0</v>
      </c>
      <c r="L99">
        <v>8</v>
      </c>
      <c r="M99" t="b">
        <v>1</v>
      </c>
      <c r="N99" t="s">
        <v>8266</v>
      </c>
      <c r="O99" s="6">
        <f t="shared" si="6"/>
        <v>1.0625</v>
      </c>
      <c r="P99" s="16">
        <f t="shared" si="7"/>
        <v>53.125</v>
      </c>
      <c r="Q99" t="str">
        <f t="shared" si="10"/>
        <v>film &amp; video</v>
      </c>
      <c r="R99" t="str">
        <f t="shared" si="11"/>
        <v>shorts</v>
      </c>
      <c r="S99" s="4">
        <f t="shared" si="8"/>
        <v>40706.135208333333</v>
      </c>
      <c r="T99" s="4">
        <f t="shared" si="9"/>
        <v>40736.135208333333</v>
      </c>
      <c r="U99" s="5">
        <f>VLOOKUP(currency,Tables!$A$1:$C$14,3,FALSE)*pledged</f>
        <v>425</v>
      </c>
    </row>
    <row r="100" spans="1:21" ht="43.2" x14ac:dyDescent="0.55000000000000004">
      <c r="A100">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6"/>
        <v>1.0625</v>
      </c>
      <c r="P100" s="16">
        <f t="shared" si="7"/>
        <v>56.666666666666664</v>
      </c>
      <c r="Q100" t="str">
        <f t="shared" si="10"/>
        <v>film &amp; video</v>
      </c>
      <c r="R100" t="str">
        <f t="shared" si="11"/>
        <v>shorts</v>
      </c>
      <c r="S100" s="4">
        <f t="shared" si="8"/>
        <v>41214.79483796296</v>
      </c>
      <c r="T100" s="4">
        <f t="shared" si="9"/>
        <v>41250.979166666664</v>
      </c>
      <c r="U100" s="5">
        <f>VLOOKUP(currency,Tables!$A$1:$C$14,3,FALSE)*pledged</f>
        <v>3400</v>
      </c>
    </row>
    <row r="101" spans="1:21" ht="28.8" x14ac:dyDescent="0.55000000000000004">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16">
        <f t="shared" si="7"/>
        <v>40.776666666666664</v>
      </c>
      <c r="Q101" t="str">
        <f t="shared" si="10"/>
        <v>film &amp; video</v>
      </c>
      <c r="R101" t="str">
        <f t="shared" si="11"/>
        <v>shorts</v>
      </c>
      <c r="S101" s="4">
        <f t="shared" si="8"/>
        <v>41631.902766203704</v>
      </c>
      <c r="T101" s="4">
        <f t="shared" si="9"/>
        <v>41661.902766203704</v>
      </c>
      <c r="U101" s="5">
        <f>VLOOKUP(currency,Tables!$A$1:$C$14,3,FALSE)*pledged</f>
        <v>1590.29</v>
      </c>
    </row>
    <row r="102" spans="1:21" ht="43.2" x14ac:dyDescent="0.55000000000000004">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6"/>
        <v>1</v>
      </c>
      <c r="P102" s="16">
        <f t="shared" si="7"/>
        <v>192.30769230769232</v>
      </c>
      <c r="Q102" t="str">
        <f t="shared" si="10"/>
        <v>film &amp; video</v>
      </c>
      <c r="R102" t="str">
        <f t="shared" si="11"/>
        <v>shorts</v>
      </c>
      <c r="S102" s="4">
        <f t="shared" si="8"/>
        <v>41197.753310185188</v>
      </c>
      <c r="T102" s="4">
        <f t="shared" si="9"/>
        <v>41217.794976851852</v>
      </c>
      <c r="U102" s="5">
        <f>VLOOKUP(currency,Tables!$A$1:$C$14,3,FALSE)*pledged</f>
        <v>5000</v>
      </c>
    </row>
    <row r="103" spans="1:21" ht="43.2" x14ac:dyDescent="0.55000000000000004">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6"/>
        <v>1</v>
      </c>
      <c r="P103" s="16">
        <f t="shared" si="7"/>
        <v>100</v>
      </c>
      <c r="Q103" t="str">
        <f t="shared" si="10"/>
        <v>film &amp; video</v>
      </c>
      <c r="R103" t="str">
        <f t="shared" si="11"/>
        <v>shorts</v>
      </c>
      <c r="S103" s="4">
        <f t="shared" si="8"/>
        <v>41274.776736111111</v>
      </c>
      <c r="T103" s="4">
        <f t="shared" si="9"/>
        <v>41298.776736111111</v>
      </c>
      <c r="U103" s="5">
        <f>VLOOKUP(currency,Tables!$A$1:$C$14,3,FALSE)*pledged</f>
        <v>3500</v>
      </c>
    </row>
    <row r="104" spans="1:21" ht="43.2" x14ac:dyDescent="0.55000000000000004">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6"/>
        <v>1.2775000000000001</v>
      </c>
      <c r="P104" s="16">
        <f t="shared" si="7"/>
        <v>117.92307692307692</v>
      </c>
      <c r="Q104" t="str">
        <f t="shared" si="10"/>
        <v>film &amp; video</v>
      </c>
      <c r="R104" t="str">
        <f t="shared" si="11"/>
        <v>shorts</v>
      </c>
      <c r="S104" s="4">
        <f t="shared" si="8"/>
        <v>40505.131168981483</v>
      </c>
      <c r="T104" s="4">
        <f t="shared" si="9"/>
        <v>40535.131168981483</v>
      </c>
      <c r="U104" s="5">
        <f>VLOOKUP(currency,Tables!$A$1:$C$14,3,FALSE)*pledged</f>
        <v>7665</v>
      </c>
    </row>
    <row r="105" spans="1:21" ht="28.8" x14ac:dyDescent="0.55000000000000004">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6"/>
        <v>1.0515384615384615</v>
      </c>
      <c r="P105" s="16">
        <f t="shared" si="7"/>
        <v>27.897959183673468</v>
      </c>
      <c r="Q105" t="str">
        <f t="shared" si="10"/>
        <v>film &amp; video</v>
      </c>
      <c r="R105" t="str">
        <f t="shared" si="11"/>
        <v>shorts</v>
      </c>
      <c r="S105" s="4">
        <f t="shared" si="8"/>
        <v>41682.805902777778</v>
      </c>
      <c r="T105" s="4">
        <f t="shared" si="9"/>
        <v>41705.805902777778</v>
      </c>
      <c r="U105" s="5">
        <f>VLOOKUP(currency,Tables!$A$1:$C$14,3,FALSE)*pledged</f>
        <v>1804.44</v>
      </c>
    </row>
    <row r="106" spans="1:21" ht="28.8" x14ac:dyDescent="0.55000000000000004">
      <c r="A106">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6"/>
        <v>1.2</v>
      </c>
      <c r="P106" s="16">
        <f t="shared" si="7"/>
        <v>60</v>
      </c>
      <c r="Q106" t="str">
        <f t="shared" si="10"/>
        <v>film &amp; video</v>
      </c>
      <c r="R106" t="str">
        <f t="shared" si="11"/>
        <v>shorts</v>
      </c>
      <c r="S106" s="4">
        <f t="shared" si="8"/>
        <v>40612.695208333331</v>
      </c>
      <c r="T106" s="4">
        <f t="shared" si="9"/>
        <v>40636.041666666664</v>
      </c>
      <c r="U106" s="5">
        <f>VLOOKUP(currency,Tables!$A$1:$C$14,3,FALSE)*pledged</f>
        <v>600</v>
      </c>
    </row>
    <row r="107" spans="1:21" ht="43.2" x14ac:dyDescent="0.55000000000000004">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6"/>
        <v>1.074090909090909</v>
      </c>
      <c r="P107" s="16">
        <f t="shared" si="7"/>
        <v>39.383333333333333</v>
      </c>
      <c r="Q107" t="str">
        <f t="shared" si="10"/>
        <v>film &amp; video</v>
      </c>
      <c r="R107" t="str">
        <f t="shared" si="11"/>
        <v>shorts</v>
      </c>
      <c r="S107" s="4">
        <f t="shared" si="8"/>
        <v>42485.724768518514</v>
      </c>
      <c r="T107" s="4">
        <f t="shared" si="9"/>
        <v>42504</v>
      </c>
      <c r="U107" s="5">
        <f>VLOOKUP(currency,Tables!$A$1:$C$14,3,FALSE)*pledged</f>
        <v>2363</v>
      </c>
    </row>
    <row r="108" spans="1:21" x14ac:dyDescent="0.55000000000000004">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6"/>
        <v>1.0049999999999999</v>
      </c>
      <c r="P108" s="16">
        <f t="shared" si="7"/>
        <v>186.11111111111111</v>
      </c>
      <c r="Q108" t="str">
        <f t="shared" si="10"/>
        <v>film &amp; video</v>
      </c>
      <c r="R108" t="str">
        <f t="shared" si="11"/>
        <v>shorts</v>
      </c>
      <c r="S108" s="4">
        <f t="shared" si="8"/>
        <v>40987.776631944449</v>
      </c>
      <c r="T108" s="4">
        <f t="shared" si="9"/>
        <v>41001.776631944449</v>
      </c>
      <c r="U108" s="5">
        <f>VLOOKUP(currency,Tables!$A$1:$C$14,3,FALSE)*pledged</f>
        <v>5025</v>
      </c>
    </row>
    <row r="109" spans="1:21" ht="43.2" x14ac:dyDescent="0.55000000000000004">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6"/>
        <v>1.0246666666666666</v>
      </c>
      <c r="P109" s="16">
        <f t="shared" si="7"/>
        <v>111.37681159420291</v>
      </c>
      <c r="Q109" t="str">
        <f t="shared" si="10"/>
        <v>film &amp; video</v>
      </c>
      <c r="R109" t="str">
        <f t="shared" si="11"/>
        <v>shorts</v>
      </c>
      <c r="S109" s="4">
        <f t="shared" si="8"/>
        <v>40635.982488425929</v>
      </c>
      <c r="T109" s="4">
        <f t="shared" si="9"/>
        <v>40657.982488425929</v>
      </c>
      <c r="U109" s="5">
        <f>VLOOKUP(currency,Tables!$A$1:$C$14,3,FALSE)*pledged</f>
        <v>7685</v>
      </c>
    </row>
    <row r="110" spans="1:21" ht="43.2" x14ac:dyDescent="0.55000000000000004">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6"/>
        <v>2.4666666666666668</v>
      </c>
      <c r="P110" s="16">
        <f t="shared" si="7"/>
        <v>78.723404255319153</v>
      </c>
      <c r="Q110" t="str">
        <f t="shared" si="10"/>
        <v>film &amp; video</v>
      </c>
      <c r="R110" t="str">
        <f t="shared" si="11"/>
        <v>shorts</v>
      </c>
      <c r="S110" s="4">
        <f t="shared" si="8"/>
        <v>41365.613078703704</v>
      </c>
      <c r="T110" s="4">
        <f t="shared" si="9"/>
        <v>41425.613078703704</v>
      </c>
      <c r="U110" s="5">
        <f>VLOOKUP(currency,Tables!$A$1:$C$14,3,FALSE)*pledged</f>
        <v>3700</v>
      </c>
    </row>
    <row r="111" spans="1:21" ht="43.2" x14ac:dyDescent="0.55000000000000004">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6"/>
        <v>2.1949999999999998</v>
      </c>
      <c r="P111" s="16">
        <f t="shared" si="7"/>
        <v>46.702127659574465</v>
      </c>
      <c r="Q111" t="str">
        <f t="shared" si="10"/>
        <v>film &amp; video</v>
      </c>
      <c r="R111" t="str">
        <f t="shared" si="11"/>
        <v>shorts</v>
      </c>
      <c r="S111" s="4">
        <f t="shared" si="8"/>
        <v>40570.025810185187</v>
      </c>
      <c r="T111" s="4">
        <f t="shared" si="9"/>
        <v>40600.025810185187</v>
      </c>
      <c r="U111" s="5">
        <f>VLOOKUP(currency,Tables!$A$1:$C$14,3,FALSE)*pledged</f>
        <v>2195</v>
      </c>
    </row>
    <row r="112" spans="1:21" ht="43.2" x14ac:dyDescent="0.55000000000000004">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6"/>
        <v>1.3076923076923077</v>
      </c>
      <c r="P112" s="16">
        <f t="shared" si="7"/>
        <v>65.384615384615387</v>
      </c>
      <c r="Q112" t="str">
        <f t="shared" si="10"/>
        <v>film &amp; video</v>
      </c>
      <c r="R112" t="str">
        <f t="shared" si="11"/>
        <v>shorts</v>
      </c>
      <c r="S112" s="4">
        <f t="shared" si="8"/>
        <v>41557.949687500004</v>
      </c>
      <c r="T112" s="4">
        <f t="shared" si="9"/>
        <v>41592.249305555553</v>
      </c>
      <c r="U112" s="5">
        <f>VLOOKUP(currency,Tables!$A$1:$C$14,3,FALSE)*pledged</f>
        <v>1700</v>
      </c>
    </row>
    <row r="113" spans="1:21" ht="43.2" x14ac:dyDescent="0.55000000000000004">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6"/>
        <v>1.5457142857142858</v>
      </c>
      <c r="P113" s="16">
        <f t="shared" si="7"/>
        <v>102.0754716981132</v>
      </c>
      <c r="Q113" t="str">
        <f t="shared" si="10"/>
        <v>film &amp; video</v>
      </c>
      <c r="R113" t="str">
        <f t="shared" si="11"/>
        <v>shorts</v>
      </c>
      <c r="S113" s="4">
        <f t="shared" si="8"/>
        <v>42125.333182870367</v>
      </c>
      <c r="T113" s="4">
        <f t="shared" si="9"/>
        <v>42155.333182870367</v>
      </c>
      <c r="U113" s="5">
        <f>VLOOKUP(currency,Tables!$A$1:$C$14,3,FALSE)*pledged</f>
        <v>3949.2999999999997</v>
      </c>
    </row>
    <row r="114" spans="1:21" ht="43.2" x14ac:dyDescent="0.55000000000000004">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6"/>
        <v>1.04</v>
      </c>
      <c r="P114" s="16">
        <f t="shared" si="7"/>
        <v>64.197530864197532</v>
      </c>
      <c r="Q114" t="str">
        <f t="shared" si="10"/>
        <v>film &amp; video</v>
      </c>
      <c r="R114" t="str">
        <f t="shared" si="11"/>
        <v>shorts</v>
      </c>
      <c r="S114" s="4">
        <f t="shared" si="8"/>
        <v>41718.043032407404</v>
      </c>
      <c r="T114" s="4">
        <f t="shared" si="9"/>
        <v>41742.083333333336</v>
      </c>
      <c r="U114" s="5">
        <f>VLOOKUP(currency,Tables!$A$1:$C$14,3,FALSE)*pledged</f>
        <v>5200</v>
      </c>
    </row>
    <row r="115" spans="1:21" ht="28.8" x14ac:dyDescent="0.55000000000000004">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6"/>
        <v>1.41</v>
      </c>
      <c r="P115" s="16">
        <f t="shared" si="7"/>
        <v>90.384615384615387</v>
      </c>
      <c r="Q115" t="str">
        <f t="shared" si="10"/>
        <v>film &amp; video</v>
      </c>
      <c r="R115" t="str">
        <f t="shared" si="11"/>
        <v>shorts</v>
      </c>
      <c r="S115" s="4">
        <f t="shared" si="8"/>
        <v>40753.758425925924</v>
      </c>
      <c r="T115" s="4">
        <f t="shared" si="9"/>
        <v>40761.625</v>
      </c>
      <c r="U115" s="5">
        <f>VLOOKUP(currency,Tables!$A$1:$C$14,3,FALSE)*pledged</f>
        <v>7050</v>
      </c>
    </row>
    <row r="116" spans="1:21" ht="43.2" x14ac:dyDescent="0.55000000000000004">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6"/>
        <v>1.0333333333333334</v>
      </c>
      <c r="P116" s="16">
        <f t="shared" si="7"/>
        <v>88.571428571428569</v>
      </c>
      <c r="Q116" t="str">
        <f t="shared" si="10"/>
        <v>film &amp; video</v>
      </c>
      <c r="R116" t="str">
        <f t="shared" si="11"/>
        <v>shorts</v>
      </c>
      <c r="S116" s="4">
        <f t="shared" si="8"/>
        <v>40861.27416666667</v>
      </c>
      <c r="T116" s="4">
        <f t="shared" si="9"/>
        <v>40921.27416666667</v>
      </c>
      <c r="U116" s="5">
        <f>VLOOKUP(currency,Tables!$A$1:$C$14,3,FALSE)*pledged</f>
        <v>3100</v>
      </c>
    </row>
    <row r="117" spans="1:21" x14ac:dyDescent="0.55000000000000004">
      <c r="A117">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6"/>
        <v>1.4044444444444444</v>
      </c>
      <c r="P117" s="16">
        <f t="shared" si="7"/>
        <v>28.727272727272727</v>
      </c>
      <c r="Q117" t="str">
        <f t="shared" si="10"/>
        <v>film &amp; video</v>
      </c>
      <c r="R117" t="str">
        <f t="shared" si="11"/>
        <v>shorts</v>
      </c>
      <c r="S117" s="4">
        <f t="shared" si="8"/>
        <v>40918.738935185182</v>
      </c>
      <c r="T117" s="4">
        <f t="shared" si="9"/>
        <v>40943.738935185182</v>
      </c>
      <c r="U117" s="5">
        <f>VLOOKUP(currency,Tables!$A$1:$C$14,3,FALSE)*pledged</f>
        <v>632</v>
      </c>
    </row>
    <row r="118" spans="1:21" ht="43.2" x14ac:dyDescent="0.55000000000000004">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6"/>
        <v>1.1365714285714286</v>
      </c>
      <c r="P118" s="16">
        <f t="shared" si="7"/>
        <v>69.78947368421052</v>
      </c>
      <c r="Q118" t="str">
        <f t="shared" si="10"/>
        <v>film &amp; video</v>
      </c>
      <c r="R118" t="str">
        <f t="shared" si="11"/>
        <v>shorts</v>
      </c>
      <c r="S118" s="4">
        <f t="shared" si="8"/>
        <v>40595.497164351851</v>
      </c>
      <c r="T118" s="4">
        <f t="shared" si="9"/>
        <v>40641.455497685187</v>
      </c>
      <c r="U118" s="5">
        <f>VLOOKUP(currency,Tables!$A$1:$C$14,3,FALSE)*pledged</f>
        <v>3978</v>
      </c>
    </row>
    <row r="119" spans="1:21" ht="43.2" x14ac:dyDescent="0.55000000000000004">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16">
        <f t="shared" si="7"/>
        <v>167.48962962962963</v>
      </c>
      <c r="Q119" t="str">
        <f t="shared" si="10"/>
        <v>film &amp; video</v>
      </c>
      <c r="R119" t="str">
        <f t="shared" si="11"/>
        <v>shorts</v>
      </c>
      <c r="S119" s="4">
        <f t="shared" si="8"/>
        <v>40248.834999999999</v>
      </c>
      <c r="T119" s="4">
        <f t="shared" si="9"/>
        <v>40338.791666666664</v>
      </c>
      <c r="U119" s="5">
        <f>VLOOKUP(currency,Tables!$A$1:$C$14,3,FALSE)*pledged</f>
        <v>4522.22</v>
      </c>
    </row>
    <row r="120" spans="1:21" ht="28.8" x14ac:dyDescent="0.55000000000000004">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16">
        <f t="shared" si="7"/>
        <v>144.91230769230768</v>
      </c>
      <c r="Q120" t="str">
        <f t="shared" si="10"/>
        <v>film &amp; video</v>
      </c>
      <c r="R120" t="str">
        <f t="shared" si="11"/>
        <v>shorts</v>
      </c>
      <c r="S120" s="4">
        <f t="shared" si="8"/>
        <v>40723.053657407407</v>
      </c>
      <c r="T120" s="4">
        <f t="shared" si="9"/>
        <v>40753.053657407407</v>
      </c>
      <c r="U120" s="5">
        <f>VLOOKUP(currency,Tables!$A$1:$C$14,3,FALSE)*pledged</f>
        <v>5651.58</v>
      </c>
    </row>
    <row r="121" spans="1:21" ht="43.2" x14ac:dyDescent="0.55000000000000004">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6"/>
        <v>1.0455692307692308</v>
      </c>
      <c r="P121" s="16">
        <f t="shared" si="7"/>
        <v>91.840540540540545</v>
      </c>
      <c r="Q121" t="str">
        <f t="shared" si="10"/>
        <v>film &amp; video</v>
      </c>
      <c r="R121" t="str">
        <f t="shared" si="11"/>
        <v>shorts</v>
      </c>
      <c r="S121" s="4">
        <f t="shared" si="8"/>
        <v>40739.069282407407</v>
      </c>
      <c r="T121" s="4">
        <f t="shared" si="9"/>
        <v>40768.958333333336</v>
      </c>
      <c r="U121" s="5">
        <f>VLOOKUP(currency,Tables!$A$1:$C$14,3,FALSE)*pledged</f>
        <v>3398.1</v>
      </c>
    </row>
    <row r="122" spans="1:21" ht="43.2" x14ac:dyDescent="0.55000000000000004">
      <c r="A122">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6"/>
        <v>1.4285714285714287E-4</v>
      </c>
      <c r="P122" s="16">
        <f t="shared" si="7"/>
        <v>10</v>
      </c>
      <c r="Q122" t="str">
        <f t="shared" si="10"/>
        <v>film &amp; video</v>
      </c>
      <c r="R122" t="str">
        <f t="shared" si="11"/>
        <v>science fiction</v>
      </c>
      <c r="S122" s="4">
        <f t="shared" si="8"/>
        <v>42616.049849537041</v>
      </c>
      <c r="T122" s="4">
        <f t="shared" si="9"/>
        <v>42646.049849537041</v>
      </c>
      <c r="U122" s="5">
        <f>VLOOKUP(currency,Tables!$A$1:$C$14,3,FALSE)*pledged</f>
        <v>1.3</v>
      </c>
    </row>
    <row r="123" spans="1:21" ht="43.2" x14ac:dyDescent="0.55000000000000004">
      <c r="A12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6"/>
        <v>3.3333333333333332E-4</v>
      </c>
      <c r="P123" s="16">
        <f t="shared" si="7"/>
        <v>1</v>
      </c>
      <c r="Q123" t="str">
        <f t="shared" si="10"/>
        <v>film &amp; video</v>
      </c>
      <c r="R123" t="str">
        <f t="shared" si="11"/>
        <v>science fiction</v>
      </c>
      <c r="S123" s="4">
        <f t="shared" si="8"/>
        <v>42096.704976851848</v>
      </c>
      <c r="T123" s="4">
        <f t="shared" si="9"/>
        <v>42112.427777777775</v>
      </c>
      <c r="U123" s="5">
        <f>VLOOKUP(currency,Tables!$A$1:$C$14,3,FALSE)*pledged</f>
        <v>1</v>
      </c>
    </row>
    <row r="124" spans="1:21" ht="28.8" x14ac:dyDescent="0.55000000000000004">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6"/>
        <v>0</v>
      </c>
      <c r="P124" s="16">
        <f t="shared" si="7"/>
        <v>0</v>
      </c>
      <c r="Q124" t="str">
        <f t="shared" si="10"/>
        <v>film &amp; video</v>
      </c>
      <c r="R124" t="str">
        <f t="shared" si="11"/>
        <v>science fiction</v>
      </c>
      <c r="S124" s="4">
        <f t="shared" si="8"/>
        <v>42593.431793981479</v>
      </c>
      <c r="T124" s="4">
        <f t="shared" si="9"/>
        <v>42653.431793981479</v>
      </c>
      <c r="U124" s="5">
        <f>VLOOKUP(currency,Tables!$A$1:$C$14,3,FALSE)*pledged</f>
        <v>0</v>
      </c>
    </row>
    <row r="125" spans="1:21" ht="43.2" x14ac:dyDescent="0.55000000000000004">
      <c r="A125">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6"/>
        <v>2.7454545454545453E-3</v>
      </c>
      <c r="P125" s="16">
        <f t="shared" si="7"/>
        <v>25.166666666666668</v>
      </c>
      <c r="Q125" t="str">
        <f t="shared" si="10"/>
        <v>film &amp; video</v>
      </c>
      <c r="R125" t="str">
        <f t="shared" si="11"/>
        <v>science fiction</v>
      </c>
      <c r="S125" s="4">
        <f t="shared" si="8"/>
        <v>41904.781990740739</v>
      </c>
      <c r="T125" s="4">
        <f t="shared" si="9"/>
        <v>41940.916666666664</v>
      </c>
      <c r="U125" s="5">
        <f>VLOOKUP(currency,Tables!$A$1:$C$14,3,FALSE)*pledged</f>
        <v>151</v>
      </c>
    </row>
    <row r="126" spans="1:21" ht="43.2" x14ac:dyDescent="0.55000000000000004">
      <c r="A126">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6"/>
        <v>0</v>
      </c>
      <c r="P126" s="16">
        <f t="shared" si="7"/>
        <v>0</v>
      </c>
      <c r="Q126" t="str">
        <f t="shared" si="10"/>
        <v>film &amp; video</v>
      </c>
      <c r="R126" t="str">
        <f t="shared" si="11"/>
        <v>science fiction</v>
      </c>
      <c r="S126" s="4">
        <f t="shared" si="8"/>
        <v>42114.928726851853</v>
      </c>
      <c r="T126" s="4">
        <f t="shared" si="9"/>
        <v>42139.928726851853</v>
      </c>
      <c r="U126" s="5">
        <f>VLOOKUP(currency,Tables!$A$1:$C$14,3,FALSE)*pledged</f>
        <v>0</v>
      </c>
    </row>
    <row r="127" spans="1:21" ht="43.2" x14ac:dyDescent="0.55000000000000004">
      <c r="A127">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6"/>
        <v>0.14000000000000001</v>
      </c>
      <c r="P127" s="16">
        <f t="shared" si="7"/>
        <v>11.666666666666666</v>
      </c>
      <c r="Q127" t="str">
        <f t="shared" si="10"/>
        <v>film &amp; video</v>
      </c>
      <c r="R127" t="str">
        <f t="shared" si="11"/>
        <v>science fiction</v>
      </c>
      <c r="S127" s="4">
        <f t="shared" si="8"/>
        <v>42709.993981481486</v>
      </c>
      <c r="T127" s="4">
        <f t="shared" si="9"/>
        <v>42769.993981481486</v>
      </c>
      <c r="U127" s="5">
        <f>VLOOKUP(currency,Tables!$A$1:$C$14,3,FALSE)*pledged</f>
        <v>53.2</v>
      </c>
    </row>
    <row r="128" spans="1:21" ht="43.2" x14ac:dyDescent="0.55000000000000004">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16">
        <f t="shared" si="7"/>
        <v>106.69230769230769</v>
      </c>
      <c r="Q128" t="str">
        <f t="shared" si="10"/>
        <v>film &amp; video</v>
      </c>
      <c r="R128" t="str">
        <f t="shared" si="11"/>
        <v>science fiction</v>
      </c>
      <c r="S128" s="4">
        <f t="shared" si="8"/>
        <v>42135.589548611111</v>
      </c>
      <c r="T128" s="4">
        <f t="shared" si="9"/>
        <v>42166.083333333328</v>
      </c>
      <c r="U128" s="5">
        <f>VLOOKUP(currency,Tables!$A$1:$C$14,3,FALSE)*pledged</f>
        <v>1387</v>
      </c>
    </row>
    <row r="129" spans="1:21" ht="43.2" x14ac:dyDescent="0.55000000000000004">
      <c r="A129">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6"/>
        <v>2.375E-2</v>
      </c>
      <c r="P129" s="16">
        <f t="shared" si="7"/>
        <v>47.5</v>
      </c>
      <c r="Q129" t="str">
        <f t="shared" si="10"/>
        <v>film &amp; video</v>
      </c>
      <c r="R129" t="str">
        <f t="shared" si="11"/>
        <v>science fiction</v>
      </c>
      <c r="S129" s="4">
        <f t="shared" si="8"/>
        <v>42067.62431712963</v>
      </c>
      <c r="T129" s="4">
        <f t="shared" si="9"/>
        <v>42097.582650462966</v>
      </c>
      <c r="U129" s="5">
        <f>VLOOKUP(currency,Tables!$A$1:$C$14,3,FALSE)*pledged</f>
        <v>190</v>
      </c>
    </row>
    <row r="130" spans="1:21" ht="28.8" x14ac:dyDescent="0.55000000000000004">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ref="O130:O193" si="12">pledged/goal</f>
        <v>1.8669999999999999E-2</v>
      </c>
      <c r="P130" s="16">
        <f t="shared" ref="P130:P193" si="13">IF(pledged=0,0,pledged/backers_count)</f>
        <v>311.16666666666669</v>
      </c>
      <c r="Q130" t="str">
        <f t="shared" si="10"/>
        <v>film &amp; video</v>
      </c>
      <c r="R130" t="str">
        <f t="shared" si="11"/>
        <v>science fiction</v>
      </c>
      <c r="S130" s="4">
        <f t="shared" ref="S130:S193" si="14">(((Unix_launched_date/60)/60)/24)+DATE(1970,1,1)</f>
        <v>42628.22792824074</v>
      </c>
      <c r="T130" s="4">
        <f t="shared" ref="T130:T193" si="15">(((Unix_deadline/60)/60)/24)+DATE(1970,1,1)</f>
        <v>42663.22792824074</v>
      </c>
      <c r="U130" s="5">
        <f>VLOOKUP(currency,Tables!$A$1:$C$14,3,FALSE)*pledged</f>
        <v>1867</v>
      </c>
    </row>
    <row r="131" spans="1:21" ht="43.2" x14ac:dyDescent="0.55000000000000004">
      <c r="A131">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si="12"/>
        <v>0</v>
      </c>
      <c r="P131" s="16">
        <f t="shared" si="13"/>
        <v>0</v>
      </c>
      <c r="Q131" t="str">
        <f t="shared" ref="Q131:Q194" si="16">LEFT(N131,FIND("/",N131,1)-1)</f>
        <v>film &amp; video</v>
      </c>
      <c r="R131" t="str">
        <f t="shared" ref="R131:R194" si="17">RIGHT(N131,(LEN(N131)-FIND("/",N131,1)))</f>
        <v>science fiction</v>
      </c>
      <c r="S131" s="4">
        <f t="shared" si="14"/>
        <v>41882.937303240738</v>
      </c>
      <c r="T131" s="4">
        <f t="shared" si="15"/>
        <v>41942.937303240738</v>
      </c>
      <c r="U131" s="5">
        <f>VLOOKUP(currency,Tables!$A$1:$C$14,3,FALSE)*pledged</f>
        <v>0</v>
      </c>
    </row>
    <row r="132" spans="1:21" ht="43.2" x14ac:dyDescent="0.55000000000000004">
      <c r="A132">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12"/>
        <v>0</v>
      </c>
      <c r="P132" s="16">
        <f t="shared" si="13"/>
        <v>0</v>
      </c>
      <c r="Q132" t="str">
        <f t="shared" si="16"/>
        <v>film &amp; video</v>
      </c>
      <c r="R132" t="str">
        <f t="shared" si="17"/>
        <v>science fiction</v>
      </c>
      <c r="S132" s="4">
        <f t="shared" si="14"/>
        <v>41778.915416666663</v>
      </c>
      <c r="T132" s="4">
        <f t="shared" si="15"/>
        <v>41806.844444444447</v>
      </c>
      <c r="U132" s="5">
        <f>VLOOKUP(currency,Tables!$A$1:$C$14,3,FALSE)*pledged</f>
        <v>0</v>
      </c>
    </row>
    <row r="133" spans="1:21" x14ac:dyDescent="0.55000000000000004">
      <c r="A13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12"/>
        <v>0</v>
      </c>
      <c r="P133" s="16">
        <f t="shared" si="13"/>
        <v>0</v>
      </c>
      <c r="Q133" t="str">
        <f t="shared" si="16"/>
        <v>film &amp; video</v>
      </c>
      <c r="R133" t="str">
        <f t="shared" si="17"/>
        <v>science fiction</v>
      </c>
      <c r="S133" s="4">
        <f t="shared" si="14"/>
        <v>42541.837511574078</v>
      </c>
      <c r="T133" s="4">
        <f t="shared" si="15"/>
        <v>42557</v>
      </c>
      <c r="U133" s="5">
        <f>VLOOKUP(currency,Tables!$A$1:$C$14,3,FALSE)*pledged</f>
        <v>0</v>
      </c>
    </row>
    <row r="134" spans="1:21" ht="43.2" x14ac:dyDescent="0.55000000000000004">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16">
        <f t="shared" si="13"/>
        <v>94.506172839506178</v>
      </c>
      <c r="Q134" t="str">
        <f t="shared" si="16"/>
        <v>film &amp; video</v>
      </c>
      <c r="R134" t="str">
        <f t="shared" si="17"/>
        <v>science fiction</v>
      </c>
      <c r="S134" s="4">
        <f t="shared" si="14"/>
        <v>41905.812581018516</v>
      </c>
      <c r="T134" s="4">
        <f t="shared" si="15"/>
        <v>41950.854247685187</v>
      </c>
      <c r="U134" s="5">
        <f>VLOOKUP(currency,Tables!$A$1:$C$14,3,FALSE)*pledged</f>
        <v>7655</v>
      </c>
    </row>
    <row r="135" spans="1:21" ht="28.8" x14ac:dyDescent="0.55000000000000004">
      <c r="A135">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12"/>
        <v>0</v>
      </c>
      <c r="P135" s="16">
        <f t="shared" si="13"/>
        <v>0</v>
      </c>
      <c r="Q135" t="str">
        <f t="shared" si="16"/>
        <v>film &amp; video</v>
      </c>
      <c r="R135" t="str">
        <f t="shared" si="17"/>
        <v>science fiction</v>
      </c>
      <c r="S135" s="4">
        <f t="shared" si="14"/>
        <v>42491.80768518518</v>
      </c>
      <c r="T135" s="4">
        <f t="shared" si="15"/>
        <v>42521.729861111111</v>
      </c>
      <c r="U135" s="5">
        <f>VLOOKUP(currency,Tables!$A$1:$C$14,3,FALSE)*pledged</f>
        <v>0</v>
      </c>
    </row>
    <row r="136" spans="1:21" ht="28.8" x14ac:dyDescent="0.55000000000000004">
      <c r="A136">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12"/>
        <v>0</v>
      </c>
      <c r="P136" s="16">
        <f t="shared" si="13"/>
        <v>0</v>
      </c>
      <c r="Q136" t="str">
        <f t="shared" si="16"/>
        <v>film &amp; video</v>
      </c>
      <c r="R136" t="str">
        <f t="shared" si="17"/>
        <v>science fiction</v>
      </c>
      <c r="S136" s="4">
        <f t="shared" si="14"/>
        <v>42221.909930555557</v>
      </c>
      <c r="T136" s="4">
        <f t="shared" si="15"/>
        <v>42251.708333333328</v>
      </c>
      <c r="U136" s="5">
        <f>VLOOKUP(currency,Tables!$A$1:$C$14,3,FALSE)*pledged</f>
        <v>0</v>
      </c>
    </row>
    <row r="137" spans="1:21" ht="43.2" x14ac:dyDescent="0.55000000000000004">
      <c r="A137">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12"/>
        <v>0.13433333333333333</v>
      </c>
      <c r="P137" s="16">
        <f t="shared" si="13"/>
        <v>80.599999999999994</v>
      </c>
      <c r="Q137" t="str">
        <f t="shared" si="16"/>
        <v>film &amp; video</v>
      </c>
      <c r="R137" t="str">
        <f t="shared" si="17"/>
        <v>science fiction</v>
      </c>
      <c r="S137" s="4">
        <f t="shared" si="14"/>
        <v>41788.381909722222</v>
      </c>
      <c r="T137" s="4">
        <f t="shared" si="15"/>
        <v>41821.791666666664</v>
      </c>
      <c r="U137" s="5">
        <f>VLOOKUP(currency,Tables!$A$1:$C$14,3,FALSE)*pledged</f>
        <v>403</v>
      </c>
    </row>
    <row r="138" spans="1:21" ht="43.2" x14ac:dyDescent="0.55000000000000004">
      <c r="A138">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12"/>
        <v>0</v>
      </c>
      <c r="P138" s="16">
        <f t="shared" si="13"/>
        <v>0</v>
      </c>
      <c r="Q138" t="str">
        <f t="shared" si="16"/>
        <v>film &amp; video</v>
      </c>
      <c r="R138" t="str">
        <f t="shared" si="17"/>
        <v>science fiction</v>
      </c>
      <c r="S138" s="4">
        <f t="shared" si="14"/>
        <v>42096.410115740742</v>
      </c>
      <c r="T138" s="4">
        <f t="shared" si="15"/>
        <v>42140.427777777775</v>
      </c>
      <c r="U138" s="5">
        <f>VLOOKUP(currency,Tables!$A$1:$C$14,3,FALSE)*pledged</f>
        <v>0</v>
      </c>
    </row>
    <row r="139" spans="1:21" ht="43.2" x14ac:dyDescent="0.55000000000000004">
      <c r="A139">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12"/>
        <v>0</v>
      </c>
      <c r="P139" s="16">
        <f t="shared" si="13"/>
        <v>0</v>
      </c>
      <c r="Q139" t="str">
        <f t="shared" si="16"/>
        <v>film &amp; video</v>
      </c>
      <c r="R139" t="str">
        <f t="shared" si="17"/>
        <v>science fiction</v>
      </c>
      <c r="S139" s="4">
        <f t="shared" si="14"/>
        <v>42239.573993055557</v>
      </c>
      <c r="T139" s="4">
        <f t="shared" si="15"/>
        <v>42289.573993055557</v>
      </c>
      <c r="U139" s="5">
        <f>VLOOKUP(currency,Tables!$A$1:$C$14,3,FALSE)*pledged</f>
        <v>0</v>
      </c>
    </row>
    <row r="140" spans="1:21" ht="43.2" x14ac:dyDescent="0.55000000000000004">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16">
        <f t="shared" si="13"/>
        <v>81.241379310344826</v>
      </c>
      <c r="Q140" t="str">
        <f t="shared" si="16"/>
        <v>film &amp; video</v>
      </c>
      <c r="R140" t="str">
        <f t="shared" si="17"/>
        <v>science fiction</v>
      </c>
      <c r="S140" s="4">
        <f t="shared" si="14"/>
        <v>42186.257418981477</v>
      </c>
      <c r="T140" s="4">
        <f t="shared" si="15"/>
        <v>42217.207638888889</v>
      </c>
      <c r="U140" s="5">
        <f>VLOOKUP(currency,Tables!$A$1:$C$14,3,FALSE)*pledged</f>
        <v>4712</v>
      </c>
    </row>
    <row r="141" spans="1:21" ht="43.2" x14ac:dyDescent="0.55000000000000004">
      <c r="A141">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12"/>
        <v>1</v>
      </c>
      <c r="P141" s="16">
        <f t="shared" si="13"/>
        <v>500</v>
      </c>
      <c r="Q141" t="str">
        <f t="shared" si="16"/>
        <v>film &amp; video</v>
      </c>
      <c r="R141" t="str">
        <f t="shared" si="17"/>
        <v>science fiction</v>
      </c>
      <c r="S141" s="4">
        <f t="shared" si="14"/>
        <v>42187.920972222222</v>
      </c>
      <c r="T141" s="4">
        <f t="shared" si="15"/>
        <v>42197.920972222222</v>
      </c>
      <c r="U141" s="5">
        <f>VLOOKUP(currency,Tables!$A$1:$C$14,3,FALSE)*pledged</f>
        <v>500</v>
      </c>
    </row>
    <row r="142" spans="1:21" ht="43.2" x14ac:dyDescent="0.55000000000000004">
      <c r="A142">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12"/>
        <v>0</v>
      </c>
      <c r="P142" s="16">
        <f t="shared" si="13"/>
        <v>0</v>
      </c>
      <c r="Q142" t="str">
        <f t="shared" si="16"/>
        <v>film &amp; video</v>
      </c>
      <c r="R142" t="str">
        <f t="shared" si="17"/>
        <v>science fiction</v>
      </c>
      <c r="S142" s="4">
        <f t="shared" si="14"/>
        <v>42053.198287037041</v>
      </c>
      <c r="T142" s="4">
        <f t="shared" si="15"/>
        <v>42083.15662037037</v>
      </c>
      <c r="U142" s="5">
        <f>VLOOKUP(currency,Tables!$A$1:$C$14,3,FALSE)*pledged</f>
        <v>0</v>
      </c>
    </row>
    <row r="143" spans="1:21" ht="43.2" x14ac:dyDescent="0.55000000000000004">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12"/>
        <v>0.10775</v>
      </c>
      <c r="P143" s="16">
        <f t="shared" si="13"/>
        <v>46.178571428571431</v>
      </c>
      <c r="Q143" t="str">
        <f t="shared" si="16"/>
        <v>film &amp; video</v>
      </c>
      <c r="R143" t="str">
        <f t="shared" si="17"/>
        <v>science fiction</v>
      </c>
      <c r="S143" s="4">
        <f t="shared" si="14"/>
        <v>42110.153043981481</v>
      </c>
      <c r="T143" s="4">
        <f t="shared" si="15"/>
        <v>42155.153043981481</v>
      </c>
      <c r="U143" s="5">
        <f>VLOOKUP(currency,Tables!$A$1:$C$14,3,FALSE)*pledged</f>
        <v>1293</v>
      </c>
    </row>
    <row r="144" spans="1:21" ht="43.2" x14ac:dyDescent="0.55000000000000004">
      <c r="A144">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12"/>
        <v>3.3333333333333335E-3</v>
      </c>
      <c r="P144" s="16">
        <f t="shared" si="13"/>
        <v>10</v>
      </c>
      <c r="Q144" t="str">
        <f t="shared" si="16"/>
        <v>film &amp; video</v>
      </c>
      <c r="R144" t="str">
        <f t="shared" si="17"/>
        <v>science fiction</v>
      </c>
      <c r="S144" s="4">
        <f t="shared" si="14"/>
        <v>41938.893263888887</v>
      </c>
      <c r="T144" s="4">
        <f t="shared" si="15"/>
        <v>41959.934930555552</v>
      </c>
      <c r="U144" s="5">
        <f>VLOOKUP(currency,Tables!$A$1:$C$14,3,FALSE)*pledged</f>
        <v>10</v>
      </c>
    </row>
    <row r="145" spans="1:21" ht="43.2" x14ac:dyDescent="0.55000000000000004">
      <c r="A145">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12"/>
        <v>0</v>
      </c>
      <c r="P145" s="16">
        <f t="shared" si="13"/>
        <v>0</v>
      </c>
      <c r="Q145" t="str">
        <f t="shared" si="16"/>
        <v>film &amp; video</v>
      </c>
      <c r="R145" t="str">
        <f t="shared" si="17"/>
        <v>science fiction</v>
      </c>
      <c r="S145" s="4">
        <f t="shared" si="14"/>
        <v>42559.064143518524</v>
      </c>
      <c r="T145" s="4">
        <f t="shared" si="15"/>
        <v>42616.246527777781</v>
      </c>
      <c r="U145" s="5">
        <f>VLOOKUP(currency,Tables!$A$1:$C$14,3,FALSE)*pledged</f>
        <v>0</v>
      </c>
    </row>
    <row r="146" spans="1:21" ht="43.2" x14ac:dyDescent="0.55000000000000004">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16">
        <f t="shared" si="13"/>
        <v>55.945945945945944</v>
      </c>
      <c r="Q146" t="str">
        <f t="shared" si="16"/>
        <v>film &amp; video</v>
      </c>
      <c r="R146" t="str">
        <f t="shared" si="17"/>
        <v>science fiction</v>
      </c>
      <c r="S146" s="4">
        <f t="shared" si="14"/>
        <v>42047.762407407412</v>
      </c>
      <c r="T146" s="4">
        <f t="shared" si="15"/>
        <v>42107.72074074074</v>
      </c>
      <c r="U146" s="5">
        <f>VLOOKUP(currency,Tables!$A$1:$C$14,3,FALSE)*pledged</f>
        <v>1573.2</v>
      </c>
    </row>
    <row r="147" spans="1:21" ht="43.2" x14ac:dyDescent="0.55000000000000004">
      <c r="A147">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12"/>
        <v>7.5111111111111115E-2</v>
      </c>
      <c r="P147" s="16">
        <f t="shared" si="13"/>
        <v>37.555555555555557</v>
      </c>
      <c r="Q147" t="str">
        <f t="shared" si="16"/>
        <v>film &amp; video</v>
      </c>
      <c r="R147" t="str">
        <f t="shared" si="17"/>
        <v>science fiction</v>
      </c>
      <c r="S147" s="4">
        <f t="shared" si="14"/>
        <v>42200.542268518519</v>
      </c>
      <c r="T147" s="4">
        <f t="shared" si="15"/>
        <v>42227.542268518519</v>
      </c>
      <c r="U147" s="5">
        <f>VLOOKUP(currency,Tables!$A$1:$C$14,3,FALSE)*pledged</f>
        <v>338</v>
      </c>
    </row>
    <row r="148" spans="1:21" ht="43.2" x14ac:dyDescent="0.55000000000000004">
      <c r="A148">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16">
        <f t="shared" si="13"/>
        <v>38.333333333333336</v>
      </c>
      <c r="Q148" t="str">
        <f t="shared" si="16"/>
        <v>film &amp; video</v>
      </c>
      <c r="R148" t="str">
        <f t="shared" si="17"/>
        <v>science fiction</v>
      </c>
      <c r="S148" s="4">
        <f t="shared" si="14"/>
        <v>42693.016180555554</v>
      </c>
      <c r="T148" s="4">
        <f t="shared" si="15"/>
        <v>42753.016180555554</v>
      </c>
      <c r="U148" s="5">
        <f>VLOOKUP(currency,Tables!$A$1:$C$14,3,FALSE)*pledged</f>
        <v>115</v>
      </c>
    </row>
    <row r="149" spans="1:21" ht="28.8" x14ac:dyDescent="0.55000000000000004">
      <c r="A149">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12"/>
        <v>0</v>
      </c>
      <c r="P149" s="16">
        <f t="shared" si="13"/>
        <v>0</v>
      </c>
      <c r="Q149" t="str">
        <f t="shared" si="16"/>
        <v>film &amp; video</v>
      </c>
      <c r="R149" t="str">
        <f t="shared" si="17"/>
        <v>science fiction</v>
      </c>
      <c r="S149" s="4">
        <f t="shared" si="14"/>
        <v>41969.767824074079</v>
      </c>
      <c r="T149" s="4">
        <f t="shared" si="15"/>
        <v>42012.762499999997</v>
      </c>
      <c r="U149" s="5">
        <f>VLOOKUP(currency,Tables!$A$1:$C$14,3,FALSE)*pledged</f>
        <v>0</v>
      </c>
    </row>
    <row r="150" spans="1:21" ht="43.2" x14ac:dyDescent="0.55000000000000004">
      <c r="A150">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12"/>
        <v>8.0000000000000004E-4</v>
      </c>
      <c r="P150" s="16">
        <f t="shared" si="13"/>
        <v>20</v>
      </c>
      <c r="Q150" t="str">
        <f t="shared" si="16"/>
        <v>film &amp; video</v>
      </c>
      <c r="R150" t="str">
        <f t="shared" si="17"/>
        <v>science fiction</v>
      </c>
      <c r="S150" s="4">
        <f t="shared" si="14"/>
        <v>42397.281666666662</v>
      </c>
      <c r="T150" s="4">
        <f t="shared" si="15"/>
        <v>42427.281666666662</v>
      </c>
      <c r="U150" s="5">
        <f>VLOOKUP(currency,Tables!$A$1:$C$14,3,FALSE)*pledged</f>
        <v>40</v>
      </c>
    </row>
    <row r="151" spans="1:21" ht="43.2" x14ac:dyDescent="0.55000000000000004">
      <c r="A151">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12"/>
        <v>9.1999999999999998E-3</v>
      </c>
      <c r="P151" s="16">
        <f t="shared" si="13"/>
        <v>15.333333333333334</v>
      </c>
      <c r="Q151" t="str">
        <f t="shared" si="16"/>
        <v>film &amp; video</v>
      </c>
      <c r="R151" t="str">
        <f t="shared" si="17"/>
        <v>science fiction</v>
      </c>
      <c r="S151" s="4">
        <f t="shared" si="14"/>
        <v>41968.172106481477</v>
      </c>
      <c r="T151" s="4">
        <f t="shared" si="15"/>
        <v>41998.333333333328</v>
      </c>
      <c r="U151" s="5">
        <f>VLOOKUP(currency,Tables!$A$1:$C$14,3,FALSE)*pledged</f>
        <v>92</v>
      </c>
    </row>
    <row r="152" spans="1:21" ht="43.2" x14ac:dyDescent="0.55000000000000004">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16">
        <f t="shared" si="13"/>
        <v>449.43283582089555</v>
      </c>
      <c r="Q152" t="str">
        <f t="shared" si="16"/>
        <v>film &amp; video</v>
      </c>
      <c r="R152" t="str">
        <f t="shared" si="17"/>
        <v>science fiction</v>
      </c>
      <c r="S152" s="4">
        <f t="shared" si="14"/>
        <v>42090.161828703705</v>
      </c>
      <c r="T152" s="4">
        <f t="shared" si="15"/>
        <v>42150.161828703705</v>
      </c>
      <c r="U152" s="5">
        <f>VLOOKUP(currency,Tables!$A$1:$C$14,3,FALSE)*pledged</f>
        <v>30112</v>
      </c>
    </row>
    <row r="153" spans="1:21" ht="43.2" x14ac:dyDescent="0.55000000000000004">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16">
        <f t="shared" si="13"/>
        <v>28</v>
      </c>
      <c r="Q153" t="str">
        <f t="shared" si="16"/>
        <v>film &amp; video</v>
      </c>
      <c r="R153" t="str">
        <f t="shared" si="17"/>
        <v>science fiction</v>
      </c>
      <c r="S153" s="4">
        <f t="shared" si="14"/>
        <v>42113.550821759258</v>
      </c>
      <c r="T153" s="4">
        <f t="shared" si="15"/>
        <v>42173.550821759258</v>
      </c>
      <c r="U153" s="5">
        <f>VLOOKUP(currency,Tables!$A$1:$C$14,3,FALSE)*pledged</f>
        <v>102.2</v>
      </c>
    </row>
    <row r="154" spans="1:21" ht="28.8" x14ac:dyDescent="0.55000000000000004">
      <c r="A154">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16">
        <f t="shared" si="13"/>
        <v>15</v>
      </c>
      <c r="Q154" t="str">
        <f t="shared" si="16"/>
        <v>film &amp; video</v>
      </c>
      <c r="R154" t="str">
        <f t="shared" si="17"/>
        <v>science fiction</v>
      </c>
      <c r="S154" s="4">
        <f t="shared" si="14"/>
        <v>41875.077546296299</v>
      </c>
      <c r="T154" s="4">
        <f t="shared" si="15"/>
        <v>41905.077546296299</v>
      </c>
      <c r="U154" s="5">
        <f>VLOOKUP(currency,Tables!$A$1:$C$14,3,FALSE)*pledged</f>
        <v>30</v>
      </c>
    </row>
    <row r="155" spans="1:21" ht="43.2" x14ac:dyDescent="0.55000000000000004">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16">
        <f t="shared" si="13"/>
        <v>35.9</v>
      </c>
      <c r="Q155" t="str">
        <f t="shared" si="16"/>
        <v>film &amp; video</v>
      </c>
      <c r="R155" t="str">
        <f t="shared" si="17"/>
        <v>science fiction</v>
      </c>
      <c r="S155" s="4">
        <f t="shared" si="14"/>
        <v>41933.586157407408</v>
      </c>
      <c r="T155" s="4">
        <f t="shared" si="15"/>
        <v>41975.627824074079</v>
      </c>
      <c r="U155" s="5">
        <f>VLOOKUP(currency,Tables!$A$1:$C$14,3,FALSE)*pledged</f>
        <v>359</v>
      </c>
    </row>
    <row r="156" spans="1:21" ht="28.8" x14ac:dyDescent="0.55000000000000004">
      <c r="A156">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12"/>
        <v>2.6666666666666668E-2</v>
      </c>
      <c r="P156" s="16">
        <f t="shared" si="13"/>
        <v>13.333333333333334</v>
      </c>
      <c r="Q156" t="str">
        <f t="shared" si="16"/>
        <v>film &amp; video</v>
      </c>
      <c r="R156" t="str">
        <f t="shared" si="17"/>
        <v>science fiction</v>
      </c>
      <c r="S156" s="4">
        <f t="shared" si="14"/>
        <v>42115.547395833331</v>
      </c>
      <c r="T156" s="4">
        <f t="shared" si="15"/>
        <v>42158.547395833331</v>
      </c>
      <c r="U156" s="5">
        <f>VLOOKUP(currency,Tables!$A$1:$C$14,3,FALSE)*pledged</f>
        <v>40</v>
      </c>
    </row>
    <row r="157" spans="1:21" ht="57.6" x14ac:dyDescent="0.55000000000000004">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16">
        <f t="shared" si="13"/>
        <v>20.25</v>
      </c>
      <c r="Q157" t="str">
        <f t="shared" si="16"/>
        <v>film &amp; video</v>
      </c>
      <c r="R157" t="str">
        <f t="shared" si="17"/>
        <v>science fiction</v>
      </c>
      <c r="S157" s="4">
        <f t="shared" si="14"/>
        <v>42168.559432870374</v>
      </c>
      <c r="T157" s="4">
        <f t="shared" si="15"/>
        <v>42208.559432870374</v>
      </c>
      <c r="U157" s="5">
        <f>VLOOKUP(currency,Tables!$A$1:$C$14,3,FALSE)*pledged</f>
        <v>81</v>
      </c>
    </row>
    <row r="158" spans="1:21" ht="43.2" x14ac:dyDescent="0.55000000000000004">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16">
        <f t="shared" si="13"/>
        <v>119</v>
      </c>
      <c r="Q158" t="str">
        <f t="shared" si="16"/>
        <v>film &amp; video</v>
      </c>
      <c r="R158" t="str">
        <f t="shared" si="17"/>
        <v>science fiction</v>
      </c>
      <c r="S158" s="4">
        <f t="shared" si="14"/>
        <v>41794.124953703707</v>
      </c>
      <c r="T158" s="4">
        <f t="shared" si="15"/>
        <v>41854.124953703707</v>
      </c>
      <c r="U158" s="5">
        <f>VLOOKUP(currency,Tables!$A$1:$C$14,3,FALSE)*pledged</f>
        <v>1356.6</v>
      </c>
    </row>
    <row r="159" spans="1:21" ht="43.2" x14ac:dyDescent="0.55000000000000004">
      <c r="A159">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12"/>
        <v>2.671118530884808E-3</v>
      </c>
      <c r="P159" s="16">
        <f t="shared" si="13"/>
        <v>4</v>
      </c>
      <c r="Q159" t="str">
        <f t="shared" si="16"/>
        <v>film &amp; video</v>
      </c>
      <c r="R159" t="str">
        <f t="shared" si="17"/>
        <v>science fiction</v>
      </c>
      <c r="S159" s="4">
        <f t="shared" si="14"/>
        <v>42396.911712962959</v>
      </c>
      <c r="T159" s="4">
        <f t="shared" si="15"/>
        <v>42426.911712962959</v>
      </c>
      <c r="U159" s="5">
        <f>VLOOKUP(currency,Tables!$A$1:$C$14,3,FALSE)*pledged</f>
        <v>8</v>
      </c>
    </row>
    <row r="160" spans="1:21" ht="43.2" x14ac:dyDescent="0.55000000000000004">
      <c r="A160">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12"/>
        <v>0</v>
      </c>
      <c r="P160" s="16">
        <f t="shared" si="13"/>
        <v>0</v>
      </c>
      <c r="Q160" t="str">
        <f t="shared" si="16"/>
        <v>film &amp; video</v>
      </c>
      <c r="R160" t="str">
        <f t="shared" si="17"/>
        <v>science fiction</v>
      </c>
      <c r="S160" s="4">
        <f t="shared" si="14"/>
        <v>41904.07671296296</v>
      </c>
      <c r="T160" s="4">
        <f t="shared" si="15"/>
        <v>41934.07671296296</v>
      </c>
      <c r="U160" s="5">
        <f>VLOOKUP(currency,Tables!$A$1:$C$14,3,FALSE)*pledged</f>
        <v>0</v>
      </c>
    </row>
    <row r="161" spans="1:21" ht="43.2" x14ac:dyDescent="0.55000000000000004">
      <c r="A161">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16">
        <f t="shared" si="13"/>
        <v>10</v>
      </c>
      <c r="Q161" t="str">
        <f t="shared" si="16"/>
        <v>film &amp; video</v>
      </c>
      <c r="R161" t="str">
        <f t="shared" si="17"/>
        <v>science fiction</v>
      </c>
      <c r="S161" s="4">
        <f t="shared" si="14"/>
        <v>42514.434548611112</v>
      </c>
      <c r="T161" s="4">
        <f t="shared" si="15"/>
        <v>42554.434548611112</v>
      </c>
      <c r="U161" s="5">
        <f>VLOOKUP(currency,Tables!$A$1:$C$14,3,FALSE)*pledged</f>
        <v>10</v>
      </c>
    </row>
    <row r="162" spans="1:21" ht="43.2" x14ac:dyDescent="0.55000000000000004">
      <c r="A162">
        <v>160</v>
      </c>
      <c r="B162" s="1" t="s">
        <v>162</v>
      </c>
      <c r="C162" s="1" t="s">
        <v>4270</v>
      </c>
      <c r="D162">
        <v>5000</v>
      </c>
      <c r="E162">
        <v>0</v>
      </c>
      <c r="F162" t="s">
        <v>8221</v>
      </c>
      <c r="G162" t="s">
        <v>8224</v>
      </c>
      <c r="H162" t="s">
        <v>8246</v>
      </c>
      <c r="I162">
        <v>1439675691</v>
      </c>
      <c r="J162">
        <v>1434491691</v>
      </c>
      <c r="K162" t="b">
        <v>0</v>
      </c>
      <c r="L162">
        <v>0</v>
      </c>
      <c r="M162" t="b">
        <v>0</v>
      </c>
      <c r="N162" t="s">
        <v>8268</v>
      </c>
      <c r="O162" s="6">
        <f t="shared" si="12"/>
        <v>0</v>
      </c>
      <c r="P162" s="16">
        <f t="shared" si="13"/>
        <v>0</v>
      </c>
      <c r="Q162" t="str">
        <f t="shared" si="16"/>
        <v>film &amp; video</v>
      </c>
      <c r="R162" t="str">
        <f t="shared" si="17"/>
        <v>drama</v>
      </c>
      <c r="S162" s="4">
        <f t="shared" si="14"/>
        <v>42171.913090277783</v>
      </c>
      <c r="T162" s="4">
        <f t="shared" si="15"/>
        <v>42231.913090277783</v>
      </c>
      <c r="U162" s="5">
        <f>VLOOKUP(currency,Tables!$A$1:$C$14,3,FALSE)*pledged</f>
        <v>0</v>
      </c>
    </row>
    <row r="163" spans="1:21" ht="43.2" x14ac:dyDescent="0.55000000000000004">
      <c r="A16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12"/>
        <v>1E-4</v>
      </c>
      <c r="P163" s="16">
        <f t="shared" si="13"/>
        <v>5</v>
      </c>
      <c r="Q163" t="str">
        <f t="shared" si="16"/>
        <v>film &amp; video</v>
      </c>
      <c r="R163" t="str">
        <f t="shared" si="17"/>
        <v>drama</v>
      </c>
      <c r="S163" s="4">
        <f t="shared" si="14"/>
        <v>41792.687442129631</v>
      </c>
      <c r="T163" s="4">
        <f t="shared" si="15"/>
        <v>41822.687442129631</v>
      </c>
      <c r="U163" s="5">
        <f>VLOOKUP(currency,Tables!$A$1:$C$14,3,FALSE)*pledged</f>
        <v>5</v>
      </c>
    </row>
    <row r="164" spans="1:21" ht="43.2" x14ac:dyDescent="0.55000000000000004">
      <c r="A164">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12"/>
        <v>0.15535714285714286</v>
      </c>
      <c r="P164" s="16">
        <f t="shared" si="13"/>
        <v>43.5</v>
      </c>
      <c r="Q164" t="str">
        <f t="shared" si="16"/>
        <v>film &amp; video</v>
      </c>
      <c r="R164" t="str">
        <f t="shared" si="17"/>
        <v>drama</v>
      </c>
      <c r="S164" s="4">
        <f t="shared" si="14"/>
        <v>41835.126805555556</v>
      </c>
      <c r="T164" s="4">
        <f t="shared" si="15"/>
        <v>41867.987500000003</v>
      </c>
      <c r="U164" s="5">
        <f>VLOOKUP(currency,Tables!$A$1:$C$14,3,FALSE)*pledged</f>
        <v>435</v>
      </c>
    </row>
    <row r="165" spans="1:21" ht="57.6" x14ac:dyDescent="0.55000000000000004">
      <c r="A165">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12"/>
        <v>0</v>
      </c>
      <c r="P165" s="16">
        <f t="shared" si="13"/>
        <v>0</v>
      </c>
      <c r="Q165" t="str">
        <f t="shared" si="16"/>
        <v>film &amp; video</v>
      </c>
      <c r="R165" t="str">
        <f t="shared" si="17"/>
        <v>drama</v>
      </c>
      <c r="S165" s="4">
        <f t="shared" si="14"/>
        <v>42243.961273148147</v>
      </c>
      <c r="T165" s="4">
        <f t="shared" si="15"/>
        <v>42278</v>
      </c>
      <c r="U165" s="5">
        <f>VLOOKUP(currency,Tables!$A$1:$C$14,3,FALSE)*pledged</f>
        <v>0</v>
      </c>
    </row>
    <row r="166" spans="1:21" ht="43.2" x14ac:dyDescent="0.55000000000000004">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16">
        <f t="shared" si="13"/>
        <v>91.428571428571431</v>
      </c>
      <c r="Q166" t="str">
        <f t="shared" si="16"/>
        <v>film &amp; video</v>
      </c>
      <c r="R166" t="str">
        <f t="shared" si="17"/>
        <v>drama</v>
      </c>
      <c r="S166" s="4">
        <f t="shared" si="14"/>
        <v>41841.762743055559</v>
      </c>
      <c r="T166" s="4">
        <f t="shared" si="15"/>
        <v>41901.762743055559</v>
      </c>
      <c r="U166" s="5">
        <f>VLOOKUP(currency,Tables!$A$1:$C$14,3,FALSE)*pledged</f>
        <v>640</v>
      </c>
    </row>
    <row r="167" spans="1:21" ht="28.8" x14ac:dyDescent="0.55000000000000004">
      <c r="A167">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12"/>
        <v>0</v>
      </c>
      <c r="P167" s="16">
        <f t="shared" si="13"/>
        <v>0</v>
      </c>
      <c r="Q167" t="str">
        <f t="shared" si="16"/>
        <v>film &amp; video</v>
      </c>
      <c r="R167" t="str">
        <f t="shared" si="17"/>
        <v>drama</v>
      </c>
      <c r="S167" s="4">
        <f t="shared" si="14"/>
        <v>42351.658842592587</v>
      </c>
      <c r="T167" s="4">
        <f t="shared" si="15"/>
        <v>42381.658842592587</v>
      </c>
      <c r="U167" s="5">
        <f>VLOOKUP(currency,Tables!$A$1:$C$14,3,FALSE)*pledged</f>
        <v>0</v>
      </c>
    </row>
    <row r="168" spans="1:21" ht="43.2" x14ac:dyDescent="0.55000000000000004">
      <c r="A168">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12"/>
        <v>0.6</v>
      </c>
      <c r="P168" s="16">
        <f t="shared" si="13"/>
        <v>3000</v>
      </c>
      <c r="Q168" t="str">
        <f t="shared" si="16"/>
        <v>film &amp; video</v>
      </c>
      <c r="R168" t="str">
        <f t="shared" si="17"/>
        <v>drama</v>
      </c>
      <c r="S168" s="4">
        <f t="shared" si="14"/>
        <v>42721.075949074075</v>
      </c>
      <c r="T168" s="4">
        <f t="shared" si="15"/>
        <v>42751.075949074075</v>
      </c>
      <c r="U168" s="5">
        <f>VLOOKUP(currency,Tables!$A$1:$C$14,3,FALSE)*pledged</f>
        <v>3000</v>
      </c>
    </row>
    <row r="169" spans="1:21" ht="43.2" x14ac:dyDescent="0.55000000000000004">
      <c r="A169">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12"/>
        <v>1E-4</v>
      </c>
      <c r="P169" s="16">
        <f t="shared" si="13"/>
        <v>5.5</v>
      </c>
      <c r="Q169" t="str">
        <f t="shared" si="16"/>
        <v>film &amp; video</v>
      </c>
      <c r="R169" t="str">
        <f t="shared" si="17"/>
        <v>drama</v>
      </c>
      <c r="S169" s="4">
        <f t="shared" si="14"/>
        <v>42160.927488425921</v>
      </c>
      <c r="T169" s="4">
        <f t="shared" si="15"/>
        <v>42220.927488425921</v>
      </c>
      <c r="U169" s="5">
        <f>VLOOKUP(currency,Tables!$A$1:$C$14,3,FALSE)*pledged</f>
        <v>11</v>
      </c>
    </row>
    <row r="170" spans="1:21" ht="43.2" x14ac:dyDescent="0.55000000000000004">
      <c r="A170">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12"/>
        <v>4.0625000000000001E-2</v>
      </c>
      <c r="P170" s="16">
        <f t="shared" si="13"/>
        <v>108.33333333333333</v>
      </c>
      <c r="Q170" t="str">
        <f t="shared" si="16"/>
        <v>film &amp; video</v>
      </c>
      <c r="R170" t="str">
        <f t="shared" si="17"/>
        <v>drama</v>
      </c>
      <c r="S170" s="4">
        <f t="shared" si="14"/>
        <v>42052.83530092593</v>
      </c>
      <c r="T170" s="4">
        <f t="shared" si="15"/>
        <v>42082.793634259258</v>
      </c>
      <c r="U170" s="5">
        <f>VLOOKUP(currency,Tables!$A$1:$C$14,3,FALSE)*pledged</f>
        <v>325</v>
      </c>
    </row>
    <row r="171" spans="1:21" ht="43.2" x14ac:dyDescent="0.55000000000000004">
      <c r="A171">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12"/>
        <v>0.224</v>
      </c>
      <c r="P171" s="16">
        <f t="shared" si="13"/>
        <v>56</v>
      </c>
      <c r="Q171" t="str">
        <f t="shared" si="16"/>
        <v>film &amp; video</v>
      </c>
      <c r="R171" t="str">
        <f t="shared" si="17"/>
        <v>drama</v>
      </c>
      <c r="S171" s="4">
        <f t="shared" si="14"/>
        <v>41900.505312499998</v>
      </c>
      <c r="T171" s="4">
        <f t="shared" si="15"/>
        <v>41930.505312499998</v>
      </c>
      <c r="U171" s="5">
        <f>VLOOKUP(currency,Tables!$A$1:$C$14,3,FALSE)*pledged</f>
        <v>739.2</v>
      </c>
    </row>
    <row r="172" spans="1:21" ht="43.2" x14ac:dyDescent="0.55000000000000004">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16">
        <f t="shared" si="13"/>
        <v>32.5</v>
      </c>
      <c r="Q172" t="str">
        <f t="shared" si="16"/>
        <v>film &amp; video</v>
      </c>
      <c r="R172" t="str">
        <f t="shared" si="17"/>
        <v>drama</v>
      </c>
      <c r="S172" s="4">
        <f t="shared" si="14"/>
        <v>42216.977812500001</v>
      </c>
      <c r="T172" s="4">
        <f t="shared" si="15"/>
        <v>42246.227777777778</v>
      </c>
      <c r="U172" s="5">
        <f>VLOOKUP(currency,Tables!$A$1:$C$14,3,FALSE)*pledged</f>
        <v>325</v>
      </c>
    </row>
    <row r="173" spans="1:21" ht="43.2" x14ac:dyDescent="0.55000000000000004">
      <c r="A17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12"/>
        <v>2.0000000000000002E-5</v>
      </c>
      <c r="P173" s="16">
        <f t="shared" si="13"/>
        <v>1</v>
      </c>
      <c r="Q173" t="str">
        <f t="shared" si="16"/>
        <v>film &amp; video</v>
      </c>
      <c r="R173" t="str">
        <f t="shared" si="17"/>
        <v>drama</v>
      </c>
      <c r="S173" s="4">
        <f t="shared" si="14"/>
        <v>42534.180717592593</v>
      </c>
      <c r="T173" s="4">
        <f t="shared" si="15"/>
        <v>42594.180717592593</v>
      </c>
      <c r="U173" s="5">
        <f>VLOOKUP(currency,Tables!$A$1:$C$14,3,FALSE)*pledged</f>
        <v>1</v>
      </c>
    </row>
    <row r="174" spans="1:21" ht="43.2" x14ac:dyDescent="0.55000000000000004">
      <c r="A174">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12"/>
        <v>0</v>
      </c>
      <c r="P174" s="16">
        <f t="shared" si="13"/>
        <v>0</v>
      </c>
      <c r="Q174" t="str">
        <f t="shared" si="16"/>
        <v>film &amp; video</v>
      </c>
      <c r="R174" t="str">
        <f t="shared" si="17"/>
        <v>drama</v>
      </c>
      <c r="S174" s="4">
        <f t="shared" si="14"/>
        <v>42047.394942129627</v>
      </c>
      <c r="T174" s="4">
        <f t="shared" si="15"/>
        <v>42082.353275462956</v>
      </c>
      <c r="U174" s="5">
        <f>VLOOKUP(currency,Tables!$A$1:$C$14,3,FALSE)*pledged</f>
        <v>0</v>
      </c>
    </row>
    <row r="175" spans="1:21" ht="43.2" x14ac:dyDescent="0.55000000000000004">
      <c r="A175">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12"/>
        <v>0</v>
      </c>
      <c r="P175" s="16">
        <f t="shared" si="13"/>
        <v>0</v>
      </c>
      <c r="Q175" t="str">
        <f t="shared" si="16"/>
        <v>film &amp; video</v>
      </c>
      <c r="R175" t="str">
        <f t="shared" si="17"/>
        <v>drama</v>
      </c>
      <c r="S175" s="4">
        <f t="shared" si="14"/>
        <v>42033.573009259257</v>
      </c>
      <c r="T175" s="4">
        <f t="shared" si="15"/>
        <v>42063.573009259257</v>
      </c>
      <c r="U175" s="5">
        <f>VLOOKUP(currency,Tables!$A$1:$C$14,3,FALSE)*pledged</f>
        <v>0</v>
      </c>
    </row>
    <row r="176" spans="1:21" ht="43.2" x14ac:dyDescent="0.55000000000000004">
      <c r="A176">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12"/>
        <v>0</v>
      </c>
      <c r="P176" s="16">
        <f t="shared" si="13"/>
        <v>0</v>
      </c>
      <c r="Q176" t="str">
        <f t="shared" si="16"/>
        <v>film &amp; video</v>
      </c>
      <c r="R176" t="str">
        <f t="shared" si="17"/>
        <v>drama</v>
      </c>
      <c r="S176" s="4">
        <f t="shared" si="14"/>
        <v>42072.758981481486</v>
      </c>
      <c r="T176" s="4">
        <f t="shared" si="15"/>
        <v>42132.758981481486</v>
      </c>
      <c r="U176" s="5">
        <f>VLOOKUP(currency,Tables!$A$1:$C$14,3,FALSE)*pledged</f>
        <v>0</v>
      </c>
    </row>
    <row r="177" spans="1:21" ht="43.2" x14ac:dyDescent="0.55000000000000004">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16">
        <f t="shared" si="13"/>
        <v>49.884615384615387</v>
      </c>
      <c r="Q177" t="str">
        <f t="shared" si="16"/>
        <v>film &amp; video</v>
      </c>
      <c r="R177" t="str">
        <f t="shared" si="17"/>
        <v>drama</v>
      </c>
      <c r="S177" s="4">
        <f t="shared" si="14"/>
        <v>41855.777905092589</v>
      </c>
      <c r="T177" s="4">
        <f t="shared" si="15"/>
        <v>41880.777905092589</v>
      </c>
      <c r="U177" s="5">
        <f>VLOOKUP(currency,Tables!$A$1:$C$14,3,FALSE)*pledged</f>
        <v>1712.0400000000002</v>
      </c>
    </row>
    <row r="178" spans="1:21" ht="43.2" x14ac:dyDescent="0.55000000000000004">
      <c r="A178">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12"/>
        <v>0</v>
      </c>
      <c r="P178" s="16">
        <f t="shared" si="13"/>
        <v>0</v>
      </c>
      <c r="Q178" t="str">
        <f t="shared" si="16"/>
        <v>film &amp; video</v>
      </c>
      <c r="R178" t="str">
        <f t="shared" si="17"/>
        <v>drama</v>
      </c>
      <c r="S178" s="4">
        <f t="shared" si="14"/>
        <v>42191.824062500003</v>
      </c>
      <c r="T178" s="4">
        <f t="shared" si="15"/>
        <v>42221.824062500003</v>
      </c>
      <c r="U178" s="5">
        <f>VLOOKUP(currency,Tables!$A$1:$C$14,3,FALSE)*pledged</f>
        <v>0</v>
      </c>
    </row>
    <row r="179" spans="1:21" ht="28.8" x14ac:dyDescent="0.55000000000000004">
      <c r="A179">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12"/>
        <v>0.4</v>
      </c>
      <c r="P179" s="16">
        <f t="shared" si="13"/>
        <v>25.714285714285715</v>
      </c>
      <c r="Q179" t="str">
        <f t="shared" si="16"/>
        <v>film &amp; video</v>
      </c>
      <c r="R179" t="str">
        <f t="shared" si="17"/>
        <v>drama</v>
      </c>
      <c r="S179" s="4">
        <f t="shared" si="14"/>
        <v>42070.047754629632</v>
      </c>
      <c r="T179" s="4">
        <f t="shared" si="15"/>
        <v>42087.00608796296</v>
      </c>
      <c r="U179" s="5">
        <f>VLOOKUP(currency,Tables!$A$1:$C$14,3,FALSE)*pledged</f>
        <v>180</v>
      </c>
    </row>
    <row r="180" spans="1:21" ht="28.8" x14ac:dyDescent="0.55000000000000004">
      <c r="A180">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12"/>
        <v>0</v>
      </c>
      <c r="P180" s="16">
        <f t="shared" si="13"/>
        <v>0</v>
      </c>
      <c r="Q180" t="str">
        <f t="shared" si="16"/>
        <v>film &amp; video</v>
      </c>
      <c r="R180" t="str">
        <f t="shared" si="17"/>
        <v>drama</v>
      </c>
      <c r="S180" s="4">
        <f t="shared" si="14"/>
        <v>42304.955381944441</v>
      </c>
      <c r="T180" s="4">
        <f t="shared" si="15"/>
        <v>42334.997048611112</v>
      </c>
      <c r="U180" s="5">
        <f>VLOOKUP(currency,Tables!$A$1:$C$14,3,FALSE)*pledged</f>
        <v>0</v>
      </c>
    </row>
    <row r="181" spans="1:21" ht="28.8" x14ac:dyDescent="0.55000000000000004">
      <c r="A181">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12"/>
        <v>0.2</v>
      </c>
      <c r="P181" s="16">
        <f t="shared" si="13"/>
        <v>100</v>
      </c>
      <c r="Q181" t="str">
        <f t="shared" si="16"/>
        <v>film &amp; video</v>
      </c>
      <c r="R181" t="str">
        <f t="shared" si="17"/>
        <v>drama</v>
      </c>
      <c r="S181" s="4">
        <f t="shared" si="14"/>
        <v>42403.080497685187</v>
      </c>
      <c r="T181" s="4">
        <f t="shared" si="15"/>
        <v>42433.080497685187</v>
      </c>
      <c r="U181" s="5">
        <f>VLOOKUP(currency,Tables!$A$1:$C$14,3,FALSE)*pledged</f>
        <v>200</v>
      </c>
    </row>
    <row r="182" spans="1:21" ht="43.2" x14ac:dyDescent="0.55000000000000004">
      <c r="A182">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12"/>
        <v>0.33416666666666667</v>
      </c>
      <c r="P182" s="16">
        <f t="shared" si="13"/>
        <v>30.846153846153847</v>
      </c>
      <c r="Q182" t="str">
        <f t="shared" si="16"/>
        <v>film &amp; video</v>
      </c>
      <c r="R182" t="str">
        <f t="shared" si="17"/>
        <v>drama</v>
      </c>
      <c r="S182" s="4">
        <f t="shared" si="14"/>
        <v>42067.991238425922</v>
      </c>
      <c r="T182" s="4">
        <f t="shared" si="15"/>
        <v>42107.791666666672</v>
      </c>
      <c r="U182" s="5">
        <f>VLOOKUP(currency,Tables!$A$1:$C$14,3,FALSE)*pledged</f>
        <v>529.32000000000005</v>
      </c>
    </row>
    <row r="183" spans="1:21" ht="43.2" x14ac:dyDescent="0.55000000000000004">
      <c r="A18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12"/>
        <v>0.21092608822670172</v>
      </c>
      <c r="P183" s="16">
        <f t="shared" si="13"/>
        <v>180.5</v>
      </c>
      <c r="Q183" t="str">
        <f t="shared" si="16"/>
        <v>film &amp; video</v>
      </c>
      <c r="R183" t="str">
        <f t="shared" si="17"/>
        <v>drama</v>
      </c>
      <c r="S183" s="4">
        <f t="shared" si="14"/>
        <v>42147.741840277777</v>
      </c>
      <c r="T183" s="4">
        <f t="shared" si="15"/>
        <v>42177.741840277777</v>
      </c>
      <c r="U183" s="5">
        <f>VLOOKUP(currency,Tables!$A$1:$C$14,3,FALSE)*pledged</f>
        <v>953.04000000000008</v>
      </c>
    </row>
    <row r="184" spans="1:21" ht="43.2" x14ac:dyDescent="0.55000000000000004">
      <c r="A184">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12"/>
        <v>0</v>
      </c>
      <c r="P184" s="16">
        <f t="shared" si="13"/>
        <v>0</v>
      </c>
      <c r="Q184" t="str">
        <f t="shared" si="16"/>
        <v>film &amp; video</v>
      </c>
      <c r="R184" t="str">
        <f t="shared" si="17"/>
        <v>drama</v>
      </c>
      <c r="S184" s="4">
        <f t="shared" si="14"/>
        <v>42712.011944444443</v>
      </c>
      <c r="T184" s="4">
        <f t="shared" si="15"/>
        <v>42742.011944444443</v>
      </c>
      <c r="U184" s="5">
        <f>VLOOKUP(currency,Tables!$A$1:$C$14,3,FALSE)*pledged</f>
        <v>0</v>
      </c>
    </row>
    <row r="185" spans="1:21" x14ac:dyDescent="0.55000000000000004">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16">
        <f t="shared" si="13"/>
        <v>373.5</v>
      </c>
      <c r="Q185" t="str">
        <f t="shared" si="16"/>
        <v>film &amp; video</v>
      </c>
      <c r="R185" t="str">
        <f t="shared" si="17"/>
        <v>drama</v>
      </c>
      <c r="S185" s="4">
        <f t="shared" si="14"/>
        <v>41939.810300925928</v>
      </c>
      <c r="T185" s="4">
        <f t="shared" si="15"/>
        <v>41969.851967592593</v>
      </c>
      <c r="U185" s="5">
        <f>VLOOKUP(currency,Tables!$A$1:$C$14,3,FALSE)*pledged</f>
        <v>5916.2400000000007</v>
      </c>
    </row>
    <row r="186" spans="1:21" ht="43.2" x14ac:dyDescent="0.55000000000000004">
      <c r="A186">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12"/>
        <v>3.4000000000000002E-2</v>
      </c>
      <c r="P186" s="16">
        <f t="shared" si="13"/>
        <v>25.5</v>
      </c>
      <c r="Q186" t="str">
        <f t="shared" si="16"/>
        <v>film &amp; video</v>
      </c>
      <c r="R186" t="str">
        <f t="shared" si="17"/>
        <v>drama</v>
      </c>
      <c r="S186" s="4">
        <f t="shared" si="14"/>
        <v>41825.791226851856</v>
      </c>
      <c r="T186" s="4">
        <f t="shared" si="15"/>
        <v>41883.165972222225</v>
      </c>
      <c r="U186" s="5">
        <f>VLOOKUP(currency,Tables!$A$1:$C$14,3,FALSE)*pledged</f>
        <v>38.76</v>
      </c>
    </row>
    <row r="187" spans="1:21" x14ac:dyDescent="0.55000000000000004">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12"/>
        <v>5.5E-2</v>
      </c>
      <c r="P187" s="16">
        <f t="shared" si="13"/>
        <v>220</v>
      </c>
      <c r="Q187" t="str">
        <f t="shared" si="16"/>
        <v>film &amp; video</v>
      </c>
      <c r="R187" t="str">
        <f t="shared" si="17"/>
        <v>drama</v>
      </c>
      <c r="S187" s="4">
        <f t="shared" si="14"/>
        <v>42570.91133101852</v>
      </c>
      <c r="T187" s="4">
        <f t="shared" si="15"/>
        <v>42600.91133101852</v>
      </c>
      <c r="U187" s="5">
        <f>VLOOKUP(currency,Tables!$A$1:$C$14,3,FALSE)*pledged</f>
        <v>242</v>
      </c>
    </row>
    <row r="188" spans="1:21" ht="43.2" x14ac:dyDescent="0.55000000000000004">
      <c r="A188">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12"/>
        <v>0</v>
      </c>
      <c r="P188" s="16">
        <f t="shared" si="13"/>
        <v>0</v>
      </c>
      <c r="Q188" t="str">
        <f t="shared" si="16"/>
        <v>film &amp; video</v>
      </c>
      <c r="R188" t="str">
        <f t="shared" si="17"/>
        <v>drama</v>
      </c>
      <c r="S188" s="4">
        <f t="shared" si="14"/>
        <v>42767.812893518523</v>
      </c>
      <c r="T188" s="4">
        <f t="shared" si="15"/>
        <v>42797.833333333328</v>
      </c>
      <c r="U188" s="5">
        <f>VLOOKUP(currency,Tables!$A$1:$C$14,3,FALSE)*pledged</f>
        <v>0</v>
      </c>
    </row>
    <row r="189" spans="1:21" ht="28.8" x14ac:dyDescent="0.55000000000000004">
      <c r="A189">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12"/>
        <v>0.16</v>
      </c>
      <c r="P189" s="16">
        <f t="shared" si="13"/>
        <v>160</v>
      </c>
      <c r="Q189" t="str">
        <f t="shared" si="16"/>
        <v>film &amp; video</v>
      </c>
      <c r="R189" t="str">
        <f t="shared" si="17"/>
        <v>drama</v>
      </c>
      <c r="S189" s="4">
        <f t="shared" si="14"/>
        <v>42182.234456018516</v>
      </c>
      <c r="T189" s="4">
        <f t="shared" si="15"/>
        <v>42206.290972222225</v>
      </c>
      <c r="U189" s="5">
        <f>VLOOKUP(currency,Tables!$A$1:$C$14,3,FALSE)*pledged</f>
        <v>800</v>
      </c>
    </row>
    <row r="190" spans="1:21" ht="43.2" x14ac:dyDescent="0.55000000000000004">
      <c r="A190">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12"/>
        <v>0</v>
      </c>
      <c r="P190" s="16">
        <f t="shared" si="13"/>
        <v>0</v>
      </c>
      <c r="Q190" t="str">
        <f t="shared" si="16"/>
        <v>film &amp; video</v>
      </c>
      <c r="R190" t="str">
        <f t="shared" si="17"/>
        <v>drama</v>
      </c>
      <c r="S190" s="4">
        <f t="shared" si="14"/>
        <v>41857.18304398148</v>
      </c>
      <c r="T190" s="4">
        <f t="shared" si="15"/>
        <v>41887.18304398148</v>
      </c>
      <c r="U190" s="5">
        <f>VLOOKUP(currency,Tables!$A$1:$C$14,3,FALSE)*pledged</f>
        <v>0</v>
      </c>
    </row>
    <row r="191" spans="1:21" ht="43.2" x14ac:dyDescent="0.55000000000000004">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16">
        <f t="shared" si="13"/>
        <v>69</v>
      </c>
      <c r="Q191" t="str">
        <f t="shared" si="16"/>
        <v>film &amp; video</v>
      </c>
      <c r="R191" t="str">
        <f t="shared" si="17"/>
        <v>drama</v>
      </c>
      <c r="S191" s="4">
        <f t="shared" si="14"/>
        <v>42556.690706018519</v>
      </c>
      <c r="T191" s="4">
        <f t="shared" si="15"/>
        <v>42616.690706018519</v>
      </c>
      <c r="U191" s="5">
        <f>VLOOKUP(currency,Tables!$A$1:$C$14,3,FALSE)*pledged</f>
        <v>345</v>
      </c>
    </row>
    <row r="192" spans="1:21" x14ac:dyDescent="0.55000000000000004">
      <c r="A192">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12"/>
        <v>4.1666666666666666E-3</v>
      </c>
      <c r="P192" s="16">
        <f t="shared" si="13"/>
        <v>50</v>
      </c>
      <c r="Q192" t="str">
        <f t="shared" si="16"/>
        <v>film &amp; video</v>
      </c>
      <c r="R192" t="str">
        <f t="shared" si="17"/>
        <v>drama</v>
      </c>
      <c r="S192" s="4">
        <f t="shared" si="14"/>
        <v>42527.650995370372</v>
      </c>
      <c r="T192" s="4">
        <f t="shared" si="15"/>
        <v>42537.650995370372</v>
      </c>
      <c r="U192" s="5">
        <f>VLOOKUP(currency,Tables!$A$1:$C$14,3,FALSE)*pledged</f>
        <v>50</v>
      </c>
    </row>
    <row r="193" spans="1:21" ht="43.2" x14ac:dyDescent="0.55000000000000004">
      <c r="A19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12"/>
        <v>0.05</v>
      </c>
      <c r="P193" s="16">
        <f t="shared" si="13"/>
        <v>83.333333333333329</v>
      </c>
      <c r="Q193" t="str">
        <f t="shared" si="16"/>
        <v>film &amp; video</v>
      </c>
      <c r="R193" t="str">
        <f t="shared" si="17"/>
        <v>drama</v>
      </c>
      <c r="S193" s="4">
        <f t="shared" si="14"/>
        <v>42239.441412037035</v>
      </c>
      <c r="T193" s="4">
        <f t="shared" si="15"/>
        <v>42279.441412037035</v>
      </c>
      <c r="U193" s="5">
        <f>VLOOKUP(currency,Tables!$A$1:$C$14,3,FALSE)*pledged</f>
        <v>182.5</v>
      </c>
    </row>
    <row r="194" spans="1:21" ht="43.2" x14ac:dyDescent="0.55000000000000004">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ref="O194:O257" si="18">pledged/goal</f>
        <v>1.7E-5</v>
      </c>
      <c r="P194" s="16">
        <f t="shared" ref="P194:P257" si="19">IF(pledged=0,0,pledged/backers_count)</f>
        <v>5.666666666666667</v>
      </c>
      <c r="Q194" t="str">
        <f t="shared" si="16"/>
        <v>film &amp; video</v>
      </c>
      <c r="R194" t="str">
        <f t="shared" si="17"/>
        <v>drama</v>
      </c>
      <c r="S194" s="4">
        <f t="shared" ref="S194:S257" si="20">(((Unix_launched_date/60)/60)/24)+DATE(1970,1,1)</f>
        <v>41899.792037037041</v>
      </c>
      <c r="T194" s="4">
        <f t="shared" ref="T194:T257" si="21">(((Unix_deadline/60)/60)/24)+DATE(1970,1,1)</f>
        <v>41929.792037037041</v>
      </c>
      <c r="U194" s="5">
        <f>VLOOKUP(currency,Tables!$A$1:$C$14,3,FALSE)*pledged</f>
        <v>17</v>
      </c>
    </row>
    <row r="195" spans="1:21" ht="43.2" x14ac:dyDescent="0.55000000000000004">
      <c r="A195">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si="18"/>
        <v>0</v>
      </c>
      <c r="P195" s="16">
        <f t="shared" si="19"/>
        <v>0</v>
      </c>
      <c r="Q195" t="str">
        <f t="shared" ref="Q195:Q258" si="22">LEFT(N195,FIND("/",N195,1)-1)</f>
        <v>film &amp; video</v>
      </c>
      <c r="R195" t="str">
        <f t="shared" ref="R195:R258" si="23">RIGHT(N195,(LEN(N195)-FIND("/",N195,1)))</f>
        <v>drama</v>
      </c>
      <c r="S195" s="4">
        <f t="shared" si="20"/>
        <v>41911.934791666667</v>
      </c>
      <c r="T195" s="4">
        <f t="shared" si="21"/>
        <v>41971.976458333331</v>
      </c>
      <c r="U195" s="5">
        <f>VLOOKUP(currency,Tables!$A$1:$C$14,3,FALSE)*pledged</f>
        <v>0</v>
      </c>
    </row>
    <row r="196" spans="1:21" ht="43.2" x14ac:dyDescent="0.55000000000000004">
      <c r="A196">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8"/>
        <v>1.1999999999999999E-3</v>
      </c>
      <c r="P196" s="16">
        <f t="shared" si="19"/>
        <v>1</v>
      </c>
      <c r="Q196" t="str">
        <f t="shared" si="22"/>
        <v>film &amp; video</v>
      </c>
      <c r="R196" t="str">
        <f t="shared" si="23"/>
        <v>drama</v>
      </c>
      <c r="S196" s="4">
        <f t="shared" si="20"/>
        <v>42375.996886574074</v>
      </c>
      <c r="T196" s="4">
        <f t="shared" si="21"/>
        <v>42435.996886574074</v>
      </c>
      <c r="U196" s="5">
        <f>VLOOKUP(currency,Tables!$A$1:$C$14,3,FALSE)*pledged</f>
        <v>3.96</v>
      </c>
    </row>
    <row r="197" spans="1:21" ht="43.2" x14ac:dyDescent="0.55000000000000004">
      <c r="A197">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8"/>
        <v>0</v>
      </c>
      <c r="P197" s="16">
        <f t="shared" si="19"/>
        <v>0</v>
      </c>
      <c r="Q197" t="str">
        <f t="shared" si="22"/>
        <v>film &amp; video</v>
      </c>
      <c r="R197" t="str">
        <f t="shared" si="23"/>
        <v>drama</v>
      </c>
      <c r="S197" s="4">
        <f t="shared" si="20"/>
        <v>42135.67050925926</v>
      </c>
      <c r="T197" s="4">
        <f t="shared" si="21"/>
        <v>42195.67050925926</v>
      </c>
      <c r="U197" s="5">
        <f>VLOOKUP(currency,Tables!$A$1:$C$14,3,FALSE)*pledged</f>
        <v>0</v>
      </c>
    </row>
    <row r="198" spans="1:21" ht="43.2" x14ac:dyDescent="0.55000000000000004">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16">
        <f t="shared" si="19"/>
        <v>77.10526315789474</v>
      </c>
      <c r="Q198" t="str">
        <f t="shared" si="22"/>
        <v>film &amp; video</v>
      </c>
      <c r="R198" t="str">
        <f t="shared" si="23"/>
        <v>drama</v>
      </c>
      <c r="S198" s="4">
        <f t="shared" si="20"/>
        <v>42259.542800925927</v>
      </c>
      <c r="T198" s="4">
        <f t="shared" si="21"/>
        <v>42287.875</v>
      </c>
      <c r="U198" s="5">
        <f>VLOOKUP(currency,Tables!$A$1:$C$14,3,FALSE)*pledged</f>
        <v>1933.8000000000002</v>
      </c>
    </row>
    <row r="199" spans="1:21" ht="43.2" x14ac:dyDescent="0.55000000000000004">
      <c r="A199">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8"/>
        <v>0.1048</v>
      </c>
      <c r="P199" s="16">
        <f t="shared" si="19"/>
        <v>32.75</v>
      </c>
      <c r="Q199" t="str">
        <f t="shared" si="22"/>
        <v>film &amp; video</v>
      </c>
      <c r="R199" t="str">
        <f t="shared" si="23"/>
        <v>drama</v>
      </c>
      <c r="S199" s="4">
        <f t="shared" si="20"/>
        <v>42741.848379629635</v>
      </c>
      <c r="T199" s="4">
        <f t="shared" si="21"/>
        <v>42783.875</v>
      </c>
      <c r="U199" s="5">
        <f>VLOOKUP(currency,Tables!$A$1:$C$14,3,FALSE)*pledged</f>
        <v>345.84000000000003</v>
      </c>
    </row>
    <row r="200" spans="1:21" ht="43.2" x14ac:dyDescent="0.55000000000000004">
      <c r="A200">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8"/>
        <v>1.116E-2</v>
      </c>
      <c r="P200" s="16">
        <f t="shared" si="19"/>
        <v>46.5</v>
      </c>
      <c r="Q200" t="str">
        <f t="shared" si="22"/>
        <v>film &amp; video</v>
      </c>
      <c r="R200" t="str">
        <f t="shared" si="23"/>
        <v>drama</v>
      </c>
      <c r="S200" s="4">
        <f t="shared" si="20"/>
        <v>41887.383356481485</v>
      </c>
      <c r="T200" s="4">
        <f t="shared" si="21"/>
        <v>41917.383356481485</v>
      </c>
      <c r="U200" s="5">
        <f>VLOOKUP(currency,Tables!$A$1:$C$14,3,FALSE)*pledged</f>
        <v>279</v>
      </c>
    </row>
    <row r="201" spans="1:21" ht="43.2" x14ac:dyDescent="0.55000000000000004">
      <c r="A201">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8"/>
        <v>0</v>
      </c>
      <c r="P201" s="16">
        <f t="shared" si="19"/>
        <v>0</v>
      </c>
      <c r="Q201" t="str">
        <f t="shared" si="22"/>
        <v>film &amp; video</v>
      </c>
      <c r="R201" t="str">
        <f t="shared" si="23"/>
        <v>drama</v>
      </c>
      <c r="S201" s="4">
        <f t="shared" si="20"/>
        <v>42584.123865740738</v>
      </c>
      <c r="T201" s="4">
        <f t="shared" si="21"/>
        <v>42614.123865740738</v>
      </c>
      <c r="U201" s="5">
        <f>VLOOKUP(currency,Tables!$A$1:$C$14,3,FALSE)*pledged</f>
        <v>0</v>
      </c>
    </row>
    <row r="202" spans="1:21" ht="28.8" x14ac:dyDescent="0.55000000000000004">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16">
        <f t="shared" si="19"/>
        <v>87.308333333333337</v>
      </c>
      <c r="Q202" t="str">
        <f t="shared" si="22"/>
        <v>film &amp; video</v>
      </c>
      <c r="R202" t="str">
        <f t="shared" si="23"/>
        <v>drama</v>
      </c>
      <c r="S202" s="4">
        <f t="shared" si="20"/>
        <v>41867.083368055559</v>
      </c>
      <c r="T202" s="4">
        <f t="shared" si="21"/>
        <v>41897.083368055559</v>
      </c>
      <c r="U202" s="5">
        <f>VLOOKUP(currency,Tables!$A$1:$C$14,3,FALSE)*pledged</f>
        <v>1571.55</v>
      </c>
    </row>
    <row r="203" spans="1:21" ht="43.2" x14ac:dyDescent="0.55000000000000004">
      <c r="A20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8"/>
        <v>0.58461538461538465</v>
      </c>
      <c r="P203" s="16">
        <f t="shared" si="19"/>
        <v>54.285714285714285</v>
      </c>
      <c r="Q203" t="str">
        <f t="shared" si="22"/>
        <v>film &amp; video</v>
      </c>
      <c r="R203" t="str">
        <f t="shared" si="23"/>
        <v>drama</v>
      </c>
      <c r="S203" s="4">
        <f t="shared" si="20"/>
        <v>42023.818622685183</v>
      </c>
      <c r="T203" s="4">
        <f t="shared" si="21"/>
        <v>42043.818622685183</v>
      </c>
      <c r="U203" s="5">
        <f>VLOOKUP(currency,Tables!$A$1:$C$14,3,FALSE)*pledged</f>
        <v>380</v>
      </c>
    </row>
    <row r="204" spans="1:21" x14ac:dyDescent="0.55000000000000004">
      <c r="A204">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8"/>
        <v>0</v>
      </c>
      <c r="P204" s="16">
        <f t="shared" si="19"/>
        <v>0</v>
      </c>
      <c r="Q204" t="str">
        <f t="shared" si="22"/>
        <v>film &amp; video</v>
      </c>
      <c r="R204" t="str">
        <f t="shared" si="23"/>
        <v>drama</v>
      </c>
      <c r="S204" s="4">
        <f t="shared" si="20"/>
        <v>42255.927824074075</v>
      </c>
      <c r="T204" s="4">
        <f t="shared" si="21"/>
        <v>42285.874305555553</v>
      </c>
      <c r="U204" s="5">
        <f>VLOOKUP(currency,Tables!$A$1:$C$14,3,FALSE)*pledged</f>
        <v>0</v>
      </c>
    </row>
    <row r="205" spans="1:21" ht="43.2" x14ac:dyDescent="0.55000000000000004">
      <c r="A205">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8"/>
        <v>0.2984</v>
      </c>
      <c r="P205" s="16">
        <f t="shared" si="19"/>
        <v>93.25</v>
      </c>
      <c r="Q205" t="str">
        <f t="shared" si="22"/>
        <v>film &amp; video</v>
      </c>
      <c r="R205" t="str">
        <f t="shared" si="23"/>
        <v>drama</v>
      </c>
      <c r="S205" s="4">
        <f t="shared" si="20"/>
        <v>41973.847962962958</v>
      </c>
      <c r="T205" s="4">
        <f t="shared" si="21"/>
        <v>42033.847962962958</v>
      </c>
      <c r="U205" s="5">
        <f>VLOOKUP(currency,Tables!$A$1:$C$14,3,FALSE)*pledged</f>
        <v>984.72</v>
      </c>
    </row>
    <row r="206" spans="1:21" ht="43.2" x14ac:dyDescent="0.55000000000000004">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16">
        <f t="shared" si="19"/>
        <v>117.68368136117556</v>
      </c>
      <c r="Q206" t="str">
        <f t="shared" si="22"/>
        <v>film &amp; video</v>
      </c>
      <c r="R206" t="str">
        <f t="shared" si="23"/>
        <v>drama</v>
      </c>
      <c r="S206" s="4">
        <f t="shared" si="20"/>
        <v>42556.583368055552</v>
      </c>
      <c r="T206" s="4">
        <f t="shared" si="21"/>
        <v>42586.583368055552</v>
      </c>
      <c r="U206" s="5">
        <f>VLOOKUP(currency,Tables!$A$1:$C$14,3,FALSE)*pledged</f>
        <v>111080.45</v>
      </c>
    </row>
    <row r="207" spans="1:21" ht="43.2" x14ac:dyDescent="0.55000000000000004">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16">
        <f t="shared" si="19"/>
        <v>76.470588235294116</v>
      </c>
      <c r="Q207" t="str">
        <f t="shared" si="22"/>
        <v>film &amp; video</v>
      </c>
      <c r="R207" t="str">
        <f t="shared" si="23"/>
        <v>drama</v>
      </c>
      <c r="S207" s="4">
        <f t="shared" si="20"/>
        <v>42248.632199074069</v>
      </c>
      <c r="T207" s="4">
        <f t="shared" si="21"/>
        <v>42283.632199074069</v>
      </c>
      <c r="U207" s="5">
        <f>VLOOKUP(currency,Tables!$A$1:$C$14,3,FALSE)*pledged</f>
        <v>1300</v>
      </c>
    </row>
    <row r="208" spans="1:21" ht="43.2" x14ac:dyDescent="0.55000000000000004">
      <c r="A208">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8"/>
        <v>0</v>
      </c>
      <c r="P208" s="16">
        <f t="shared" si="19"/>
        <v>0</v>
      </c>
      <c r="Q208" t="str">
        <f t="shared" si="22"/>
        <v>film &amp; video</v>
      </c>
      <c r="R208" t="str">
        <f t="shared" si="23"/>
        <v>drama</v>
      </c>
      <c r="S208" s="4">
        <f t="shared" si="20"/>
        <v>42567.004432870366</v>
      </c>
      <c r="T208" s="4">
        <f t="shared" si="21"/>
        <v>42588.004432870366</v>
      </c>
      <c r="U208" s="5">
        <f>VLOOKUP(currency,Tables!$A$1:$C$14,3,FALSE)*pledged</f>
        <v>0</v>
      </c>
    </row>
    <row r="209" spans="1:21" ht="43.2" x14ac:dyDescent="0.55000000000000004">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16">
        <f t="shared" si="19"/>
        <v>163.84615384615384</v>
      </c>
      <c r="Q209" t="str">
        <f t="shared" si="22"/>
        <v>film &amp; video</v>
      </c>
      <c r="R209" t="str">
        <f t="shared" si="23"/>
        <v>drama</v>
      </c>
      <c r="S209" s="4">
        <f t="shared" si="20"/>
        <v>41978.197199074071</v>
      </c>
      <c r="T209" s="4">
        <f t="shared" si="21"/>
        <v>42008.197199074071</v>
      </c>
      <c r="U209" s="5">
        <f>VLOOKUP(currency,Tables!$A$1:$C$14,3,FALSE)*pledged</f>
        <v>1618.8</v>
      </c>
    </row>
    <row r="210" spans="1:21" ht="43.2" x14ac:dyDescent="0.55000000000000004">
      <c r="A210">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8"/>
        <v>0</v>
      </c>
      <c r="P210" s="16">
        <f t="shared" si="19"/>
        <v>0</v>
      </c>
      <c r="Q210" t="str">
        <f t="shared" si="22"/>
        <v>film &amp; video</v>
      </c>
      <c r="R210" t="str">
        <f t="shared" si="23"/>
        <v>drama</v>
      </c>
      <c r="S210" s="4">
        <f t="shared" si="20"/>
        <v>41959.369988425926</v>
      </c>
      <c r="T210" s="4">
        <f t="shared" si="21"/>
        <v>41989.369988425926</v>
      </c>
      <c r="U210" s="5">
        <f>VLOOKUP(currency,Tables!$A$1:$C$14,3,FALSE)*pledged</f>
        <v>0</v>
      </c>
    </row>
    <row r="211" spans="1:21" ht="43.2" x14ac:dyDescent="0.55000000000000004">
      <c r="A211">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8"/>
        <v>0</v>
      </c>
      <c r="P211" s="16">
        <f t="shared" si="19"/>
        <v>0</v>
      </c>
      <c r="Q211" t="str">
        <f t="shared" si="22"/>
        <v>film &amp; video</v>
      </c>
      <c r="R211" t="str">
        <f t="shared" si="23"/>
        <v>drama</v>
      </c>
      <c r="S211" s="4">
        <f t="shared" si="20"/>
        <v>42165.922858796301</v>
      </c>
      <c r="T211" s="4">
        <f t="shared" si="21"/>
        <v>42195.922858796301</v>
      </c>
      <c r="U211" s="5">
        <f>VLOOKUP(currency,Tables!$A$1:$C$14,3,FALSE)*pledged</f>
        <v>0</v>
      </c>
    </row>
    <row r="212" spans="1:21" ht="43.2" x14ac:dyDescent="0.55000000000000004">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8"/>
        <v>0.2525</v>
      </c>
      <c r="P212" s="16">
        <f t="shared" si="19"/>
        <v>91.818181818181813</v>
      </c>
      <c r="Q212" t="str">
        <f t="shared" si="22"/>
        <v>film &amp; video</v>
      </c>
      <c r="R212" t="str">
        <f t="shared" si="23"/>
        <v>drama</v>
      </c>
      <c r="S212" s="4">
        <f t="shared" si="20"/>
        <v>42249.064722222218</v>
      </c>
      <c r="T212" s="4">
        <f t="shared" si="21"/>
        <v>42278.208333333328</v>
      </c>
      <c r="U212" s="5">
        <f>VLOOKUP(currency,Tables!$A$1:$C$14,3,FALSE)*pledged</f>
        <v>3030</v>
      </c>
    </row>
    <row r="213" spans="1:21" ht="43.2" x14ac:dyDescent="0.55000000000000004">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16">
        <f t="shared" si="19"/>
        <v>185.83333333333334</v>
      </c>
      <c r="Q213" t="str">
        <f t="shared" si="22"/>
        <v>film &amp; video</v>
      </c>
      <c r="R213" t="str">
        <f t="shared" si="23"/>
        <v>drama</v>
      </c>
      <c r="S213" s="4">
        <f t="shared" si="20"/>
        <v>42236.159918981488</v>
      </c>
      <c r="T213" s="4">
        <f t="shared" si="21"/>
        <v>42266.159918981488</v>
      </c>
      <c r="U213" s="5">
        <f>VLOOKUP(currency,Tables!$A$1:$C$14,3,FALSE)*pledged</f>
        <v>2230</v>
      </c>
    </row>
    <row r="214" spans="1:21" ht="28.8" x14ac:dyDescent="0.55000000000000004">
      <c r="A214">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8"/>
        <v>1.5873015873015873E-4</v>
      </c>
      <c r="P214" s="16">
        <f t="shared" si="19"/>
        <v>1</v>
      </c>
      <c r="Q214" t="str">
        <f t="shared" si="22"/>
        <v>film &amp; video</v>
      </c>
      <c r="R214" t="str">
        <f t="shared" si="23"/>
        <v>drama</v>
      </c>
      <c r="S214" s="4">
        <f t="shared" si="20"/>
        <v>42416.881018518514</v>
      </c>
      <c r="T214" s="4">
        <f t="shared" si="21"/>
        <v>42476.839351851857</v>
      </c>
      <c r="U214" s="5">
        <f>VLOOKUP(currency,Tables!$A$1:$C$14,3,FALSE)*pledged</f>
        <v>1</v>
      </c>
    </row>
    <row r="215" spans="1:21" ht="43.2" x14ac:dyDescent="0.55000000000000004">
      <c r="A215">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8"/>
        <v>4.0000000000000002E-4</v>
      </c>
      <c r="P215" s="16">
        <f t="shared" si="19"/>
        <v>20</v>
      </c>
      <c r="Q215" t="str">
        <f t="shared" si="22"/>
        <v>film &amp; video</v>
      </c>
      <c r="R215" t="str">
        <f t="shared" si="23"/>
        <v>drama</v>
      </c>
      <c r="S215" s="4">
        <f t="shared" si="20"/>
        <v>42202.594293981485</v>
      </c>
      <c r="T215" s="4">
        <f t="shared" si="21"/>
        <v>42232.587974537033</v>
      </c>
      <c r="U215" s="5">
        <f>VLOOKUP(currency,Tables!$A$1:$C$14,3,FALSE)*pledged</f>
        <v>20</v>
      </c>
    </row>
    <row r="216" spans="1:21" ht="43.2" x14ac:dyDescent="0.55000000000000004">
      <c r="A216">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8"/>
        <v>8.0000000000000007E-5</v>
      </c>
      <c r="P216" s="16">
        <f t="shared" si="19"/>
        <v>1</v>
      </c>
      <c r="Q216" t="str">
        <f t="shared" si="22"/>
        <v>film &amp; video</v>
      </c>
      <c r="R216" t="str">
        <f t="shared" si="23"/>
        <v>drama</v>
      </c>
      <c r="S216" s="4">
        <f t="shared" si="20"/>
        <v>42009.64061342593</v>
      </c>
      <c r="T216" s="4">
        <f t="shared" si="21"/>
        <v>42069.64061342593</v>
      </c>
      <c r="U216" s="5">
        <f>VLOOKUP(currency,Tables!$A$1:$C$14,3,FALSE)*pledged</f>
        <v>1</v>
      </c>
    </row>
    <row r="217" spans="1:21" ht="43.2" x14ac:dyDescent="0.55000000000000004">
      <c r="A217">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8"/>
        <v>2.2727272727272726E-3</v>
      </c>
      <c r="P217" s="16">
        <f t="shared" si="19"/>
        <v>10</v>
      </c>
      <c r="Q217" t="str">
        <f t="shared" si="22"/>
        <v>film &amp; video</v>
      </c>
      <c r="R217" t="str">
        <f t="shared" si="23"/>
        <v>drama</v>
      </c>
      <c r="S217" s="4">
        <f t="shared" si="20"/>
        <v>42375.230115740742</v>
      </c>
      <c r="T217" s="4">
        <f t="shared" si="21"/>
        <v>42417.999305555553</v>
      </c>
      <c r="U217" s="5">
        <f>VLOOKUP(currency,Tables!$A$1:$C$14,3,FALSE)*pledged</f>
        <v>13.200000000000001</v>
      </c>
    </row>
    <row r="218" spans="1:21" ht="43.2" x14ac:dyDescent="0.55000000000000004">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16">
        <f t="shared" si="19"/>
        <v>331.53833333333336</v>
      </c>
      <c r="Q218" t="str">
        <f t="shared" si="22"/>
        <v>film &amp; video</v>
      </c>
      <c r="R218" t="str">
        <f t="shared" si="23"/>
        <v>drama</v>
      </c>
      <c r="S218" s="4">
        <f t="shared" si="20"/>
        <v>42066.958761574075</v>
      </c>
      <c r="T218" s="4">
        <f t="shared" si="21"/>
        <v>42116.917094907403</v>
      </c>
      <c r="U218" s="5">
        <f>VLOOKUP(currency,Tables!$A$1:$C$14,3,FALSE)*pledged</f>
        <v>27849.22</v>
      </c>
    </row>
    <row r="219" spans="1:21" x14ac:dyDescent="0.55000000000000004">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16">
        <f t="shared" si="19"/>
        <v>314.28947368421052</v>
      </c>
      <c r="Q219" t="str">
        <f t="shared" si="22"/>
        <v>film &amp; video</v>
      </c>
      <c r="R219" t="str">
        <f t="shared" si="23"/>
        <v>drama</v>
      </c>
      <c r="S219" s="4">
        <f t="shared" si="20"/>
        <v>41970.64061342593</v>
      </c>
      <c r="T219" s="4">
        <f t="shared" si="21"/>
        <v>42001.64061342593</v>
      </c>
      <c r="U219" s="5">
        <f>VLOOKUP(currency,Tables!$A$1:$C$14,3,FALSE)*pledged</f>
        <v>1313.73</v>
      </c>
    </row>
    <row r="220" spans="1:21" ht="43.2" x14ac:dyDescent="0.55000000000000004">
      <c r="A220">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8"/>
        <v>0.02</v>
      </c>
      <c r="P220" s="16">
        <f t="shared" si="19"/>
        <v>100</v>
      </c>
      <c r="Q220" t="str">
        <f t="shared" si="22"/>
        <v>film &amp; video</v>
      </c>
      <c r="R220" t="str">
        <f t="shared" si="23"/>
        <v>drama</v>
      </c>
      <c r="S220" s="4">
        <f t="shared" si="20"/>
        <v>42079.628344907411</v>
      </c>
      <c r="T220" s="4">
        <f t="shared" si="21"/>
        <v>42139.628344907411</v>
      </c>
      <c r="U220" s="5">
        <f>VLOOKUP(currency,Tables!$A$1:$C$14,3,FALSE)*pledged</f>
        <v>100</v>
      </c>
    </row>
    <row r="221" spans="1:21" ht="28.8" x14ac:dyDescent="0.55000000000000004">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16">
        <f t="shared" si="19"/>
        <v>115.98684210526316</v>
      </c>
      <c r="Q221" t="str">
        <f t="shared" si="22"/>
        <v>film &amp; video</v>
      </c>
      <c r="R221" t="str">
        <f t="shared" si="23"/>
        <v>drama</v>
      </c>
      <c r="S221" s="4">
        <f t="shared" si="20"/>
        <v>42429.326678240745</v>
      </c>
      <c r="T221" s="4">
        <f t="shared" si="21"/>
        <v>42461.290972222225</v>
      </c>
      <c r="U221" s="5">
        <f>VLOOKUP(currency,Tables!$A$1:$C$14,3,FALSE)*pledged</f>
        <v>8815</v>
      </c>
    </row>
    <row r="222" spans="1:21" ht="43.2" x14ac:dyDescent="0.55000000000000004">
      <c r="A222">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16">
        <f t="shared" si="19"/>
        <v>120</v>
      </c>
      <c r="Q222" t="str">
        <f t="shared" si="22"/>
        <v>film &amp; video</v>
      </c>
      <c r="R222" t="str">
        <f t="shared" si="23"/>
        <v>drama</v>
      </c>
      <c r="S222" s="4">
        <f t="shared" si="20"/>
        <v>42195.643865740742</v>
      </c>
      <c r="T222" s="4">
        <f t="shared" si="21"/>
        <v>42236.837499999994</v>
      </c>
      <c r="U222" s="5">
        <f>VLOOKUP(currency,Tables!$A$1:$C$14,3,FALSE)*pledged</f>
        <v>360</v>
      </c>
    </row>
    <row r="223" spans="1:21" x14ac:dyDescent="0.55000000000000004">
      <c r="A22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8"/>
        <v>0</v>
      </c>
      <c r="P223" s="16">
        <f t="shared" si="19"/>
        <v>0</v>
      </c>
      <c r="Q223" t="str">
        <f t="shared" si="22"/>
        <v>film &amp; video</v>
      </c>
      <c r="R223" t="str">
        <f t="shared" si="23"/>
        <v>drama</v>
      </c>
      <c r="S223" s="4">
        <f t="shared" si="20"/>
        <v>42031.837546296301</v>
      </c>
      <c r="T223" s="4">
        <f t="shared" si="21"/>
        <v>42091.79587962963</v>
      </c>
      <c r="U223" s="5">
        <f>VLOOKUP(currency,Tables!$A$1:$C$14,3,FALSE)*pledged</f>
        <v>0</v>
      </c>
    </row>
    <row r="224" spans="1:21" ht="43.2" x14ac:dyDescent="0.55000000000000004">
      <c r="A224">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8"/>
        <v>0.13</v>
      </c>
      <c r="P224" s="16">
        <f t="shared" si="19"/>
        <v>65</v>
      </c>
      <c r="Q224" t="str">
        <f t="shared" si="22"/>
        <v>film &amp; video</v>
      </c>
      <c r="R224" t="str">
        <f t="shared" si="23"/>
        <v>drama</v>
      </c>
      <c r="S224" s="4">
        <f t="shared" si="20"/>
        <v>42031.769884259258</v>
      </c>
      <c r="T224" s="4">
        <f t="shared" si="21"/>
        <v>42090.110416666663</v>
      </c>
      <c r="U224" s="5">
        <f>VLOOKUP(currency,Tables!$A$1:$C$14,3,FALSE)*pledged</f>
        <v>130</v>
      </c>
    </row>
    <row r="225" spans="1:21" ht="43.2" x14ac:dyDescent="0.55000000000000004">
      <c r="A225">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8"/>
        <v>0</v>
      </c>
      <c r="P225" s="16">
        <f t="shared" si="19"/>
        <v>0</v>
      </c>
      <c r="Q225" t="str">
        <f t="shared" si="22"/>
        <v>film &amp; video</v>
      </c>
      <c r="R225" t="str">
        <f t="shared" si="23"/>
        <v>drama</v>
      </c>
      <c r="S225" s="4">
        <f t="shared" si="20"/>
        <v>42482.048032407409</v>
      </c>
      <c r="T225" s="4">
        <f t="shared" si="21"/>
        <v>42512.045138888891</v>
      </c>
      <c r="U225" s="5">
        <f>VLOOKUP(currency,Tables!$A$1:$C$14,3,FALSE)*pledged</f>
        <v>0</v>
      </c>
    </row>
    <row r="226" spans="1:21" ht="43.2" x14ac:dyDescent="0.55000000000000004">
      <c r="A226">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8"/>
        <v>0</v>
      </c>
      <c r="P226" s="16">
        <f t="shared" si="19"/>
        <v>0</v>
      </c>
      <c r="Q226" t="str">
        <f t="shared" si="22"/>
        <v>film &amp; video</v>
      </c>
      <c r="R226" t="str">
        <f t="shared" si="23"/>
        <v>drama</v>
      </c>
      <c r="S226" s="4">
        <f t="shared" si="20"/>
        <v>42135.235254629632</v>
      </c>
      <c r="T226" s="4">
        <f t="shared" si="21"/>
        <v>42195.235254629632</v>
      </c>
      <c r="U226" s="5">
        <f>VLOOKUP(currency,Tables!$A$1:$C$14,3,FALSE)*pledged</f>
        <v>0</v>
      </c>
    </row>
    <row r="227" spans="1:21" ht="43.2" x14ac:dyDescent="0.55000000000000004">
      <c r="A227">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8"/>
        <v>0</v>
      </c>
      <c r="P227" s="16">
        <f t="shared" si="19"/>
        <v>0</v>
      </c>
      <c r="Q227" t="str">
        <f t="shared" si="22"/>
        <v>film &amp; video</v>
      </c>
      <c r="R227" t="str">
        <f t="shared" si="23"/>
        <v>drama</v>
      </c>
      <c r="S227" s="4">
        <f t="shared" si="20"/>
        <v>42438.961273148147</v>
      </c>
      <c r="T227" s="4">
        <f t="shared" si="21"/>
        <v>42468.919606481482</v>
      </c>
      <c r="U227" s="5">
        <f>VLOOKUP(currency,Tables!$A$1:$C$14,3,FALSE)*pledged</f>
        <v>0</v>
      </c>
    </row>
    <row r="228" spans="1:21" ht="43.2" x14ac:dyDescent="0.55000000000000004">
      <c r="A228">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16">
        <f t="shared" si="19"/>
        <v>125</v>
      </c>
      <c r="Q228" t="str">
        <f t="shared" si="22"/>
        <v>film &amp; video</v>
      </c>
      <c r="R228" t="str">
        <f t="shared" si="23"/>
        <v>drama</v>
      </c>
      <c r="S228" s="4">
        <f t="shared" si="20"/>
        <v>42106.666018518517</v>
      </c>
      <c r="T228" s="4">
        <f t="shared" si="21"/>
        <v>42155.395138888889</v>
      </c>
      <c r="U228" s="5">
        <f>VLOOKUP(currency,Tables!$A$1:$C$14,3,FALSE)*pledged</f>
        <v>330</v>
      </c>
    </row>
    <row r="229" spans="1:21" ht="43.2" x14ac:dyDescent="0.55000000000000004">
      <c r="A229">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8"/>
        <v>0</v>
      </c>
      <c r="P229" s="16">
        <f t="shared" si="19"/>
        <v>0</v>
      </c>
      <c r="Q229" t="str">
        <f t="shared" si="22"/>
        <v>film &amp; video</v>
      </c>
      <c r="R229" t="str">
        <f t="shared" si="23"/>
        <v>drama</v>
      </c>
      <c r="S229" s="4">
        <f t="shared" si="20"/>
        <v>42164.893993055557</v>
      </c>
      <c r="T229" s="4">
        <f t="shared" si="21"/>
        <v>42194.893993055557</v>
      </c>
      <c r="U229" s="5">
        <f>VLOOKUP(currency,Tables!$A$1:$C$14,3,FALSE)*pledged</f>
        <v>0</v>
      </c>
    </row>
    <row r="230" spans="1:21" ht="28.8" x14ac:dyDescent="0.55000000000000004">
      <c r="A230">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8"/>
        <v>0</v>
      </c>
      <c r="P230" s="16">
        <f t="shared" si="19"/>
        <v>0</v>
      </c>
      <c r="Q230" t="str">
        <f t="shared" si="22"/>
        <v>film &amp; video</v>
      </c>
      <c r="R230" t="str">
        <f t="shared" si="23"/>
        <v>drama</v>
      </c>
      <c r="S230" s="4">
        <f t="shared" si="20"/>
        <v>42096.686400462961</v>
      </c>
      <c r="T230" s="4">
        <f t="shared" si="21"/>
        <v>42156.686400462961</v>
      </c>
      <c r="U230" s="5">
        <f>VLOOKUP(currency,Tables!$A$1:$C$14,3,FALSE)*pledged</f>
        <v>0</v>
      </c>
    </row>
    <row r="231" spans="1:21" ht="43.2" x14ac:dyDescent="0.55000000000000004">
      <c r="A231">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8"/>
        <v>0</v>
      </c>
      <c r="P231" s="16">
        <f t="shared" si="19"/>
        <v>0</v>
      </c>
      <c r="Q231" t="str">
        <f t="shared" si="22"/>
        <v>film &amp; video</v>
      </c>
      <c r="R231" t="str">
        <f t="shared" si="23"/>
        <v>drama</v>
      </c>
      <c r="S231" s="4">
        <f t="shared" si="20"/>
        <v>42383.933993055558</v>
      </c>
      <c r="T231" s="4">
        <f t="shared" si="21"/>
        <v>42413.933993055558</v>
      </c>
      <c r="U231" s="5">
        <f>VLOOKUP(currency,Tables!$A$1:$C$14,3,FALSE)*pledged</f>
        <v>0</v>
      </c>
    </row>
    <row r="232" spans="1:21" ht="43.2" x14ac:dyDescent="0.55000000000000004">
      <c r="A232">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8"/>
        <v>4.0000000000000001E-3</v>
      </c>
      <c r="P232" s="16">
        <f t="shared" si="19"/>
        <v>30</v>
      </c>
      <c r="Q232" t="str">
        <f t="shared" si="22"/>
        <v>film &amp; video</v>
      </c>
      <c r="R232" t="str">
        <f t="shared" si="23"/>
        <v>drama</v>
      </c>
      <c r="S232" s="4">
        <f t="shared" si="20"/>
        <v>42129.777210648142</v>
      </c>
      <c r="T232" s="4">
        <f t="shared" si="21"/>
        <v>42159.777210648142</v>
      </c>
      <c r="U232" s="5">
        <f>VLOOKUP(currency,Tables!$A$1:$C$14,3,FALSE)*pledged</f>
        <v>60</v>
      </c>
    </row>
    <row r="233" spans="1:21" ht="43.2" x14ac:dyDescent="0.55000000000000004">
      <c r="A23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8"/>
        <v>0</v>
      </c>
      <c r="P233" s="16">
        <f t="shared" si="19"/>
        <v>0</v>
      </c>
      <c r="Q233" t="str">
        <f t="shared" si="22"/>
        <v>film &amp; video</v>
      </c>
      <c r="R233" t="str">
        <f t="shared" si="23"/>
        <v>drama</v>
      </c>
      <c r="S233" s="4">
        <f t="shared" si="20"/>
        <v>42341.958923611113</v>
      </c>
      <c r="T233" s="4">
        <f t="shared" si="21"/>
        <v>42371.958923611113</v>
      </c>
      <c r="U233" s="5">
        <f>VLOOKUP(currency,Tables!$A$1:$C$14,3,FALSE)*pledged</f>
        <v>0</v>
      </c>
    </row>
    <row r="234" spans="1:21" ht="43.2" x14ac:dyDescent="0.55000000000000004">
      <c r="A234">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8"/>
        <v>2.75E-2</v>
      </c>
      <c r="P234" s="16">
        <f t="shared" si="19"/>
        <v>15.714285714285714</v>
      </c>
      <c r="Q234" t="str">
        <f t="shared" si="22"/>
        <v>film &amp; video</v>
      </c>
      <c r="R234" t="str">
        <f t="shared" si="23"/>
        <v>drama</v>
      </c>
      <c r="S234" s="4">
        <f t="shared" si="20"/>
        <v>42032.82576388889</v>
      </c>
      <c r="T234" s="4">
        <f t="shared" si="21"/>
        <v>42062.82576388889</v>
      </c>
      <c r="U234" s="5">
        <f>VLOOKUP(currency,Tables!$A$1:$C$14,3,FALSE)*pledged</f>
        <v>145.20000000000002</v>
      </c>
    </row>
    <row r="235" spans="1:21" ht="43.2" x14ac:dyDescent="0.55000000000000004">
      <c r="A235">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8"/>
        <v>0</v>
      </c>
      <c r="P235" s="16">
        <f t="shared" si="19"/>
        <v>0</v>
      </c>
      <c r="Q235" t="str">
        <f t="shared" si="22"/>
        <v>film &amp; video</v>
      </c>
      <c r="R235" t="str">
        <f t="shared" si="23"/>
        <v>drama</v>
      </c>
      <c r="S235" s="4">
        <f t="shared" si="20"/>
        <v>42612.911712962959</v>
      </c>
      <c r="T235" s="4">
        <f t="shared" si="21"/>
        <v>42642.911712962959</v>
      </c>
      <c r="U235" s="5">
        <f>VLOOKUP(currency,Tables!$A$1:$C$14,3,FALSE)*pledged</f>
        <v>0</v>
      </c>
    </row>
    <row r="236" spans="1:21" ht="43.2" x14ac:dyDescent="0.55000000000000004">
      <c r="A236">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8"/>
        <v>0.40100000000000002</v>
      </c>
      <c r="P236" s="16">
        <f t="shared" si="19"/>
        <v>80.2</v>
      </c>
      <c r="Q236" t="str">
        <f t="shared" si="22"/>
        <v>film &amp; video</v>
      </c>
      <c r="R236" t="str">
        <f t="shared" si="23"/>
        <v>drama</v>
      </c>
      <c r="S236" s="4">
        <f t="shared" si="20"/>
        <v>42136.035405092596</v>
      </c>
      <c r="T236" s="4">
        <f t="shared" si="21"/>
        <v>42176.035405092596</v>
      </c>
      <c r="U236" s="5">
        <f>VLOOKUP(currency,Tables!$A$1:$C$14,3,FALSE)*pledged</f>
        <v>401</v>
      </c>
    </row>
    <row r="237" spans="1:21" ht="43.2" x14ac:dyDescent="0.55000000000000004">
      <c r="A237">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8"/>
        <v>0</v>
      </c>
      <c r="P237" s="16">
        <f t="shared" si="19"/>
        <v>0</v>
      </c>
      <c r="Q237" t="str">
        <f t="shared" si="22"/>
        <v>film &amp; video</v>
      </c>
      <c r="R237" t="str">
        <f t="shared" si="23"/>
        <v>drama</v>
      </c>
      <c r="S237" s="4">
        <f t="shared" si="20"/>
        <v>42164.908530092594</v>
      </c>
      <c r="T237" s="4">
        <f t="shared" si="21"/>
        <v>42194.908530092594</v>
      </c>
      <c r="U237" s="5">
        <f>VLOOKUP(currency,Tables!$A$1:$C$14,3,FALSE)*pledged</f>
        <v>0</v>
      </c>
    </row>
    <row r="238" spans="1:21" ht="43.2" x14ac:dyDescent="0.55000000000000004">
      <c r="A238">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8"/>
        <v>0</v>
      </c>
      <c r="P238" s="16">
        <f t="shared" si="19"/>
        <v>0</v>
      </c>
      <c r="Q238" t="str">
        <f t="shared" si="22"/>
        <v>film &amp; video</v>
      </c>
      <c r="R238" t="str">
        <f t="shared" si="23"/>
        <v>drama</v>
      </c>
      <c r="S238" s="4">
        <f t="shared" si="20"/>
        <v>42321.08447916666</v>
      </c>
      <c r="T238" s="4">
        <f t="shared" si="21"/>
        <v>42374</v>
      </c>
      <c r="U238" s="5">
        <f>VLOOKUP(currency,Tables!$A$1:$C$14,3,FALSE)*pledged</f>
        <v>0</v>
      </c>
    </row>
    <row r="239" spans="1:21" x14ac:dyDescent="0.55000000000000004">
      <c r="A239">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8"/>
        <v>3.3333333333333335E-3</v>
      </c>
      <c r="P239" s="16">
        <f t="shared" si="19"/>
        <v>50</v>
      </c>
      <c r="Q239" t="str">
        <f t="shared" si="22"/>
        <v>film &amp; video</v>
      </c>
      <c r="R239" t="str">
        <f t="shared" si="23"/>
        <v>drama</v>
      </c>
      <c r="S239" s="4">
        <f t="shared" si="20"/>
        <v>42377.577187499999</v>
      </c>
      <c r="T239" s="4">
        <f t="shared" si="21"/>
        <v>42437.577187499999</v>
      </c>
      <c r="U239" s="5">
        <f>VLOOKUP(currency,Tables!$A$1:$C$14,3,FALSE)*pledged</f>
        <v>50</v>
      </c>
    </row>
    <row r="240" spans="1:21" ht="43.2" x14ac:dyDescent="0.55000000000000004">
      <c r="A240">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8"/>
        <v>0</v>
      </c>
      <c r="P240" s="16">
        <f t="shared" si="19"/>
        <v>0</v>
      </c>
      <c r="Q240" t="str">
        <f t="shared" si="22"/>
        <v>film &amp; video</v>
      </c>
      <c r="R240" t="str">
        <f t="shared" si="23"/>
        <v>drama</v>
      </c>
      <c r="S240" s="4">
        <f t="shared" si="20"/>
        <v>42713.962499999994</v>
      </c>
      <c r="T240" s="4">
        <f t="shared" si="21"/>
        <v>42734.375</v>
      </c>
      <c r="U240" s="5">
        <f>VLOOKUP(currency,Tables!$A$1:$C$14,3,FALSE)*pledged</f>
        <v>0</v>
      </c>
    </row>
    <row r="241" spans="1:21" ht="43.2" x14ac:dyDescent="0.55000000000000004">
      <c r="A241">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8"/>
        <v>0.25</v>
      </c>
      <c r="P241" s="16">
        <f t="shared" si="19"/>
        <v>50</v>
      </c>
      <c r="Q241" t="str">
        <f t="shared" si="22"/>
        <v>film &amp; video</v>
      </c>
      <c r="R241" t="str">
        <f t="shared" si="23"/>
        <v>drama</v>
      </c>
      <c r="S241" s="4">
        <f t="shared" si="20"/>
        <v>42297.110300925924</v>
      </c>
      <c r="T241" s="4">
        <f t="shared" si="21"/>
        <v>42316.5</v>
      </c>
      <c r="U241" s="5">
        <f>VLOOKUP(currency,Tables!$A$1:$C$14,3,FALSE)*pledged</f>
        <v>182.5</v>
      </c>
    </row>
    <row r="242" spans="1:21" ht="43.2" x14ac:dyDescent="0.55000000000000004">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16">
        <f t="shared" si="19"/>
        <v>117.84759124087591</v>
      </c>
      <c r="Q242" t="str">
        <f t="shared" si="22"/>
        <v>film &amp; video</v>
      </c>
      <c r="R242" t="str">
        <f t="shared" si="23"/>
        <v>documentary</v>
      </c>
      <c r="S242" s="4">
        <f t="shared" si="20"/>
        <v>41354.708460648151</v>
      </c>
      <c r="T242" s="4">
        <f t="shared" si="21"/>
        <v>41399.708460648151</v>
      </c>
      <c r="U242" s="5">
        <f>VLOOKUP(currency,Tables!$A$1:$C$14,3,FALSE)*pledged</f>
        <v>16145.12</v>
      </c>
    </row>
    <row r="243" spans="1:21" ht="43.2" x14ac:dyDescent="0.55000000000000004">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16">
        <f t="shared" si="19"/>
        <v>109.04255319148936</v>
      </c>
      <c r="Q243" t="str">
        <f t="shared" si="22"/>
        <v>film &amp; video</v>
      </c>
      <c r="R243" t="str">
        <f t="shared" si="23"/>
        <v>documentary</v>
      </c>
      <c r="S243" s="4">
        <f t="shared" si="20"/>
        <v>41949.697962962964</v>
      </c>
      <c r="T243" s="4">
        <f t="shared" si="21"/>
        <v>41994.697962962964</v>
      </c>
      <c r="U243" s="5">
        <f>VLOOKUP(currency,Tables!$A$1:$C$14,3,FALSE)*pledged</f>
        <v>41000</v>
      </c>
    </row>
    <row r="244" spans="1:21" ht="43.2" x14ac:dyDescent="0.55000000000000004">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16">
        <f t="shared" si="19"/>
        <v>73.019801980198025</v>
      </c>
      <c r="Q244" t="str">
        <f t="shared" si="22"/>
        <v>film &amp; video</v>
      </c>
      <c r="R244" t="str">
        <f t="shared" si="23"/>
        <v>documentary</v>
      </c>
      <c r="S244" s="4">
        <f t="shared" si="20"/>
        <v>40862.492939814816</v>
      </c>
      <c r="T244" s="4">
        <f t="shared" si="21"/>
        <v>40897.492939814816</v>
      </c>
      <c r="U244" s="5">
        <f>VLOOKUP(currency,Tables!$A$1:$C$14,3,FALSE)*pledged</f>
        <v>14750</v>
      </c>
    </row>
    <row r="245" spans="1:21" ht="43.2" x14ac:dyDescent="0.55000000000000004">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16">
        <f t="shared" si="19"/>
        <v>78.195121951219505</v>
      </c>
      <c r="Q245" t="str">
        <f t="shared" si="22"/>
        <v>film &amp; video</v>
      </c>
      <c r="R245" t="str">
        <f t="shared" si="23"/>
        <v>documentary</v>
      </c>
      <c r="S245" s="4">
        <f t="shared" si="20"/>
        <v>41662.047500000001</v>
      </c>
      <c r="T245" s="4">
        <f t="shared" si="21"/>
        <v>41692.047500000001</v>
      </c>
      <c r="U245" s="5">
        <f>VLOOKUP(currency,Tables!$A$1:$C$14,3,FALSE)*pledged</f>
        <v>25648</v>
      </c>
    </row>
    <row r="246" spans="1:21" ht="57.6" x14ac:dyDescent="0.55000000000000004">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16">
        <f t="shared" si="19"/>
        <v>47.398809523809526</v>
      </c>
      <c r="Q246" t="str">
        <f t="shared" si="22"/>
        <v>film &amp; video</v>
      </c>
      <c r="R246" t="str">
        <f t="shared" si="23"/>
        <v>documentary</v>
      </c>
      <c r="S246" s="4">
        <f t="shared" si="20"/>
        <v>40213.323599537034</v>
      </c>
      <c r="T246" s="4">
        <f t="shared" si="21"/>
        <v>40253.29583333333</v>
      </c>
      <c r="U246" s="5">
        <f>VLOOKUP(currency,Tables!$A$1:$C$14,3,FALSE)*pledged</f>
        <v>3981.5</v>
      </c>
    </row>
    <row r="247" spans="1:21" ht="43.2" x14ac:dyDescent="0.55000000000000004">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8"/>
        <v>1.0371999999999999</v>
      </c>
      <c r="P247" s="16">
        <f t="shared" si="19"/>
        <v>54.020833333333336</v>
      </c>
      <c r="Q247" t="str">
        <f t="shared" si="22"/>
        <v>film &amp; video</v>
      </c>
      <c r="R247" t="str">
        <f t="shared" si="23"/>
        <v>documentary</v>
      </c>
      <c r="S247" s="4">
        <f t="shared" si="20"/>
        <v>41107.053067129629</v>
      </c>
      <c r="T247" s="4">
        <f t="shared" si="21"/>
        <v>41137.053067129629</v>
      </c>
      <c r="U247" s="5">
        <f>VLOOKUP(currency,Tables!$A$1:$C$14,3,FALSE)*pledged</f>
        <v>5186</v>
      </c>
    </row>
    <row r="248" spans="1:21" ht="43.2" x14ac:dyDescent="0.55000000000000004">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16">
        <f t="shared" si="19"/>
        <v>68.488789237668158</v>
      </c>
      <c r="Q248" t="str">
        <f t="shared" si="22"/>
        <v>film &amp; video</v>
      </c>
      <c r="R248" t="str">
        <f t="shared" si="23"/>
        <v>documentary</v>
      </c>
      <c r="S248" s="4">
        <f t="shared" si="20"/>
        <v>40480.363483796296</v>
      </c>
      <c r="T248" s="4">
        <f t="shared" si="21"/>
        <v>40530.405150462961</v>
      </c>
      <c r="U248" s="5">
        <f>VLOOKUP(currency,Tables!$A$1:$C$14,3,FALSE)*pledged</f>
        <v>15273</v>
      </c>
    </row>
    <row r="249" spans="1:21" ht="57.6" x14ac:dyDescent="0.55000000000000004">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8"/>
        <v>1.341</v>
      </c>
      <c r="P249" s="16">
        <f t="shared" si="19"/>
        <v>108.14516129032258</v>
      </c>
      <c r="Q249" t="str">
        <f t="shared" si="22"/>
        <v>film &amp; video</v>
      </c>
      <c r="R249" t="str">
        <f t="shared" si="23"/>
        <v>documentary</v>
      </c>
      <c r="S249" s="4">
        <f t="shared" si="20"/>
        <v>40430.604328703703</v>
      </c>
      <c r="T249" s="4">
        <f t="shared" si="21"/>
        <v>40467.152083333334</v>
      </c>
      <c r="U249" s="5">
        <f>VLOOKUP(currency,Tables!$A$1:$C$14,3,FALSE)*pledged</f>
        <v>6705</v>
      </c>
    </row>
    <row r="250" spans="1:21" ht="43.2" x14ac:dyDescent="0.55000000000000004">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16">
        <f t="shared" si="19"/>
        <v>589.95205479452056</v>
      </c>
      <c r="Q250" t="str">
        <f t="shared" si="22"/>
        <v>film &amp; video</v>
      </c>
      <c r="R250" t="str">
        <f t="shared" si="23"/>
        <v>documentary</v>
      </c>
      <c r="S250" s="4">
        <f t="shared" si="20"/>
        <v>40870.774409722224</v>
      </c>
      <c r="T250" s="4">
        <f t="shared" si="21"/>
        <v>40915.774409722224</v>
      </c>
      <c r="U250" s="5">
        <f>VLOOKUP(currency,Tables!$A$1:$C$14,3,FALSE)*pledged</f>
        <v>86133</v>
      </c>
    </row>
    <row r="251" spans="1:21" ht="57.6" x14ac:dyDescent="0.55000000000000004">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8"/>
        <v>1.1292</v>
      </c>
      <c r="P251" s="16">
        <f t="shared" si="19"/>
        <v>48.051063829787232</v>
      </c>
      <c r="Q251" t="str">
        <f t="shared" si="22"/>
        <v>film &amp; video</v>
      </c>
      <c r="R251" t="str">
        <f t="shared" si="23"/>
        <v>documentary</v>
      </c>
      <c r="S251" s="4">
        <f t="shared" si="20"/>
        <v>40332.923842592594</v>
      </c>
      <c r="T251" s="4">
        <f t="shared" si="21"/>
        <v>40412.736111111109</v>
      </c>
      <c r="U251" s="5">
        <f>VLOOKUP(currency,Tables!$A$1:$C$14,3,FALSE)*pledged</f>
        <v>11292</v>
      </c>
    </row>
    <row r="252" spans="1:21" ht="43.2" x14ac:dyDescent="0.55000000000000004">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16">
        <f t="shared" si="19"/>
        <v>72.482837528604122</v>
      </c>
      <c r="Q252" t="str">
        <f t="shared" si="22"/>
        <v>film &amp; video</v>
      </c>
      <c r="R252" t="str">
        <f t="shared" si="23"/>
        <v>documentary</v>
      </c>
      <c r="S252" s="4">
        <f t="shared" si="20"/>
        <v>41401.565868055557</v>
      </c>
      <c r="T252" s="4">
        <f t="shared" si="21"/>
        <v>41431.565868055557</v>
      </c>
      <c r="U252" s="5">
        <f>VLOOKUP(currency,Tables!$A$1:$C$14,3,FALSE)*pledged</f>
        <v>31675</v>
      </c>
    </row>
    <row r="253" spans="1:21" ht="43.2" x14ac:dyDescent="0.55000000000000004">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8"/>
        <v>1.2557142857142858</v>
      </c>
      <c r="P253" s="16">
        <f t="shared" si="19"/>
        <v>57.077922077922075</v>
      </c>
      <c r="Q253" t="str">
        <f t="shared" si="22"/>
        <v>film &amp; video</v>
      </c>
      <c r="R253" t="str">
        <f t="shared" si="23"/>
        <v>documentary</v>
      </c>
      <c r="S253" s="4">
        <f t="shared" si="20"/>
        <v>41013.787569444445</v>
      </c>
      <c r="T253" s="4">
        <f t="shared" si="21"/>
        <v>41045.791666666664</v>
      </c>
      <c r="U253" s="5">
        <f>VLOOKUP(currency,Tables!$A$1:$C$14,3,FALSE)*pledged</f>
        <v>4395</v>
      </c>
    </row>
    <row r="254" spans="1:21" ht="43.2" x14ac:dyDescent="0.55000000000000004">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16">
        <f t="shared" si="19"/>
        <v>85.444444444444443</v>
      </c>
      <c r="Q254" t="str">
        <f t="shared" si="22"/>
        <v>film &amp; video</v>
      </c>
      <c r="R254" t="str">
        <f t="shared" si="23"/>
        <v>documentary</v>
      </c>
      <c r="S254" s="4">
        <f t="shared" si="20"/>
        <v>40266.662708333337</v>
      </c>
      <c r="T254" s="4">
        <f t="shared" si="21"/>
        <v>40330.165972222225</v>
      </c>
      <c r="U254" s="5">
        <f>VLOOKUP(currency,Tables!$A$1:$C$14,3,FALSE)*pledged</f>
        <v>9228</v>
      </c>
    </row>
    <row r="255" spans="1:21" ht="43.2" x14ac:dyDescent="0.55000000000000004">
      <c r="A255">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8"/>
        <v>1.0073333333333334</v>
      </c>
      <c r="P255" s="16">
        <f t="shared" si="19"/>
        <v>215.85714285714286</v>
      </c>
      <c r="Q255" t="str">
        <f t="shared" si="22"/>
        <v>film &amp; video</v>
      </c>
      <c r="R255" t="str">
        <f t="shared" si="23"/>
        <v>documentary</v>
      </c>
      <c r="S255" s="4">
        <f t="shared" si="20"/>
        <v>40924.650868055556</v>
      </c>
      <c r="T255" s="4">
        <f t="shared" si="21"/>
        <v>40954.650868055556</v>
      </c>
      <c r="U255" s="5">
        <f>VLOOKUP(currency,Tables!$A$1:$C$14,3,FALSE)*pledged</f>
        <v>1511</v>
      </c>
    </row>
    <row r="256" spans="1:21" ht="43.2" x14ac:dyDescent="0.55000000000000004">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16">
        <f t="shared" si="19"/>
        <v>89.38643312101911</v>
      </c>
      <c r="Q256" t="str">
        <f t="shared" si="22"/>
        <v>film &amp; video</v>
      </c>
      <c r="R256" t="str">
        <f t="shared" si="23"/>
        <v>documentary</v>
      </c>
      <c r="S256" s="4">
        <f t="shared" si="20"/>
        <v>42263.952662037031</v>
      </c>
      <c r="T256" s="4">
        <f t="shared" si="21"/>
        <v>42294.083333333328</v>
      </c>
      <c r="U256" s="5">
        <f>VLOOKUP(currency,Tables!$A$1:$C$14,3,FALSE)*pledged</f>
        <v>28067.34</v>
      </c>
    </row>
    <row r="257" spans="1:21" ht="28.8" x14ac:dyDescent="0.55000000000000004">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8"/>
        <v>1.0673325</v>
      </c>
      <c r="P257" s="16">
        <f t="shared" si="19"/>
        <v>45.418404255319146</v>
      </c>
      <c r="Q257" t="str">
        <f t="shared" si="22"/>
        <v>film &amp; video</v>
      </c>
      <c r="R257" t="str">
        <f t="shared" si="23"/>
        <v>documentary</v>
      </c>
      <c r="S257" s="4">
        <f t="shared" si="20"/>
        <v>40588.526412037041</v>
      </c>
      <c r="T257" s="4">
        <f t="shared" si="21"/>
        <v>40618.48474537037</v>
      </c>
      <c r="U257" s="5">
        <f>VLOOKUP(currency,Tables!$A$1:$C$14,3,FALSE)*pledged</f>
        <v>8538.66</v>
      </c>
    </row>
    <row r="258" spans="1:21" ht="43.2" x14ac:dyDescent="0.55000000000000004">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ref="O258:O321" si="24">pledged/goal</f>
        <v>1.391</v>
      </c>
      <c r="P258" s="16">
        <f t="shared" ref="P258:P321" si="25">IF(pledged=0,0,pledged/backers_count)</f>
        <v>65.756363636363631</v>
      </c>
      <c r="Q258" t="str">
        <f t="shared" si="22"/>
        <v>film &amp; video</v>
      </c>
      <c r="R258" t="str">
        <f t="shared" si="23"/>
        <v>documentary</v>
      </c>
      <c r="S258" s="4">
        <f t="shared" ref="S258:S321" si="26">(((Unix_launched_date/60)/60)/24)+DATE(1970,1,1)</f>
        <v>41319.769293981481</v>
      </c>
      <c r="T258" s="4">
        <f t="shared" ref="T258:T321" si="27">(((Unix_deadline/60)/60)/24)+DATE(1970,1,1)</f>
        <v>41349.769293981481</v>
      </c>
      <c r="U258" s="5">
        <f>VLOOKUP(currency,Tables!$A$1:$C$14,3,FALSE)*pledged</f>
        <v>18083</v>
      </c>
    </row>
    <row r="259" spans="1:21" ht="43.2" x14ac:dyDescent="0.55000000000000004">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si="24"/>
        <v>1.0672648571428571</v>
      </c>
      <c r="P259" s="16">
        <f t="shared" si="25"/>
        <v>66.70405357142856</v>
      </c>
      <c r="Q259" t="str">
        <f t="shared" ref="Q259:Q322" si="28">LEFT(N259,FIND("/",N259,1)-1)</f>
        <v>film &amp; video</v>
      </c>
      <c r="R259" t="str">
        <f t="shared" ref="R259:R322" si="29">RIGHT(N259,(LEN(N259)-FIND("/",N259,1)))</f>
        <v>documentary</v>
      </c>
      <c r="S259" s="4">
        <f t="shared" si="26"/>
        <v>42479.626875000002</v>
      </c>
      <c r="T259" s="4">
        <f t="shared" si="27"/>
        <v>42509.626875000002</v>
      </c>
      <c r="U259" s="5">
        <f>VLOOKUP(currency,Tables!$A$1:$C$14,3,FALSE)*pledged</f>
        <v>37354.269999999997</v>
      </c>
    </row>
    <row r="260" spans="1:21" ht="43.2" x14ac:dyDescent="0.55000000000000004">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24"/>
        <v>1.9114</v>
      </c>
      <c r="P260" s="16">
        <f t="shared" si="25"/>
        <v>83.345930232558146</v>
      </c>
      <c r="Q260" t="str">
        <f t="shared" si="28"/>
        <v>film &amp; video</v>
      </c>
      <c r="R260" t="str">
        <f t="shared" si="29"/>
        <v>documentary</v>
      </c>
      <c r="S260" s="4">
        <f t="shared" si="26"/>
        <v>40682.051689814813</v>
      </c>
      <c r="T260" s="4">
        <f t="shared" si="27"/>
        <v>40712.051689814813</v>
      </c>
      <c r="U260" s="5">
        <f>VLOOKUP(currency,Tables!$A$1:$C$14,3,FALSE)*pledged</f>
        <v>57342</v>
      </c>
    </row>
    <row r="261" spans="1:21" ht="43.2" x14ac:dyDescent="0.55000000000000004">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16">
        <f t="shared" si="25"/>
        <v>105.04609341825902</v>
      </c>
      <c r="Q261" t="str">
        <f t="shared" si="28"/>
        <v>film &amp; video</v>
      </c>
      <c r="R261" t="str">
        <f t="shared" si="29"/>
        <v>documentary</v>
      </c>
      <c r="S261" s="4">
        <f t="shared" si="26"/>
        <v>42072.738067129627</v>
      </c>
      <c r="T261" s="4">
        <f t="shared" si="27"/>
        <v>42102.738067129627</v>
      </c>
      <c r="U261" s="5">
        <f>VLOOKUP(currency,Tables!$A$1:$C$14,3,FALSE)*pledged</f>
        <v>98953.42</v>
      </c>
    </row>
    <row r="262" spans="1:21" ht="43.2" x14ac:dyDescent="0.55000000000000004">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16">
        <f t="shared" si="25"/>
        <v>120.90909090909091</v>
      </c>
      <c r="Q262" t="str">
        <f t="shared" si="28"/>
        <v>film &amp; video</v>
      </c>
      <c r="R262" t="str">
        <f t="shared" si="29"/>
        <v>documentary</v>
      </c>
      <c r="S262" s="4">
        <f t="shared" si="26"/>
        <v>40330.755543981482</v>
      </c>
      <c r="T262" s="4">
        <f t="shared" si="27"/>
        <v>40376.415972222225</v>
      </c>
      <c r="U262" s="5">
        <f>VLOOKUP(currency,Tables!$A$1:$C$14,3,FALSE)*pledged</f>
        <v>10640</v>
      </c>
    </row>
    <row r="263" spans="1:21" ht="28.8" x14ac:dyDescent="0.55000000000000004">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16">
        <f t="shared" si="25"/>
        <v>97.63636363636364</v>
      </c>
      <c r="Q263" t="str">
        <f t="shared" si="28"/>
        <v>film &amp; video</v>
      </c>
      <c r="R263" t="str">
        <f t="shared" si="29"/>
        <v>documentary</v>
      </c>
      <c r="S263" s="4">
        <f t="shared" si="26"/>
        <v>41017.885462962964</v>
      </c>
      <c r="T263" s="4">
        <f t="shared" si="27"/>
        <v>41067.621527777781</v>
      </c>
      <c r="U263" s="5">
        <f>VLOOKUP(currency,Tables!$A$1:$C$14,3,FALSE)*pledged</f>
        <v>21480</v>
      </c>
    </row>
    <row r="264" spans="1:21" ht="28.8" x14ac:dyDescent="0.55000000000000004">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24"/>
        <v>2.4</v>
      </c>
      <c r="P264" s="16">
        <f t="shared" si="25"/>
        <v>41.379310344827587</v>
      </c>
      <c r="Q264" t="str">
        <f t="shared" si="28"/>
        <v>film &amp; video</v>
      </c>
      <c r="R264" t="str">
        <f t="shared" si="29"/>
        <v>documentary</v>
      </c>
      <c r="S264" s="4">
        <f t="shared" si="26"/>
        <v>40555.24800925926</v>
      </c>
      <c r="T264" s="4">
        <f t="shared" si="27"/>
        <v>40600.24800925926</v>
      </c>
      <c r="U264" s="5">
        <f>VLOOKUP(currency,Tables!$A$1:$C$14,3,FALSE)*pledged</f>
        <v>6000</v>
      </c>
    </row>
    <row r="265" spans="1:21" ht="57.6" x14ac:dyDescent="0.55000000000000004">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16">
        <f t="shared" si="25"/>
        <v>30.654485981308412</v>
      </c>
      <c r="Q265" t="str">
        <f t="shared" si="28"/>
        <v>film &amp; video</v>
      </c>
      <c r="R265" t="str">
        <f t="shared" si="29"/>
        <v>documentary</v>
      </c>
      <c r="S265" s="4">
        <f t="shared" si="26"/>
        <v>41149.954791666663</v>
      </c>
      <c r="T265" s="4">
        <f t="shared" si="27"/>
        <v>41179.954791666663</v>
      </c>
      <c r="U265" s="5">
        <f>VLOOKUP(currency,Tables!$A$1:$C$14,3,FALSE)*pledged</f>
        <v>29520.27</v>
      </c>
    </row>
    <row r="266" spans="1:21" ht="57.6" x14ac:dyDescent="0.55000000000000004">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24"/>
        <v>1.1819999999999999</v>
      </c>
      <c r="P266" s="16">
        <f t="shared" si="25"/>
        <v>64.945054945054949</v>
      </c>
      <c r="Q266" t="str">
        <f t="shared" si="28"/>
        <v>film &amp; video</v>
      </c>
      <c r="R266" t="str">
        <f t="shared" si="29"/>
        <v>documentary</v>
      </c>
      <c r="S266" s="4">
        <f t="shared" si="26"/>
        <v>41010.620312500003</v>
      </c>
      <c r="T266" s="4">
        <f t="shared" si="27"/>
        <v>41040.620312500003</v>
      </c>
      <c r="U266" s="5">
        <f>VLOOKUP(currency,Tables!$A$1:$C$14,3,FALSE)*pledged</f>
        <v>5910</v>
      </c>
    </row>
    <row r="267" spans="1:21" ht="57.6" x14ac:dyDescent="0.55000000000000004">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24"/>
        <v>1.111</v>
      </c>
      <c r="P267" s="16">
        <f t="shared" si="25"/>
        <v>95.775862068965523</v>
      </c>
      <c r="Q267" t="str">
        <f t="shared" si="28"/>
        <v>film &amp; video</v>
      </c>
      <c r="R267" t="str">
        <f t="shared" si="29"/>
        <v>documentary</v>
      </c>
      <c r="S267" s="4">
        <f t="shared" si="26"/>
        <v>40267.245717592588</v>
      </c>
      <c r="T267" s="4">
        <f t="shared" si="27"/>
        <v>40308.844444444447</v>
      </c>
      <c r="U267" s="5">
        <f>VLOOKUP(currency,Tables!$A$1:$C$14,3,FALSE)*pledged</f>
        <v>5555</v>
      </c>
    </row>
    <row r="268" spans="1:21" ht="57.6" x14ac:dyDescent="0.55000000000000004">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24"/>
        <v>1.4550000000000001</v>
      </c>
      <c r="P268" s="16">
        <f t="shared" si="25"/>
        <v>40.416666666666664</v>
      </c>
      <c r="Q268" t="str">
        <f t="shared" si="28"/>
        <v>film &amp; video</v>
      </c>
      <c r="R268" t="str">
        <f t="shared" si="29"/>
        <v>documentary</v>
      </c>
      <c r="S268" s="4">
        <f t="shared" si="26"/>
        <v>40205.174849537041</v>
      </c>
      <c r="T268" s="4">
        <f t="shared" si="27"/>
        <v>40291.160416666666</v>
      </c>
      <c r="U268" s="5">
        <f>VLOOKUP(currency,Tables!$A$1:$C$14,3,FALSE)*pledged</f>
        <v>1455</v>
      </c>
    </row>
    <row r="269" spans="1:21" ht="43.2" x14ac:dyDescent="0.55000000000000004">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16">
        <f t="shared" si="25"/>
        <v>78.578424242424248</v>
      </c>
      <c r="Q269" t="str">
        <f t="shared" si="28"/>
        <v>film &amp; video</v>
      </c>
      <c r="R269" t="str">
        <f t="shared" si="29"/>
        <v>documentary</v>
      </c>
      <c r="S269" s="4">
        <f t="shared" si="26"/>
        <v>41785.452534722222</v>
      </c>
      <c r="T269" s="4">
        <f t="shared" si="27"/>
        <v>41815.452534722222</v>
      </c>
      <c r="U269" s="5">
        <f>VLOOKUP(currency,Tables!$A$1:$C$14,3,FALSE)*pledged</f>
        <v>17114.380800000003</v>
      </c>
    </row>
    <row r="270" spans="1:21" ht="43.2" x14ac:dyDescent="0.55000000000000004">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16">
        <f t="shared" si="25"/>
        <v>50.18018018018018</v>
      </c>
      <c r="Q270" t="str">
        <f t="shared" si="28"/>
        <v>film &amp; video</v>
      </c>
      <c r="R270" t="str">
        <f t="shared" si="29"/>
        <v>documentary</v>
      </c>
      <c r="S270" s="4">
        <f t="shared" si="26"/>
        <v>40809.15252314815</v>
      </c>
      <c r="T270" s="4">
        <f t="shared" si="27"/>
        <v>40854.194189814814</v>
      </c>
      <c r="U270" s="5">
        <f>VLOOKUP(currency,Tables!$A$1:$C$14,3,FALSE)*pledged</f>
        <v>5570</v>
      </c>
    </row>
    <row r="271" spans="1:21" ht="43.2" x14ac:dyDescent="0.55000000000000004">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16">
        <f t="shared" si="25"/>
        <v>92.251735588972423</v>
      </c>
      <c r="Q271" t="str">
        <f t="shared" si="28"/>
        <v>film &amp; video</v>
      </c>
      <c r="R271" t="str">
        <f t="shared" si="29"/>
        <v>documentary</v>
      </c>
      <c r="S271" s="4">
        <f t="shared" si="26"/>
        <v>42758.197013888886</v>
      </c>
      <c r="T271" s="4">
        <f t="shared" si="27"/>
        <v>42788.197013888886</v>
      </c>
      <c r="U271" s="5">
        <f>VLOOKUP(currency,Tables!$A$1:$C$14,3,FALSE)*pledged</f>
        <v>107480.65209999999</v>
      </c>
    </row>
    <row r="272" spans="1:21" ht="43.2" x14ac:dyDescent="0.55000000000000004">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24"/>
        <v>1.5260869565217392</v>
      </c>
      <c r="P272" s="16">
        <f t="shared" si="25"/>
        <v>57.540983606557376</v>
      </c>
      <c r="Q272" t="str">
        <f t="shared" si="28"/>
        <v>film &amp; video</v>
      </c>
      <c r="R272" t="str">
        <f t="shared" si="29"/>
        <v>documentary</v>
      </c>
      <c r="S272" s="4">
        <f t="shared" si="26"/>
        <v>40637.866550925923</v>
      </c>
      <c r="T272" s="4">
        <f t="shared" si="27"/>
        <v>40688.166666666664</v>
      </c>
      <c r="U272" s="5">
        <f>VLOOKUP(currency,Tables!$A$1:$C$14,3,FALSE)*pledged</f>
        <v>3510</v>
      </c>
    </row>
    <row r="273" spans="1:21" ht="43.2" x14ac:dyDescent="0.55000000000000004">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24"/>
        <v>1.0468</v>
      </c>
      <c r="P273" s="16">
        <f t="shared" si="25"/>
        <v>109.42160278745645</v>
      </c>
      <c r="Q273" t="str">
        <f t="shared" si="28"/>
        <v>film &amp; video</v>
      </c>
      <c r="R273" t="str">
        <f t="shared" si="29"/>
        <v>documentary</v>
      </c>
      <c r="S273" s="4">
        <f t="shared" si="26"/>
        <v>41612.10024305556</v>
      </c>
      <c r="T273" s="4">
        <f t="shared" si="27"/>
        <v>41641.333333333336</v>
      </c>
      <c r="U273" s="5">
        <f>VLOOKUP(currency,Tables!$A$1:$C$14,3,FALSE)*pledged</f>
        <v>31404</v>
      </c>
    </row>
    <row r="274" spans="1:21" ht="43.2" x14ac:dyDescent="0.55000000000000004">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16">
        <f t="shared" si="25"/>
        <v>81.892461538461546</v>
      </c>
      <c r="Q274" t="str">
        <f t="shared" si="28"/>
        <v>film &amp; video</v>
      </c>
      <c r="R274" t="str">
        <f t="shared" si="29"/>
        <v>documentary</v>
      </c>
      <c r="S274" s="4">
        <f t="shared" si="26"/>
        <v>40235.900358796294</v>
      </c>
      <c r="T274" s="4">
        <f t="shared" si="27"/>
        <v>40296.78402777778</v>
      </c>
      <c r="U274" s="5">
        <f>VLOOKUP(currency,Tables!$A$1:$C$14,3,FALSE)*pledged</f>
        <v>5323.01</v>
      </c>
    </row>
    <row r="275" spans="1:21" ht="43.2" x14ac:dyDescent="0.55000000000000004">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24"/>
        <v>1.077758</v>
      </c>
      <c r="P275" s="16">
        <f t="shared" si="25"/>
        <v>45.667711864406776</v>
      </c>
      <c r="Q275" t="str">
        <f t="shared" si="28"/>
        <v>film &amp; video</v>
      </c>
      <c r="R275" t="str">
        <f t="shared" si="29"/>
        <v>documentary</v>
      </c>
      <c r="S275" s="4">
        <f t="shared" si="26"/>
        <v>40697.498449074075</v>
      </c>
      <c r="T275" s="4">
        <f t="shared" si="27"/>
        <v>40727.498449074075</v>
      </c>
      <c r="U275" s="5">
        <f>VLOOKUP(currency,Tables!$A$1:$C$14,3,FALSE)*pledged</f>
        <v>5388.79</v>
      </c>
    </row>
    <row r="276" spans="1:21" ht="43.2" x14ac:dyDescent="0.55000000000000004">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24"/>
        <v>1.56</v>
      </c>
      <c r="P276" s="16">
        <f t="shared" si="25"/>
        <v>55.221238938053098</v>
      </c>
      <c r="Q276" t="str">
        <f t="shared" si="28"/>
        <v>film &amp; video</v>
      </c>
      <c r="R276" t="str">
        <f t="shared" si="29"/>
        <v>documentary</v>
      </c>
      <c r="S276" s="4">
        <f t="shared" si="26"/>
        <v>40969.912372685183</v>
      </c>
      <c r="T276" s="4">
        <f t="shared" si="27"/>
        <v>41004.290972222225</v>
      </c>
      <c r="U276" s="5">
        <f>VLOOKUP(currency,Tables!$A$1:$C$14,3,FALSE)*pledged</f>
        <v>6240</v>
      </c>
    </row>
    <row r="277" spans="1:21" ht="43.2" x14ac:dyDescent="0.55000000000000004">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24"/>
        <v>1.08395</v>
      </c>
      <c r="P277" s="16">
        <f t="shared" si="25"/>
        <v>65.298192771084331</v>
      </c>
      <c r="Q277" t="str">
        <f t="shared" si="28"/>
        <v>film &amp; video</v>
      </c>
      <c r="R277" t="str">
        <f t="shared" si="29"/>
        <v>documentary</v>
      </c>
      <c r="S277" s="4">
        <f t="shared" si="26"/>
        <v>41193.032013888893</v>
      </c>
      <c r="T277" s="4">
        <f t="shared" si="27"/>
        <v>41223.073680555557</v>
      </c>
      <c r="U277" s="5">
        <f>VLOOKUP(currency,Tables!$A$1:$C$14,3,FALSE)*pledged</f>
        <v>21679</v>
      </c>
    </row>
    <row r="278" spans="1:21" ht="43.2" x14ac:dyDescent="0.55000000000000004">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24"/>
        <v>1.476</v>
      </c>
      <c r="P278" s="16">
        <f t="shared" si="25"/>
        <v>95.225806451612897</v>
      </c>
      <c r="Q278" t="str">
        <f t="shared" si="28"/>
        <v>film &amp; video</v>
      </c>
      <c r="R278" t="str">
        <f t="shared" si="29"/>
        <v>documentary</v>
      </c>
      <c r="S278" s="4">
        <f t="shared" si="26"/>
        <v>40967.081874999996</v>
      </c>
      <c r="T278" s="4">
        <f t="shared" si="27"/>
        <v>41027.040208333332</v>
      </c>
      <c r="U278" s="5">
        <f>VLOOKUP(currency,Tables!$A$1:$C$14,3,FALSE)*pledged</f>
        <v>5904</v>
      </c>
    </row>
    <row r="279" spans="1:21" ht="43.2" x14ac:dyDescent="0.55000000000000004">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16">
        <f t="shared" si="25"/>
        <v>75.444794952681391</v>
      </c>
      <c r="Q279" t="str">
        <f t="shared" si="28"/>
        <v>film &amp; video</v>
      </c>
      <c r="R279" t="str">
        <f t="shared" si="29"/>
        <v>documentary</v>
      </c>
      <c r="S279" s="4">
        <f t="shared" si="26"/>
        <v>42117.891423611116</v>
      </c>
      <c r="T279" s="4">
        <f t="shared" si="27"/>
        <v>42147.891423611116</v>
      </c>
      <c r="U279" s="5">
        <f>VLOOKUP(currency,Tables!$A$1:$C$14,3,FALSE)*pledged</f>
        <v>71748</v>
      </c>
    </row>
    <row r="280" spans="1:21" ht="28.8" x14ac:dyDescent="0.55000000000000004">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16">
        <f t="shared" si="25"/>
        <v>97.816867469879512</v>
      </c>
      <c r="Q280" t="str">
        <f t="shared" si="28"/>
        <v>film &amp; video</v>
      </c>
      <c r="R280" t="str">
        <f t="shared" si="29"/>
        <v>documentary</v>
      </c>
      <c r="S280" s="4">
        <f t="shared" si="26"/>
        <v>41164.040960648148</v>
      </c>
      <c r="T280" s="4">
        <f t="shared" si="27"/>
        <v>41194.040960648148</v>
      </c>
      <c r="U280" s="5">
        <f>VLOOKUP(currency,Tables!$A$1:$C$14,3,FALSE)*pledged</f>
        <v>40594</v>
      </c>
    </row>
    <row r="281" spans="1:21" ht="43.2" x14ac:dyDescent="0.55000000000000004">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16">
        <f t="shared" si="25"/>
        <v>87.685606557377056</v>
      </c>
      <c r="Q281" t="str">
        <f t="shared" si="28"/>
        <v>film &amp; video</v>
      </c>
      <c r="R281" t="str">
        <f t="shared" si="29"/>
        <v>documentary</v>
      </c>
      <c r="S281" s="4">
        <f t="shared" si="26"/>
        <v>42759.244166666671</v>
      </c>
      <c r="T281" s="4">
        <f t="shared" si="27"/>
        <v>42793.084027777775</v>
      </c>
      <c r="U281" s="5">
        <f>VLOOKUP(currency,Tables!$A$1:$C$14,3,FALSE)*pledged</f>
        <v>26744.11</v>
      </c>
    </row>
    <row r="282" spans="1:21" ht="43.2" x14ac:dyDescent="0.55000000000000004">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16">
        <f t="shared" si="25"/>
        <v>54.748948106591868</v>
      </c>
      <c r="Q282" t="str">
        <f t="shared" si="28"/>
        <v>film &amp; video</v>
      </c>
      <c r="R282" t="str">
        <f t="shared" si="29"/>
        <v>documentary</v>
      </c>
      <c r="S282" s="4">
        <f t="shared" si="26"/>
        <v>41744.590682870366</v>
      </c>
      <c r="T282" s="4">
        <f t="shared" si="27"/>
        <v>41789.590682870366</v>
      </c>
      <c r="U282" s="5">
        <f>VLOOKUP(currency,Tables!$A$1:$C$14,3,FALSE)*pledged</f>
        <v>117108</v>
      </c>
    </row>
    <row r="283" spans="1:21" ht="43.2" x14ac:dyDescent="0.55000000000000004">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16">
        <f t="shared" si="25"/>
        <v>83.953417721518989</v>
      </c>
      <c r="Q283" t="str">
        <f t="shared" si="28"/>
        <v>film &amp; video</v>
      </c>
      <c r="R283" t="str">
        <f t="shared" si="29"/>
        <v>documentary</v>
      </c>
      <c r="S283" s="4">
        <f t="shared" si="26"/>
        <v>39950.163344907407</v>
      </c>
      <c r="T283" s="4">
        <f t="shared" si="27"/>
        <v>40035.80972222222</v>
      </c>
      <c r="U283" s="5">
        <f>VLOOKUP(currency,Tables!$A$1:$C$14,3,FALSE)*pledged</f>
        <v>6632.32</v>
      </c>
    </row>
    <row r="284" spans="1:21" ht="43.2" x14ac:dyDescent="0.55000000000000004">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16">
        <f t="shared" si="25"/>
        <v>254.38547486033519</v>
      </c>
      <c r="Q284" t="str">
        <f t="shared" si="28"/>
        <v>film &amp; video</v>
      </c>
      <c r="R284" t="str">
        <f t="shared" si="29"/>
        <v>documentary</v>
      </c>
      <c r="S284" s="4">
        <f t="shared" si="26"/>
        <v>40194.920046296298</v>
      </c>
      <c r="T284" s="4">
        <f t="shared" si="27"/>
        <v>40231.916666666664</v>
      </c>
      <c r="U284" s="5">
        <f>VLOOKUP(currency,Tables!$A$1:$C$14,3,FALSE)*pledged</f>
        <v>45535</v>
      </c>
    </row>
    <row r="285" spans="1:21" ht="28.8" x14ac:dyDescent="0.55000000000000004">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24"/>
        <v>1.142725</v>
      </c>
      <c r="P285" s="16">
        <f t="shared" si="25"/>
        <v>101.8269801980198</v>
      </c>
      <c r="Q285" t="str">
        <f t="shared" si="28"/>
        <v>film &amp; video</v>
      </c>
      <c r="R285" t="str">
        <f t="shared" si="29"/>
        <v>documentary</v>
      </c>
      <c r="S285" s="4">
        <f t="shared" si="26"/>
        <v>40675.71</v>
      </c>
      <c r="T285" s="4">
        <f t="shared" si="27"/>
        <v>40695.207638888889</v>
      </c>
      <c r="U285" s="5">
        <f>VLOOKUP(currency,Tables!$A$1:$C$14,3,FALSE)*pledged</f>
        <v>20569.05</v>
      </c>
    </row>
    <row r="286" spans="1:21" ht="43.2" x14ac:dyDescent="0.55000000000000004">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24"/>
        <v>1.0462615</v>
      </c>
      <c r="P286" s="16">
        <f t="shared" si="25"/>
        <v>55.066394736842106</v>
      </c>
      <c r="Q286" t="str">
        <f t="shared" si="28"/>
        <v>film &amp; video</v>
      </c>
      <c r="R286" t="str">
        <f t="shared" si="29"/>
        <v>documentary</v>
      </c>
      <c r="S286" s="4">
        <f t="shared" si="26"/>
        <v>40904.738194444442</v>
      </c>
      <c r="T286" s="4">
        <f t="shared" si="27"/>
        <v>40929.738194444442</v>
      </c>
      <c r="U286" s="5">
        <f>VLOOKUP(currency,Tables!$A$1:$C$14,3,FALSE)*pledged</f>
        <v>41850.46</v>
      </c>
    </row>
    <row r="287" spans="1:21" ht="43.2" x14ac:dyDescent="0.55000000000000004">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16">
        <f t="shared" si="25"/>
        <v>56.901438721136763</v>
      </c>
      <c r="Q287" t="str">
        <f t="shared" si="28"/>
        <v>film &amp; video</v>
      </c>
      <c r="R287" t="str">
        <f t="shared" si="29"/>
        <v>documentary</v>
      </c>
      <c r="S287" s="4">
        <f t="shared" si="26"/>
        <v>41506.756111111114</v>
      </c>
      <c r="T287" s="4">
        <f t="shared" si="27"/>
        <v>41536.756111111114</v>
      </c>
      <c r="U287" s="5">
        <f>VLOOKUP(currency,Tables!$A$1:$C$14,3,FALSE)*pledged</f>
        <v>32035.51</v>
      </c>
    </row>
    <row r="288" spans="1:21" ht="43.2" x14ac:dyDescent="0.55000000000000004">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16">
        <f t="shared" si="25"/>
        <v>121.28148148148148</v>
      </c>
      <c r="Q288" t="str">
        <f t="shared" si="28"/>
        <v>film &amp; video</v>
      </c>
      <c r="R288" t="str">
        <f t="shared" si="29"/>
        <v>documentary</v>
      </c>
      <c r="S288" s="4">
        <f t="shared" si="26"/>
        <v>41313.816249999996</v>
      </c>
      <c r="T288" s="4">
        <f t="shared" si="27"/>
        <v>41358.774583333332</v>
      </c>
      <c r="U288" s="5">
        <f>VLOOKUP(currency,Tables!$A$1:$C$14,3,FALSE)*pledged</f>
        <v>16373</v>
      </c>
    </row>
    <row r="289" spans="1:21" ht="28.8" x14ac:dyDescent="0.55000000000000004">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16">
        <f t="shared" si="25"/>
        <v>91.189655172413794</v>
      </c>
      <c r="Q289" t="str">
        <f t="shared" si="28"/>
        <v>film &amp; video</v>
      </c>
      <c r="R289" t="str">
        <f t="shared" si="29"/>
        <v>documentary</v>
      </c>
      <c r="S289" s="4">
        <f t="shared" si="26"/>
        <v>41184.277986111112</v>
      </c>
      <c r="T289" s="4">
        <f t="shared" si="27"/>
        <v>41215.166666666664</v>
      </c>
      <c r="U289" s="5">
        <f>VLOOKUP(currency,Tables!$A$1:$C$14,3,FALSE)*pledged</f>
        <v>26445</v>
      </c>
    </row>
    <row r="290" spans="1:21" ht="57.6" x14ac:dyDescent="0.55000000000000004">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16">
        <f t="shared" si="25"/>
        <v>115.44812080536913</v>
      </c>
      <c r="Q290" t="str">
        <f t="shared" si="28"/>
        <v>film &amp; video</v>
      </c>
      <c r="R290" t="str">
        <f t="shared" si="29"/>
        <v>documentary</v>
      </c>
      <c r="S290" s="4">
        <f t="shared" si="26"/>
        <v>41051.168900462959</v>
      </c>
      <c r="T290" s="4">
        <f t="shared" si="27"/>
        <v>41086.168900462959</v>
      </c>
      <c r="U290" s="5">
        <f>VLOOKUP(currency,Tables!$A$1:$C$14,3,FALSE)*pledged</f>
        <v>51605.31</v>
      </c>
    </row>
    <row r="291" spans="1:21" ht="43.2" x14ac:dyDescent="0.55000000000000004">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24"/>
        <v>1.0482</v>
      </c>
      <c r="P291" s="16">
        <f t="shared" si="25"/>
        <v>67.771551724137936</v>
      </c>
      <c r="Q291" t="str">
        <f t="shared" si="28"/>
        <v>film &amp; video</v>
      </c>
      <c r="R291" t="str">
        <f t="shared" si="29"/>
        <v>documentary</v>
      </c>
      <c r="S291" s="4">
        <f t="shared" si="26"/>
        <v>41550.456412037034</v>
      </c>
      <c r="T291" s="4">
        <f t="shared" si="27"/>
        <v>41580.456412037034</v>
      </c>
      <c r="U291" s="5">
        <f>VLOOKUP(currency,Tables!$A$1:$C$14,3,FALSE)*pledged</f>
        <v>20754.36</v>
      </c>
    </row>
    <row r="292" spans="1:21" ht="28.8" x14ac:dyDescent="0.55000000000000004">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16">
        <f t="shared" si="25"/>
        <v>28.576190476190476</v>
      </c>
      <c r="Q292" t="str">
        <f t="shared" si="28"/>
        <v>film &amp; video</v>
      </c>
      <c r="R292" t="str">
        <f t="shared" si="29"/>
        <v>documentary</v>
      </c>
      <c r="S292" s="4">
        <f t="shared" si="26"/>
        <v>40526.36917824074</v>
      </c>
      <c r="T292" s="4">
        <f t="shared" si="27"/>
        <v>40576.332638888889</v>
      </c>
      <c r="U292" s="5">
        <f>VLOOKUP(currency,Tables!$A$1:$C$14,3,FALSE)*pledged</f>
        <v>4800.8</v>
      </c>
    </row>
    <row r="293" spans="1:21" ht="43.2" x14ac:dyDescent="0.55000000000000004">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16">
        <f t="shared" si="25"/>
        <v>46.8828125</v>
      </c>
      <c r="Q293" t="str">
        <f t="shared" si="28"/>
        <v>film &amp; video</v>
      </c>
      <c r="R293" t="str">
        <f t="shared" si="29"/>
        <v>documentary</v>
      </c>
      <c r="S293" s="4">
        <f t="shared" si="26"/>
        <v>41376.769050925926</v>
      </c>
      <c r="T293" s="4">
        <f t="shared" si="27"/>
        <v>41395.000694444447</v>
      </c>
      <c r="U293" s="5">
        <f>VLOOKUP(currency,Tables!$A$1:$C$14,3,FALSE)*pledged</f>
        <v>6001</v>
      </c>
    </row>
    <row r="294" spans="1:21" ht="43.2" x14ac:dyDescent="0.55000000000000004">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16">
        <f t="shared" si="25"/>
        <v>154.42231237322514</v>
      </c>
      <c r="Q294" t="str">
        <f t="shared" si="28"/>
        <v>film &amp; video</v>
      </c>
      <c r="R294" t="str">
        <f t="shared" si="29"/>
        <v>documentary</v>
      </c>
      <c r="S294" s="4">
        <f t="shared" si="26"/>
        <v>40812.803229166668</v>
      </c>
      <c r="T294" s="4">
        <f t="shared" si="27"/>
        <v>40845.165972222225</v>
      </c>
      <c r="U294" s="5">
        <f>VLOOKUP(currency,Tables!$A$1:$C$14,3,FALSE)*pledged</f>
        <v>76130.2</v>
      </c>
    </row>
    <row r="295" spans="1:21" ht="43.2" x14ac:dyDescent="0.55000000000000004">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16">
        <f t="shared" si="25"/>
        <v>201.22137404580153</v>
      </c>
      <c r="Q295" t="str">
        <f t="shared" si="28"/>
        <v>film &amp; video</v>
      </c>
      <c r="R295" t="str">
        <f t="shared" si="29"/>
        <v>documentary</v>
      </c>
      <c r="S295" s="4">
        <f t="shared" si="26"/>
        <v>41719.667986111112</v>
      </c>
      <c r="T295" s="4">
        <f t="shared" si="27"/>
        <v>41749.667986111112</v>
      </c>
      <c r="U295" s="5">
        <f>VLOOKUP(currency,Tables!$A$1:$C$14,3,FALSE)*pledged</f>
        <v>26360</v>
      </c>
    </row>
    <row r="296" spans="1:21" ht="57.6" x14ac:dyDescent="0.55000000000000004">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24"/>
        <v>1</v>
      </c>
      <c r="P296" s="16">
        <f t="shared" si="25"/>
        <v>100</v>
      </c>
      <c r="Q296" t="str">
        <f t="shared" si="28"/>
        <v>film &amp; video</v>
      </c>
      <c r="R296" t="str">
        <f t="shared" si="29"/>
        <v>documentary</v>
      </c>
      <c r="S296" s="4">
        <f t="shared" si="26"/>
        <v>40343.084421296298</v>
      </c>
      <c r="T296" s="4">
        <f t="shared" si="27"/>
        <v>40378.666666666664</v>
      </c>
      <c r="U296" s="5">
        <f>VLOOKUP(currency,Tables!$A$1:$C$14,3,FALSE)*pledged</f>
        <v>5000</v>
      </c>
    </row>
    <row r="297" spans="1:21" ht="43.2" x14ac:dyDescent="0.55000000000000004">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16">
        <f t="shared" si="25"/>
        <v>100.08204511278196</v>
      </c>
      <c r="Q297" t="str">
        <f t="shared" si="28"/>
        <v>film &amp; video</v>
      </c>
      <c r="R297" t="str">
        <f t="shared" si="29"/>
        <v>documentary</v>
      </c>
      <c r="S297" s="4">
        <f t="shared" si="26"/>
        <v>41519.004733796297</v>
      </c>
      <c r="T297" s="4">
        <f t="shared" si="27"/>
        <v>41579</v>
      </c>
      <c r="U297" s="5">
        <f>VLOOKUP(currency,Tables!$A$1:$C$14,3,FALSE)*pledged</f>
        <v>66554.559999999998</v>
      </c>
    </row>
    <row r="298" spans="1:21" ht="43.2" x14ac:dyDescent="0.55000000000000004">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24"/>
        <v>1.187262</v>
      </c>
      <c r="P298" s="16">
        <f t="shared" si="25"/>
        <v>230.08953488372092</v>
      </c>
      <c r="Q298" t="str">
        <f t="shared" si="28"/>
        <v>film &amp; video</v>
      </c>
      <c r="R298" t="str">
        <f t="shared" si="29"/>
        <v>documentary</v>
      </c>
      <c r="S298" s="4">
        <f t="shared" si="26"/>
        <v>41134.475497685184</v>
      </c>
      <c r="T298" s="4">
        <f t="shared" si="27"/>
        <v>41159.475497685184</v>
      </c>
      <c r="U298" s="5">
        <f>VLOOKUP(currency,Tables!$A$1:$C$14,3,FALSE)*pledged</f>
        <v>29681.55</v>
      </c>
    </row>
    <row r="299" spans="1:21" ht="43.2" x14ac:dyDescent="0.55000000000000004">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24"/>
        <v>1.0064</v>
      </c>
      <c r="P299" s="16">
        <f t="shared" si="25"/>
        <v>141.74647887323943</v>
      </c>
      <c r="Q299" t="str">
        <f t="shared" si="28"/>
        <v>film &amp; video</v>
      </c>
      <c r="R299" t="str">
        <f t="shared" si="29"/>
        <v>documentary</v>
      </c>
      <c r="S299" s="4">
        <f t="shared" si="26"/>
        <v>42089.72802083334</v>
      </c>
      <c r="T299" s="4">
        <f t="shared" si="27"/>
        <v>42125.165972222225</v>
      </c>
      <c r="U299" s="5">
        <f>VLOOKUP(currency,Tables!$A$1:$C$14,3,FALSE)*pledged</f>
        <v>20128</v>
      </c>
    </row>
    <row r="300" spans="1:21" ht="28.8" x14ac:dyDescent="0.55000000000000004">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16">
        <f t="shared" si="25"/>
        <v>56.344351395730705</v>
      </c>
      <c r="Q300" t="str">
        <f t="shared" si="28"/>
        <v>film &amp; video</v>
      </c>
      <c r="R300" t="str">
        <f t="shared" si="29"/>
        <v>documentary</v>
      </c>
      <c r="S300" s="4">
        <f t="shared" si="26"/>
        <v>41709.463518518518</v>
      </c>
      <c r="T300" s="4">
        <f t="shared" si="27"/>
        <v>41768.875</v>
      </c>
      <c r="U300" s="5">
        <f>VLOOKUP(currency,Tables!$A$1:$C$14,3,FALSE)*pledged</f>
        <v>137254.84</v>
      </c>
    </row>
    <row r="301" spans="1:21" ht="43.2" x14ac:dyDescent="0.55000000000000004">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24"/>
        <v>1.789525</v>
      </c>
      <c r="P301" s="16">
        <f t="shared" si="25"/>
        <v>73.341188524590166</v>
      </c>
      <c r="Q301" t="str">
        <f t="shared" si="28"/>
        <v>film &amp; video</v>
      </c>
      <c r="R301" t="str">
        <f t="shared" si="29"/>
        <v>documentary</v>
      </c>
      <c r="S301" s="4">
        <f t="shared" si="26"/>
        <v>40469.225231481483</v>
      </c>
      <c r="T301" s="4">
        <f t="shared" si="27"/>
        <v>40499.266898148147</v>
      </c>
      <c r="U301" s="5">
        <f>VLOOKUP(currency,Tables!$A$1:$C$14,3,FALSE)*pledged</f>
        <v>17895.25</v>
      </c>
    </row>
    <row r="302" spans="1:21" ht="43.2" x14ac:dyDescent="0.55000000000000004">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24"/>
        <v>1.0172264</v>
      </c>
      <c r="P302" s="16">
        <f t="shared" si="25"/>
        <v>85.337785234899329</v>
      </c>
      <c r="Q302" t="str">
        <f t="shared" si="28"/>
        <v>film &amp; video</v>
      </c>
      <c r="R302" t="str">
        <f t="shared" si="29"/>
        <v>documentary</v>
      </c>
      <c r="S302" s="4">
        <f t="shared" si="26"/>
        <v>40626.959930555553</v>
      </c>
      <c r="T302" s="4">
        <f t="shared" si="27"/>
        <v>40657.959930555553</v>
      </c>
      <c r="U302" s="5">
        <f>VLOOKUP(currency,Tables!$A$1:$C$14,3,FALSE)*pledged</f>
        <v>25430.66</v>
      </c>
    </row>
    <row r="303" spans="1:21" ht="43.2" x14ac:dyDescent="0.55000000000000004">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16">
        <f t="shared" si="25"/>
        <v>61.496215139442228</v>
      </c>
      <c r="Q303" t="str">
        <f t="shared" si="28"/>
        <v>film &amp; video</v>
      </c>
      <c r="R303" t="str">
        <f t="shared" si="29"/>
        <v>documentary</v>
      </c>
      <c r="S303" s="4">
        <f t="shared" si="26"/>
        <v>41312.737673611111</v>
      </c>
      <c r="T303" s="4">
        <f t="shared" si="27"/>
        <v>41352.696006944447</v>
      </c>
      <c r="U303" s="5">
        <f>VLOOKUP(currency,Tables!$A$1:$C$14,3,FALSE)*pledged</f>
        <v>15435.55</v>
      </c>
    </row>
    <row r="304" spans="1:21" ht="57.6" x14ac:dyDescent="0.55000000000000004">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16">
        <f t="shared" si="25"/>
        <v>93.018518518518519</v>
      </c>
      <c r="Q304" t="str">
        <f t="shared" si="28"/>
        <v>film &amp; video</v>
      </c>
      <c r="R304" t="str">
        <f t="shared" si="29"/>
        <v>documentary</v>
      </c>
      <c r="S304" s="4">
        <f t="shared" si="26"/>
        <v>40933.856921296298</v>
      </c>
      <c r="T304" s="4">
        <f t="shared" si="27"/>
        <v>40963.856921296298</v>
      </c>
      <c r="U304" s="5">
        <f>VLOOKUP(currency,Tables!$A$1:$C$14,3,FALSE)*pledged</f>
        <v>10046</v>
      </c>
    </row>
    <row r="305" spans="1:21" ht="43.2" x14ac:dyDescent="0.55000000000000004">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24"/>
        <v>1.3746666666666667</v>
      </c>
      <c r="P305" s="16">
        <f t="shared" si="25"/>
        <v>50.292682926829265</v>
      </c>
      <c r="Q305" t="str">
        <f t="shared" si="28"/>
        <v>film &amp; video</v>
      </c>
      <c r="R305" t="str">
        <f t="shared" si="29"/>
        <v>documentary</v>
      </c>
      <c r="S305" s="4">
        <f t="shared" si="26"/>
        <v>41032.071134259262</v>
      </c>
      <c r="T305" s="4">
        <f t="shared" si="27"/>
        <v>41062.071134259262</v>
      </c>
      <c r="U305" s="5">
        <f>VLOOKUP(currency,Tables!$A$1:$C$14,3,FALSE)*pledged</f>
        <v>4124</v>
      </c>
    </row>
    <row r="306" spans="1:21" ht="28.8" x14ac:dyDescent="0.55000000000000004">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24"/>
        <v>2.3164705882352941</v>
      </c>
      <c r="P306" s="16">
        <f t="shared" si="25"/>
        <v>106.43243243243244</v>
      </c>
      <c r="Q306" t="str">
        <f t="shared" si="28"/>
        <v>film &amp; video</v>
      </c>
      <c r="R306" t="str">
        <f t="shared" si="29"/>
        <v>documentary</v>
      </c>
      <c r="S306" s="4">
        <f t="shared" si="26"/>
        <v>41114.094872685186</v>
      </c>
      <c r="T306" s="4">
        <f t="shared" si="27"/>
        <v>41153.083333333336</v>
      </c>
      <c r="U306" s="5">
        <f>VLOOKUP(currency,Tables!$A$1:$C$14,3,FALSE)*pledged</f>
        <v>7876</v>
      </c>
    </row>
    <row r="307" spans="1:21" ht="28.8" x14ac:dyDescent="0.55000000000000004">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16">
        <f t="shared" si="25"/>
        <v>51.719576719576722</v>
      </c>
      <c r="Q307" t="str">
        <f t="shared" si="28"/>
        <v>film &amp; video</v>
      </c>
      <c r="R307" t="str">
        <f t="shared" si="29"/>
        <v>documentary</v>
      </c>
      <c r="S307" s="4">
        <f t="shared" si="26"/>
        <v>40948.630196759259</v>
      </c>
      <c r="T307" s="4">
        <f t="shared" si="27"/>
        <v>40978.630196759259</v>
      </c>
      <c r="U307" s="5">
        <f>VLOOKUP(currency,Tables!$A$1:$C$14,3,FALSE)*pledged</f>
        <v>9775</v>
      </c>
    </row>
    <row r="308" spans="1:21" ht="28.8" x14ac:dyDescent="0.55000000000000004">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24"/>
        <v>2.9289999999999998</v>
      </c>
      <c r="P308" s="16">
        <f t="shared" si="25"/>
        <v>36.612499999999997</v>
      </c>
      <c r="Q308" t="str">
        <f t="shared" si="28"/>
        <v>film &amp; video</v>
      </c>
      <c r="R308" t="str">
        <f t="shared" si="29"/>
        <v>documentary</v>
      </c>
      <c r="S308" s="4">
        <f t="shared" si="26"/>
        <v>41333.837187500001</v>
      </c>
      <c r="T308" s="4">
        <f t="shared" si="27"/>
        <v>41353.795520833337</v>
      </c>
      <c r="U308" s="5">
        <f>VLOOKUP(currency,Tables!$A$1:$C$14,3,FALSE)*pledged</f>
        <v>2929</v>
      </c>
    </row>
    <row r="309" spans="1:21" x14ac:dyDescent="0.55000000000000004">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16">
        <f t="shared" si="25"/>
        <v>42.517361111111114</v>
      </c>
      <c r="Q309" t="str">
        <f t="shared" si="28"/>
        <v>film &amp; video</v>
      </c>
      <c r="R309" t="str">
        <f t="shared" si="29"/>
        <v>documentary</v>
      </c>
      <c r="S309" s="4">
        <f t="shared" si="26"/>
        <v>41282.944456018515</v>
      </c>
      <c r="T309" s="4">
        <f t="shared" si="27"/>
        <v>41312.944456018515</v>
      </c>
      <c r="U309" s="5">
        <f>VLOOKUP(currency,Tables!$A$1:$C$14,3,FALSE)*pledged</f>
        <v>24490</v>
      </c>
    </row>
    <row r="310" spans="1:21" ht="43.2" x14ac:dyDescent="0.55000000000000004">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16">
        <f t="shared" si="25"/>
        <v>62.712871287128714</v>
      </c>
      <c r="Q310" t="str">
        <f t="shared" si="28"/>
        <v>film &amp; video</v>
      </c>
      <c r="R310" t="str">
        <f t="shared" si="29"/>
        <v>documentary</v>
      </c>
      <c r="S310" s="4">
        <f t="shared" si="26"/>
        <v>40567.694560185184</v>
      </c>
      <c r="T310" s="4">
        <f t="shared" si="27"/>
        <v>40612.694560185184</v>
      </c>
      <c r="U310" s="5">
        <f>VLOOKUP(currency,Tables!$A$1:$C$14,3,FALSE)*pledged</f>
        <v>12668</v>
      </c>
    </row>
    <row r="311" spans="1:21" ht="43.2" x14ac:dyDescent="0.55000000000000004">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16">
        <f t="shared" si="25"/>
        <v>89.957983193277315</v>
      </c>
      <c r="Q311" t="str">
        <f t="shared" si="28"/>
        <v>film &amp; video</v>
      </c>
      <c r="R311" t="str">
        <f t="shared" si="29"/>
        <v>documentary</v>
      </c>
      <c r="S311" s="4">
        <f t="shared" si="26"/>
        <v>41134.751550925925</v>
      </c>
      <c r="T311" s="4">
        <f t="shared" si="27"/>
        <v>41155.751550925925</v>
      </c>
      <c r="U311" s="5">
        <f>VLOOKUP(currency,Tables!$A$1:$C$14,3,FALSE)*pledged</f>
        <v>21410</v>
      </c>
    </row>
    <row r="312" spans="1:21" ht="43.2" x14ac:dyDescent="0.55000000000000004">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24"/>
        <v>1.04129</v>
      </c>
      <c r="P312" s="16">
        <f t="shared" si="25"/>
        <v>28.924722222222222</v>
      </c>
      <c r="Q312" t="str">
        <f t="shared" si="28"/>
        <v>film &amp; video</v>
      </c>
      <c r="R312" t="str">
        <f t="shared" si="29"/>
        <v>documentary</v>
      </c>
      <c r="S312" s="4">
        <f t="shared" si="26"/>
        <v>40821.183136574073</v>
      </c>
      <c r="T312" s="4">
        <f t="shared" si="27"/>
        <v>40836.083333333336</v>
      </c>
      <c r="U312" s="5">
        <f>VLOOKUP(currency,Tables!$A$1:$C$14,3,FALSE)*pledged</f>
        <v>1041.29</v>
      </c>
    </row>
    <row r="313" spans="1:21" ht="43.2" x14ac:dyDescent="0.55000000000000004">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16">
        <f t="shared" si="25"/>
        <v>138.8022</v>
      </c>
      <c r="Q313" t="str">
        <f t="shared" si="28"/>
        <v>film &amp; video</v>
      </c>
      <c r="R313" t="str">
        <f t="shared" si="29"/>
        <v>documentary</v>
      </c>
      <c r="S313" s="4">
        <f t="shared" si="26"/>
        <v>40868.219814814816</v>
      </c>
      <c r="T313" s="4">
        <f t="shared" si="27"/>
        <v>40909.332638888889</v>
      </c>
      <c r="U313" s="5">
        <f>VLOOKUP(currency,Tables!$A$1:$C$14,3,FALSE)*pledged</f>
        <v>20820.330000000002</v>
      </c>
    </row>
    <row r="314" spans="1:21" ht="43.2" x14ac:dyDescent="0.55000000000000004">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16">
        <f t="shared" si="25"/>
        <v>61.301369863013697</v>
      </c>
      <c r="Q314" t="str">
        <f t="shared" si="28"/>
        <v>film &amp; video</v>
      </c>
      <c r="R314" t="str">
        <f t="shared" si="29"/>
        <v>documentary</v>
      </c>
      <c r="S314" s="4">
        <f t="shared" si="26"/>
        <v>41348.877685185187</v>
      </c>
      <c r="T314" s="4">
        <f t="shared" si="27"/>
        <v>41378.877685185187</v>
      </c>
      <c r="U314" s="5">
        <f>VLOOKUP(currency,Tables!$A$1:$C$14,3,FALSE)*pledged</f>
        <v>8950</v>
      </c>
    </row>
    <row r="315" spans="1:21" ht="57.6" x14ac:dyDescent="0.55000000000000004">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16">
        <f t="shared" si="25"/>
        <v>80.202702702702709</v>
      </c>
      <c r="Q315" t="str">
        <f t="shared" si="28"/>
        <v>film &amp; video</v>
      </c>
      <c r="R315" t="str">
        <f t="shared" si="29"/>
        <v>documentary</v>
      </c>
      <c r="S315" s="4">
        <f t="shared" si="26"/>
        <v>40357.227939814817</v>
      </c>
      <c r="T315" s="4">
        <f t="shared" si="27"/>
        <v>40401.665972222225</v>
      </c>
      <c r="U315" s="5">
        <f>VLOOKUP(currency,Tables!$A$1:$C$14,3,FALSE)*pledged</f>
        <v>17805</v>
      </c>
    </row>
    <row r="316" spans="1:21" ht="43.2" x14ac:dyDescent="0.55000000000000004">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16">
        <f t="shared" si="25"/>
        <v>32.095833333333331</v>
      </c>
      <c r="Q316" t="str">
        <f t="shared" si="28"/>
        <v>film &amp; video</v>
      </c>
      <c r="R316" t="str">
        <f t="shared" si="29"/>
        <v>documentary</v>
      </c>
      <c r="S316" s="4">
        <f t="shared" si="26"/>
        <v>41304.833194444444</v>
      </c>
      <c r="T316" s="4">
        <f t="shared" si="27"/>
        <v>41334.833194444444</v>
      </c>
      <c r="U316" s="5">
        <f>VLOOKUP(currency,Tables!$A$1:$C$14,3,FALSE)*pledged</f>
        <v>3851.5</v>
      </c>
    </row>
    <row r="317" spans="1:21" ht="43.2" x14ac:dyDescent="0.55000000000000004">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24"/>
        <v>1.01248</v>
      </c>
      <c r="P317" s="16">
        <f t="shared" si="25"/>
        <v>200.88888888888889</v>
      </c>
      <c r="Q317" t="str">
        <f t="shared" si="28"/>
        <v>film &amp; video</v>
      </c>
      <c r="R317" t="str">
        <f t="shared" si="29"/>
        <v>documentary</v>
      </c>
      <c r="S317" s="4">
        <f t="shared" si="26"/>
        <v>41113.77238425926</v>
      </c>
      <c r="T317" s="4">
        <f t="shared" si="27"/>
        <v>41143.77238425926</v>
      </c>
      <c r="U317" s="5">
        <f>VLOOKUP(currency,Tables!$A$1:$C$14,3,FALSE)*pledged</f>
        <v>25312</v>
      </c>
    </row>
    <row r="318" spans="1:21" ht="28.8" x14ac:dyDescent="0.55000000000000004">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16">
        <f t="shared" si="25"/>
        <v>108.01265822784811</v>
      </c>
      <c r="Q318" t="str">
        <f t="shared" si="28"/>
        <v>film &amp; video</v>
      </c>
      <c r="R318" t="str">
        <f t="shared" si="29"/>
        <v>documentary</v>
      </c>
      <c r="S318" s="4">
        <f t="shared" si="26"/>
        <v>41950.923576388886</v>
      </c>
      <c r="T318" s="4">
        <f t="shared" si="27"/>
        <v>41984.207638888889</v>
      </c>
      <c r="U318" s="5">
        <f>VLOOKUP(currency,Tables!$A$1:$C$14,3,FALSE)*pledged</f>
        <v>12970.16</v>
      </c>
    </row>
    <row r="319" spans="1:21" ht="43.2" x14ac:dyDescent="0.55000000000000004">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16">
        <f t="shared" si="25"/>
        <v>95.699367088607602</v>
      </c>
      <c r="Q319" t="str">
        <f t="shared" si="28"/>
        <v>film &amp; video</v>
      </c>
      <c r="R319" t="str">
        <f t="shared" si="29"/>
        <v>documentary</v>
      </c>
      <c r="S319" s="4">
        <f t="shared" si="26"/>
        <v>41589.676886574074</v>
      </c>
      <c r="T319" s="4">
        <f t="shared" si="27"/>
        <v>41619.676886574074</v>
      </c>
      <c r="U319" s="5">
        <f>VLOOKUP(currency,Tables!$A$1:$C$14,3,FALSE)*pledged</f>
        <v>30241</v>
      </c>
    </row>
    <row r="320" spans="1:21" ht="43.2" x14ac:dyDescent="0.55000000000000004">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16">
        <f t="shared" si="25"/>
        <v>49.880281690140848</v>
      </c>
      <c r="Q320" t="str">
        <f t="shared" si="28"/>
        <v>film &amp; video</v>
      </c>
      <c r="R320" t="str">
        <f t="shared" si="29"/>
        <v>documentary</v>
      </c>
      <c r="S320" s="4">
        <f t="shared" si="26"/>
        <v>41330.038784722223</v>
      </c>
      <c r="T320" s="4">
        <f t="shared" si="27"/>
        <v>41359.997118055559</v>
      </c>
      <c r="U320" s="5">
        <f>VLOOKUP(currency,Tables!$A$1:$C$14,3,FALSE)*pledged</f>
        <v>14166</v>
      </c>
    </row>
    <row r="321" spans="1:21" ht="57.6" x14ac:dyDescent="0.55000000000000004">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24"/>
        <v>1.1268</v>
      </c>
      <c r="P321" s="16">
        <f t="shared" si="25"/>
        <v>110.47058823529412</v>
      </c>
      <c r="Q321" t="str">
        <f t="shared" si="28"/>
        <v>film &amp; video</v>
      </c>
      <c r="R321" t="str">
        <f t="shared" si="29"/>
        <v>documentary</v>
      </c>
      <c r="S321" s="4">
        <f t="shared" si="26"/>
        <v>40123.83829861111</v>
      </c>
      <c r="T321" s="4">
        <f t="shared" si="27"/>
        <v>40211.332638888889</v>
      </c>
      <c r="U321" s="5">
        <f>VLOOKUP(currency,Tables!$A$1:$C$14,3,FALSE)*pledged</f>
        <v>5634</v>
      </c>
    </row>
    <row r="322" spans="1:21" ht="43.2" x14ac:dyDescent="0.55000000000000004">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ref="O322:O385" si="30">pledged/goal</f>
        <v>1.0658000000000001</v>
      </c>
      <c r="P322" s="16">
        <f t="shared" ref="P322:P385" si="31">IF(pledged=0,0,pledged/backers_count)</f>
        <v>134.91139240506328</v>
      </c>
      <c r="Q322" t="str">
        <f t="shared" si="28"/>
        <v>film &amp; video</v>
      </c>
      <c r="R322" t="str">
        <f t="shared" si="29"/>
        <v>documentary</v>
      </c>
      <c r="S322" s="4">
        <f t="shared" ref="S322:S385" si="32">(((Unix_launched_date/60)/60)/24)+DATE(1970,1,1)</f>
        <v>42331.551307870366</v>
      </c>
      <c r="T322" s="4">
        <f t="shared" ref="T322:T385" si="33">(((Unix_deadline/60)/60)/24)+DATE(1970,1,1)</f>
        <v>42360.958333333328</v>
      </c>
      <c r="U322" s="5">
        <f>VLOOKUP(currency,Tables!$A$1:$C$14,3,FALSE)*pledged</f>
        <v>28137.120000000003</v>
      </c>
    </row>
    <row r="323" spans="1:21" ht="43.2" x14ac:dyDescent="0.55000000000000004">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si="30"/>
        <v>1.0266285714285714</v>
      </c>
      <c r="P323" s="16">
        <f t="shared" si="31"/>
        <v>106.62314540059347</v>
      </c>
      <c r="Q323" t="str">
        <f t="shared" ref="Q323:Q386" si="34">LEFT(N323,FIND("/",N323,1)-1)</f>
        <v>film &amp; video</v>
      </c>
      <c r="R323" t="str">
        <f t="shared" ref="R323:R386" si="35">RIGHT(N323,(LEN(N323)-FIND("/",N323,1)))</f>
        <v>documentary</v>
      </c>
      <c r="S323" s="4">
        <f t="shared" si="32"/>
        <v>42647.446597222224</v>
      </c>
      <c r="T323" s="4">
        <f t="shared" si="33"/>
        <v>42682.488263888896</v>
      </c>
      <c r="U323" s="5">
        <f>VLOOKUP(currency,Tables!$A$1:$C$14,3,FALSE)*pledged</f>
        <v>42399.759999999995</v>
      </c>
    </row>
    <row r="324" spans="1:21" ht="43.2" x14ac:dyDescent="0.55000000000000004">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16">
        <f t="shared" si="31"/>
        <v>145.04301075268816</v>
      </c>
      <c r="Q324" t="str">
        <f t="shared" si="34"/>
        <v>film &amp; video</v>
      </c>
      <c r="R324" t="str">
        <f t="shared" si="35"/>
        <v>documentary</v>
      </c>
      <c r="S324" s="4">
        <f t="shared" si="32"/>
        <v>42473.57</v>
      </c>
      <c r="T324" s="4">
        <f t="shared" si="33"/>
        <v>42503.57</v>
      </c>
      <c r="U324" s="5">
        <f>VLOOKUP(currency,Tables!$A$1:$C$14,3,FALSE)*pledged</f>
        <v>26978</v>
      </c>
    </row>
    <row r="325" spans="1:21" ht="43.2" x14ac:dyDescent="0.55000000000000004">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30"/>
        <v>1.2307407407407407</v>
      </c>
      <c r="P325" s="16">
        <f t="shared" si="31"/>
        <v>114.58620689655173</v>
      </c>
      <c r="Q325" t="str">
        <f t="shared" si="34"/>
        <v>film &amp; video</v>
      </c>
      <c r="R325" t="str">
        <f t="shared" si="35"/>
        <v>documentary</v>
      </c>
      <c r="S325" s="4">
        <f t="shared" si="32"/>
        <v>42697.32136574074</v>
      </c>
      <c r="T325" s="4">
        <f t="shared" si="33"/>
        <v>42725.332638888889</v>
      </c>
      <c r="U325" s="5">
        <f>VLOOKUP(currency,Tables!$A$1:$C$14,3,FALSE)*pledged</f>
        <v>6646</v>
      </c>
    </row>
    <row r="326" spans="1:21" ht="43.2" x14ac:dyDescent="0.55000000000000004">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30"/>
        <v>1.016</v>
      </c>
      <c r="P326" s="16">
        <f t="shared" si="31"/>
        <v>105.3170731707317</v>
      </c>
      <c r="Q326" t="str">
        <f t="shared" si="34"/>
        <v>film &amp; video</v>
      </c>
      <c r="R326" t="str">
        <f t="shared" si="35"/>
        <v>documentary</v>
      </c>
      <c r="S326" s="4">
        <f t="shared" si="32"/>
        <v>42184.626250000001</v>
      </c>
      <c r="T326" s="4">
        <f t="shared" si="33"/>
        <v>42217.626250000001</v>
      </c>
      <c r="U326" s="5">
        <f>VLOOKUP(currency,Tables!$A$1:$C$14,3,FALSE)*pledged</f>
        <v>8636</v>
      </c>
    </row>
    <row r="327" spans="1:21" ht="43.2" x14ac:dyDescent="0.55000000000000004">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30"/>
        <v>1.04396</v>
      </c>
      <c r="P327" s="16">
        <f t="shared" si="31"/>
        <v>70.921195652173907</v>
      </c>
      <c r="Q327" t="str">
        <f t="shared" si="34"/>
        <v>film &amp; video</v>
      </c>
      <c r="R327" t="str">
        <f t="shared" si="35"/>
        <v>documentary</v>
      </c>
      <c r="S327" s="4">
        <f t="shared" si="32"/>
        <v>42689.187881944439</v>
      </c>
      <c r="T327" s="4">
        <f t="shared" si="33"/>
        <v>42724.187881944439</v>
      </c>
      <c r="U327" s="5">
        <f>VLOOKUP(currency,Tables!$A$1:$C$14,3,FALSE)*pledged</f>
        <v>52198</v>
      </c>
    </row>
    <row r="328" spans="1:21" ht="43.2" x14ac:dyDescent="0.55000000000000004">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16">
        <f t="shared" si="31"/>
        <v>147.17167680278018</v>
      </c>
      <c r="Q328" t="str">
        <f t="shared" si="34"/>
        <v>film &amp; video</v>
      </c>
      <c r="R328" t="str">
        <f t="shared" si="35"/>
        <v>documentary</v>
      </c>
      <c r="S328" s="4">
        <f t="shared" si="32"/>
        <v>42775.314884259264</v>
      </c>
      <c r="T328" s="4">
        <f t="shared" si="33"/>
        <v>42808.956250000003</v>
      </c>
      <c r="U328" s="5">
        <f>VLOOKUP(currency,Tables!$A$1:$C$14,3,FALSE)*pledged</f>
        <v>169394.6</v>
      </c>
    </row>
    <row r="329" spans="1:21" ht="43.2" x14ac:dyDescent="0.55000000000000004">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30"/>
        <v>1.3640000000000001</v>
      </c>
      <c r="P329" s="16">
        <f t="shared" si="31"/>
        <v>160.47058823529412</v>
      </c>
      <c r="Q329" t="str">
        <f t="shared" si="34"/>
        <v>film &amp; video</v>
      </c>
      <c r="R329" t="str">
        <f t="shared" si="35"/>
        <v>documentary</v>
      </c>
      <c r="S329" s="4">
        <f t="shared" si="32"/>
        <v>42058.235289351855</v>
      </c>
      <c r="T329" s="4">
        <f t="shared" si="33"/>
        <v>42085.333333333328</v>
      </c>
      <c r="U329" s="5">
        <f>VLOOKUP(currency,Tables!$A$1:$C$14,3,FALSE)*pledged</f>
        <v>5456</v>
      </c>
    </row>
    <row r="330" spans="1:21" ht="43.2" x14ac:dyDescent="0.55000000000000004">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30"/>
        <v>1.036144</v>
      </c>
      <c r="P330" s="16">
        <f t="shared" si="31"/>
        <v>156.04578313253012</v>
      </c>
      <c r="Q330" t="str">
        <f t="shared" si="34"/>
        <v>film &amp; video</v>
      </c>
      <c r="R330" t="str">
        <f t="shared" si="35"/>
        <v>documentary</v>
      </c>
      <c r="S330" s="4">
        <f t="shared" si="32"/>
        <v>42278.946620370371</v>
      </c>
      <c r="T330" s="4">
        <f t="shared" si="33"/>
        <v>42309.166666666672</v>
      </c>
      <c r="U330" s="5">
        <f>VLOOKUP(currency,Tables!$A$1:$C$14,3,FALSE)*pledged</f>
        <v>77710.8</v>
      </c>
    </row>
    <row r="331" spans="1:21" ht="43.2" x14ac:dyDescent="0.55000000000000004">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16">
        <f t="shared" si="31"/>
        <v>63.17365269461078</v>
      </c>
      <c r="Q331" t="str">
        <f t="shared" si="34"/>
        <v>film &amp; video</v>
      </c>
      <c r="R331" t="str">
        <f t="shared" si="35"/>
        <v>documentary</v>
      </c>
      <c r="S331" s="4">
        <f t="shared" si="32"/>
        <v>42291.46674768519</v>
      </c>
      <c r="T331" s="4">
        <f t="shared" si="33"/>
        <v>42315.166666666672</v>
      </c>
      <c r="U331" s="5">
        <f>VLOOKUP(currency,Tables!$A$1:$C$14,3,FALSE)*pledged</f>
        <v>10550</v>
      </c>
    </row>
    <row r="332" spans="1:21" ht="43.2" x14ac:dyDescent="0.55000000000000004">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16">
        <f t="shared" si="31"/>
        <v>104.82352941176471</v>
      </c>
      <c r="Q332" t="str">
        <f t="shared" si="34"/>
        <v>film &amp; video</v>
      </c>
      <c r="R332" t="str">
        <f t="shared" si="35"/>
        <v>documentary</v>
      </c>
      <c r="S332" s="4">
        <f t="shared" si="32"/>
        <v>41379.515775462962</v>
      </c>
      <c r="T332" s="4">
        <f t="shared" si="33"/>
        <v>41411.165972222225</v>
      </c>
      <c r="U332" s="5">
        <f>VLOOKUP(currency,Tables!$A$1:$C$14,3,FALSE)*pledged</f>
        <v>35640</v>
      </c>
    </row>
    <row r="333" spans="1:21" ht="43.2" x14ac:dyDescent="0.55000000000000004">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16">
        <f t="shared" si="31"/>
        <v>97.356164383561648</v>
      </c>
      <c r="Q333" t="str">
        <f t="shared" si="34"/>
        <v>film &amp; video</v>
      </c>
      <c r="R333" t="str">
        <f t="shared" si="35"/>
        <v>documentary</v>
      </c>
      <c r="S333" s="4">
        <f t="shared" si="32"/>
        <v>42507.581412037034</v>
      </c>
      <c r="T333" s="4">
        <f t="shared" si="33"/>
        <v>42538.581412037034</v>
      </c>
      <c r="U333" s="5">
        <f>VLOOKUP(currency,Tables!$A$1:$C$14,3,FALSE)*pledged</f>
        <v>42642</v>
      </c>
    </row>
    <row r="334" spans="1:21" ht="43.2" x14ac:dyDescent="0.55000000000000004">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30"/>
        <v>1.13015</v>
      </c>
      <c r="P334" s="16">
        <f t="shared" si="31"/>
        <v>203.63063063063063</v>
      </c>
      <c r="Q334" t="str">
        <f t="shared" si="34"/>
        <v>film &amp; video</v>
      </c>
      <c r="R334" t="str">
        <f t="shared" si="35"/>
        <v>documentary</v>
      </c>
      <c r="S334" s="4">
        <f t="shared" si="32"/>
        <v>42263.680289351847</v>
      </c>
      <c r="T334" s="4">
        <f t="shared" si="33"/>
        <v>42305.333333333328</v>
      </c>
      <c r="U334" s="5">
        <f>VLOOKUP(currency,Tables!$A$1:$C$14,3,FALSE)*pledged</f>
        <v>113015</v>
      </c>
    </row>
    <row r="335" spans="1:21" ht="43.2" x14ac:dyDescent="0.55000000000000004">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30"/>
        <v>1.252275</v>
      </c>
      <c r="P335" s="16">
        <f t="shared" si="31"/>
        <v>188.31203007518798</v>
      </c>
      <c r="Q335" t="str">
        <f t="shared" si="34"/>
        <v>film &amp; video</v>
      </c>
      <c r="R335" t="str">
        <f t="shared" si="35"/>
        <v>documentary</v>
      </c>
      <c r="S335" s="4">
        <f t="shared" si="32"/>
        <v>42437.636469907404</v>
      </c>
      <c r="T335" s="4">
        <f t="shared" si="33"/>
        <v>42467.59480324074</v>
      </c>
      <c r="U335" s="5">
        <f>VLOOKUP(currency,Tables!$A$1:$C$14,3,FALSE)*pledged</f>
        <v>50091</v>
      </c>
    </row>
    <row r="336" spans="1:21" ht="43.2" x14ac:dyDescent="0.55000000000000004">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30"/>
        <v>1.0119</v>
      </c>
      <c r="P336" s="16">
        <f t="shared" si="31"/>
        <v>146.65217391304347</v>
      </c>
      <c r="Q336" t="str">
        <f t="shared" si="34"/>
        <v>film &amp; video</v>
      </c>
      <c r="R336" t="str">
        <f t="shared" si="35"/>
        <v>documentary</v>
      </c>
      <c r="S336" s="4">
        <f t="shared" si="32"/>
        <v>42101.682372685187</v>
      </c>
      <c r="T336" s="4">
        <f t="shared" si="33"/>
        <v>42139.791666666672</v>
      </c>
      <c r="U336" s="5">
        <f>VLOOKUP(currency,Tables!$A$1:$C$14,3,FALSE)*pledged</f>
        <v>10119</v>
      </c>
    </row>
    <row r="337" spans="1:21" ht="43.2" x14ac:dyDescent="0.55000000000000004">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30"/>
        <v>1.0276470588235294</v>
      </c>
      <c r="P337" s="16">
        <f t="shared" si="31"/>
        <v>109.1875</v>
      </c>
      <c r="Q337" t="str">
        <f t="shared" si="34"/>
        <v>film &amp; video</v>
      </c>
      <c r="R337" t="str">
        <f t="shared" si="35"/>
        <v>documentary</v>
      </c>
      <c r="S337" s="4">
        <f t="shared" si="32"/>
        <v>42101.737442129626</v>
      </c>
      <c r="T337" s="4">
        <f t="shared" si="33"/>
        <v>42132.916666666672</v>
      </c>
      <c r="U337" s="5">
        <f>VLOOKUP(currency,Tables!$A$1:$C$14,3,FALSE)*pledged</f>
        <v>8735</v>
      </c>
    </row>
    <row r="338" spans="1:21" ht="43.2" x14ac:dyDescent="0.55000000000000004">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16">
        <f t="shared" si="31"/>
        <v>59.249046653144013</v>
      </c>
      <c r="Q338" t="str">
        <f t="shared" si="34"/>
        <v>film &amp; video</v>
      </c>
      <c r="R338" t="str">
        <f t="shared" si="35"/>
        <v>documentary</v>
      </c>
      <c r="S338" s="4">
        <f t="shared" si="32"/>
        <v>42291.596273148149</v>
      </c>
      <c r="T338" s="4">
        <f t="shared" si="33"/>
        <v>42321.637939814813</v>
      </c>
      <c r="U338" s="5">
        <f>VLOOKUP(currency,Tables!$A$1:$C$14,3,FALSE)*pledged</f>
        <v>29209.78</v>
      </c>
    </row>
    <row r="339" spans="1:21" ht="43.2" x14ac:dyDescent="0.55000000000000004">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16">
        <f t="shared" si="31"/>
        <v>97.904838709677421</v>
      </c>
      <c r="Q339" t="str">
        <f t="shared" si="34"/>
        <v>film &amp; video</v>
      </c>
      <c r="R339" t="str">
        <f t="shared" si="35"/>
        <v>documentary</v>
      </c>
      <c r="S339" s="4">
        <f t="shared" si="32"/>
        <v>42047.128564814819</v>
      </c>
      <c r="T339" s="4">
        <f t="shared" si="33"/>
        <v>42077.086898148147</v>
      </c>
      <c r="U339" s="5">
        <f>VLOOKUP(currency,Tables!$A$1:$C$14,3,FALSE)*pledged</f>
        <v>3035.05</v>
      </c>
    </row>
    <row r="340" spans="1:21" ht="43.2" x14ac:dyDescent="0.55000000000000004">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16">
        <f t="shared" si="31"/>
        <v>70.000169491525426</v>
      </c>
      <c r="Q340" t="str">
        <f t="shared" si="34"/>
        <v>film &amp; video</v>
      </c>
      <c r="R340" t="str">
        <f t="shared" si="35"/>
        <v>documentary</v>
      </c>
      <c r="S340" s="4">
        <f t="shared" si="32"/>
        <v>42559.755671296298</v>
      </c>
      <c r="T340" s="4">
        <f t="shared" si="33"/>
        <v>42616.041666666672</v>
      </c>
      <c r="U340" s="5">
        <f>VLOOKUP(currency,Tables!$A$1:$C$14,3,FALSE)*pledged</f>
        <v>16520.04</v>
      </c>
    </row>
    <row r="341" spans="1:21" ht="43.2" x14ac:dyDescent="0.55000000000000004">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30"/>
        <v>1.0808333333333333</v>
      </c>
      <c r="P341" s="16">
        <f t="shared" si="31"/>
        <v>72.865168539325836</v>
      </c>
      <c r="Q341" t="str">
        <f t="shared" si="34"/>
        <v>film &amp; video</v>
      </c>
      <c r="R341" t="str">
        <f t="shared" si="35"/>
        <v>documentary</v>
      </c>
      <c r="S341" s="4">
        <f t="shared" si="32"/>
        <v>42093.760046296295</v>
      </c>
      <c r="T341" s="4">
        <f t="shared" si="33"/>
        <v>42123.760046296295</v>
      </c>
      <c r="U341" s="5">
        <f>VLOOKUP(currency,Tables!$A$1:$C$14,3,FALSE)*pledged</f>
        <v>6485</v>
      </c>
    </row>
    <row r="342" spans="1:21" ht="43.2" x14ac:dyDescent="0.55000000000000004">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16">
        <f t="shared" si="31"/>
        <v>146.34782608695653</v>
      </c>
      <c r="Q342" t="str">
        <f t="shared" si="34"/>
        <v>film &amp; video</v>
      </c>
      <c r="R342" t="str">
        <f t="shared" si="35"/>
        <v>documentary</v>
      </c>
      <c r="S342" s="4">
        <f t="shared" si="32"/>
        <v>42772.669062500005</v>
      </c>
      <c r="T342" s="4">
        <f t="shared" si="33"/>
        <v>42802.875</v>
      </c>
      <c r="U342" s="5">
        <f>VLOOKUP(currency,Tables!$A$1:$C$14,3,FALSE)*pledged</f>
        <v>43758</v>
      </c>
    </row>
    <row r="343" spans="1:21" ht="43.2" x14ac:dyDescent="0.55000000000000004">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30"/>
        <v>1.0671428571428572</v>
      </c>
      <c r="P343" s="16">
        <f t="shared" si="31"/>
        <v>67.909090909090907</v>
      </c>
      <c r="Q343" t="str">
        <f t="shared" si="34"/>
        <v>film &amp; video</v>
      </c>
      <c r="R343" t="str">
        <f t="shared" si="35"/>
        <v>documentary</v>
      </c>
      <c r="S343" s="4">
        <f t="shared" si="32"/>
        <v>41894.879606481481</v>
      </c>
      <c r="T343" s="4">
        <f t="shared" si="33"/>
        <v>41913.165972222225</v>
      </c>
      <c r="U343" s="5">
        <f>VLOOKUP(currency,Tables!$A$1:$C$14,3,FALSE)*pledged</f>
        <v>3735</v>
      </c>
    </row>
    <row r="344" spans="1:21" ht="28.8" x14ac:dyDescent="0.55000000000000004">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16">
        <f t="shared" si="31"/>
        <v>169.85083076923075</v>
      </c>
      <c r="Q344" t="str">
        <f t="shared" si="34"/>
        <v>film &amp; video</v>
      </c>
      <c r="R344" t="str">
        <f t="shared" si="35"/>
        <v>documentary</v>
      </c>
      <c r="S344" s="4">
        <f t="shared" si="32"/>
        <v>42459.780844907407</v>
      </c>
      <c r="T344" s="4">
        <f t="shared" si="33"/>
        <v>42489.780844907407</v>
      </c>
      <c r="U344" s="5">
        <f>VLOOKUP(currency,Tables!$A$1:$C$14,3,FALSE)*pledged</f>
        <v>55201.52</v>
      </c>
    </row>
    <row r="345" spans="1:21" ht="43.2" x14ac:dyDescent="0.55000000000000004">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16">
        <f t="shared" si="31"/>
        <v>58.413339694656486</v>
      </c>
      <c r="Q345" t="str">
        <f t="shared" si="34"/>
        <v>film &amp; video</v>
      </c>
      <c r="R345" t="str">
        <f t="shared" si="35"/>
        <v>documentary</v>
      </c>
      <c r="S345" s="4">
        <f t="shared" si="32"/>
        <v>41926.73778935185</v>
      </c>
      <c r="T345" s="4">
        <f t="shared" si="33"/>
        <v>41957.125</v>
      </c>
      <c r="U345" s="5">
        <f>VLOOKUP(currency,Tables!$A$1:$C$14,3,FALSE)*pledged</f>
        <v>30608.59</v>
      </c>
    </row>
    <row r="346" spans="1:21" ht="43.2" x14ac:dyDescent="0.55000000000000004">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16">
        <f t="shared" si="31"/>
        <v>119.99298245614035</v>
      </c>
      <c r="Q346" t="str">
        <f t="shared" si="34"/>
        <v>film &amp; video</v>
      </c>
      <c r="R346" t="str">
        <f t="shared" si="35"/>
        <v>documentary</v>
      </c>
      <c r="S346" s="4">
        <f t="shared" si="32"/>
        <v>42111.970995370371</v>
      </c>
      <c r="T346" s="4">
        <f t="shared" si="33"/>
        <v>42156.097222222219</v>
      </c>
      <c r="U346" s="5">
        <f>VLOOKUP(currency,Tables!$A$1:$C$14,3,FALSE)*pledged</f>
        <v>34198</v>
      </c>
    </row>
    <row r="347" spans="1:21" ht="43.2" x14ac:dyDescent="0.55000000000000004">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16">
        <f t="shared" si="31"/>
        <v>99.860335195530723</v>
      </c>
      <c r="Q347" t="str">
        <f t="shared" si="34"/>
        <v>film &amp; video</v>
      </c>
      <c r="R347" t="str">
        <f t="shared" si="35"/>
        <v>documentary</v>
      </c>
      <c r="S347" s="4">
        <f t="shared" si="32"/>
        <v>42114.944328703699</v>
      </c>
      <c r="T347" s="4">
        <f t="shared" si="33"/>
        <v>42144.944328703699</v>
      </c>
      <c r="U347" s="5">
        <f>VLOOKUP(currency,Tables!$A$1:$C$14,3,FALSE)*pledged</f>
        <v>17875</v>
      </c>
    </row>
    <row r="348" spans="1:21" ht="43.2" x14ac:dyDescent="0.55000000000000004">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16">
        <f t="shared" si="31"/>
        <v>90.579148936170213</v>
      </c>
      <c r="Q348" t="str">
        <f t="shared" si="34"/>
        <v>film &amp; video</v>
      </c>
      <c r="R348" t="str">
        <f t="shared" si="35"/>
        <v>documentary</v>
      </c>
      <c r="S348" s="4">
        <f t="shared" si="32"/>
        <v>42261.500243055561</v>
      </c>
      <c r="T348" s="4">
        <f t="shared" si="33"/>
        <v>42291.500243055561</v>
      </c>
      <c r="U348" s="5">
        <f>VLOOKUP(currency,Tables!$A$1:$C$14,3,FALSE)*pledged</f>
        <v>17028.88</v>
      </c>
    </row>
    <row r="349" spans="1:21" ht="43.2" x14ac:dyDescent="0.55000000000000004">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16">
        <f t="shared" si="31"/>
        <v>117.77361477572559</v>
      </c>
      <c r="Q349" t="str">
        <f t="shared" si="34"/>
        <v>film &amp; video</v>
      </c>
      <c r="R349" t="str">
        <f t="shared" si="35"/>
        <v>documentary</v>
      </c>
      <c r="S349" s="4">
        <f t="shared" si="32"/>
        <v>42292.495474537034</v>
      </c>
      <c r="T349" s="4">
        <f t="shared" si="33"/>
        <v>42322.537141203706</v>
      </c>
      <c r="U349" s="5">
        <f>VLOOKUP(currency,Tables!$A$1:$C$14,3,FALSE)*pledged</f>
        <v>44636.2</v>
      </c>
    </row>
    <row r="350" spans="1:21" ht="43.2" x14ac:dyDescent="0.55000000000000004">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30"/>
        <v>1.03</v>
      </c>
      <c r="P350" s="16">
        <f t="shared" si="31"/>
        <v>86.554621848739501</v>
      </c>
      <c r="Q350" t="str">
        <f t="shared" si="34"/>
        <v>film &amp; video</v>
      </c>
      <c r="R350" t="str">
        <f t="shared" si="35"/>
        <v>documentary</v>
      </c>
      <c r="S350" s="4">
        <f t="shared" si="32"/>
        <v>42207.58699074074</v>
      </c>
      <c r="T350" s="4">
        <f t="shared" si="33"/>
        <v>42237.58699074074</v>
      </c>
      <c r="U350" s="5">
        <f>VLOOKUP(currency,Tables!$A$1:$C$14,3,FALSE)*pledged</f>
        <v>10300</v>
      </c>
    </row>
    <row r="351" spans="1:21" ht="43.2" x14ac:dyDescent="0.55000000000000004">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16">
        <f t="shared" si="31"/>
        <v>71.899281437125751</v>
      </c>
      <c r="Q351" t="str">
        <f t="shared" si="34"/>
        <v>film &amp; video</v>
      </c>
      <c r="R351" t="str">
        <f t="shared" si="35"/>
        <v>documentary</v>
      </c>
      <c r="S351" s="4">
        <f t="shared" si="32"/>
        <v>42760.498935185184</v>
      </c>
      <c r="T351" s="4">
        <f t="shared" si="33"/>
        <v>42790.498935185184</v>
      </c>
      <c r="U351" s="5">
        <f>VLOOKUP(currency,Tables!$A$1:$C$14,3,FALSE)*pledged</f>
        <v>12007.18</v>
      </c>
    </row>
    <row r="352" spans="1:21" ht="43.2" x14ac:dyDescent="0.55000000000000004">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30"/>
        <v>1.1476</v>
      </c>
      <c r="P352" s="16">
        <f t="shared" si="31"/>
        <v>129.81900452488688</v>
      </c>
      <c r="Q352" t="str">
        <f t="shared" si="34"/>
        <v>film &amp; video</v>
      </c>
      <c r="R352" t="str">
        <f t="shared" si="35"/>
        <v>documentary</v>
      </c>
      <c r="S352" s="4">
        <f t="shared" si="32"/>
        <v>42586.066076388888</v>
      </c>
      <c r="T352" s="4">
        <f t="shared" si="33"/>
        <v>42624.165972222225</v>
      </c>
      <c r="U352" s="5">
        <f>VLOOKUP(currency,Tables!$A$1:$C$14,3,FALSE)*pledged</f>
        <v>28690</v>
      </c>
    </row>
    <row r="353" spans="1:21" ht="43.2" x14ac:dyDescent="0.55000000000000004">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16">
        <f t="shared" si="31"/>
        <v>44.912863070539416</v>
      </c>
      <c r="Q353" t="str">
        <f t="shared" si="34"/>
        <v>film &amp; video</v>
      </c>
      <c r="R353" t="str">
        <f t="shared" si="35"/>
        <v>documentary</v>
      </c>
      <c r="S353" s="4">
        <f t="shared" si="32"/>
        <v>42427.964745370366</v>
      </c>
      <c r="T353" s="4">
        <f t="shared" si="33"/>
        <v>42467.923078703709</v>
      </c>
      <c r="U353" s="5">
        <f>VLOOKUP(currency,Tables!$A$1:$C$14,3,FALSE)*pledged</f>
        <v>51089.279999999999</v>
      </c>
    </row>
    <row r="354" spans="1:21" ht="43.2" x14ac:dyDescent="0.55000000000000004">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30"/>
        <v>1.1656</v>
      </c>
      <c r="P354" s="16">
        <f t="shared" si="31"/>
        <v>40.755244755244753</v>
      </c>
      <c r="Q354" t="str">
        <f t="shared" si="34"/>
        <v>film &amp; video</v>
      </c>
      <c r="R354" t="str">
        <f t="shared" si="35"/>
        <v>documentary</v>
      </c>
      <c r="S354" s="4">
        <f t="shared" si="32"/>
        <v>41890.167453703703</v>
      </c>
      <c r="T354" s="4">
        <f t="shared" si="33"/>
        <v>41920.167453703703</v>
      </c>
      <c r="U354" s="5">
        <f>VLOOKUP(currency,Tables!$A$1:$C$14,3,FALSE)*pledged</f>
        <v>11656</v>
      </c>
    </row>
    <row r="355" spans="1:21" ht="43.2" x14ac:dyDescent="0.55000000000000004">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16">
        <f t="shared" si="31"/>
        <v>103.52394779771615</v>
      </c>
      <c r="Q355" t="str">
        <f t="shared" si="34"/>
        <v>film &amp; video</v>
      </c>
      <c r="R355" t="str">
        <f t="shared" si="35"/>
        <v>documentary</v>
      </c>
      <c r="S355" s="4">
        <f t="shared" si="32"/>
        <v>42297.791886574079</v>
      </c>
      <c r="T355" s="4">
        <f t="shared" si="33"/>
        <v>42327.833553240736</v>
      </c>
      <c r="U355" s="5">
        <f>VLOOKUP(currency,Tables!$A$1:$C$14,3,FALSE)*pledged</f>
        <v>63460.18</v>
      </c>
    </row>
    <row r="356" spans="1:21" ht="43.2" x14ac:dyDescent="0.55000000000000004">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30"/>
        <v>1.0394285714285714</v>
      </c>
      <c r="P356" s="16">
        <f t="shared" si="31"/>
        <v>125.44827586206897</v>
      </c>
      <c r="Q356" t="str">
        <f t="shared" si="34"/>
        <v>film &amp; video</v>
      </c>
      <c r="R356" t="str">
        <f t="shared" si="35"/>
        <v>documentary</v>
      </c>
      <c r="S356" s="4">
        <f t="shared" si="32"/>
        <v>42438.827789351853</v>
      </c>
      <c r="T356" s="4">
        <f t="shared" si="33"/>
        <v>42468.786122685182</v>
      </c>
      <c r="U356" s="5">
        <f>VLOOKUP(currency,Tables!$A$1:$C$14,3,FALSE)*pledged</f>
        <v>3638</v>
      </c>
    </row>
    <row r="357" spans="1:21" ht="28.8" x14ac:dyDescent="0.55000000000000004">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16">
        <f t="shared" si="31"/>
        <v>246.60606060606059</v>
      </c>
      <c r="Q357" t="str">
        <f t="shared" si="34"/>
        <v>film &amp; video</v>
      </c>
      <c r="R357" t="str">
        <f t="shared" si="35"/>
        <v>documentary</v>
      </c>
      <c r="S357" s="4">
        <f t="shared" si="32"/>
        <v>41943.293912037036</v>
      </c>
      <c r="T357" s="4">
        <f t="shared" si="33"/>
        <v>41974.3355787037</v>
      </c>
      <c r="U357" s="5">
        <f>VLOOKUP(currency,Tables!$A$1:$C$14,3,FALSE)*pledged</f>
        <v>40690</v>
      </c>
    </row>
    <row r="358" spans="1:21" ht="28.8" x14ac:dyDescent="0.55000000000000004">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16">
        <f t="shared" si="31"/>
        <v>79.401340206185566</v>
      </c>
      <c r="Q358" t="str">
        <f t="shared" si="34"/>
        <v>film &amp; video</v>
      </c>
      <c r="R358" t="str">
        <f t="shared" si="35"/>
        <v>documentary</v>
      </c>
      <c r="S358" s="4">
        <f t="shared" si="32"/>
        <v>42415.803159722222</v>
      </c>
      <c r="T358" s="4">
        <f t="shared" si="33"/>
        <v>42445.761493055557</v>
      </c>
      <c r="U358" s="5">
        <f>VLOOKUP(currency,Tables!$A$1:$C$14,3,FALSE)*pledged</f>
        <v>7701.93</v>
      </c>
    </row>
    <row r="359" spans="1:21" ht="43.2" x14ac:dyDescent="0.55000000000000004">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30"/>
        <v>1.74</v>
      </c>
      <c r="P359" s="16">
        <f t="shared" si="31"/>
        <v>86.138613861386133</v>
      </c>
      <c r="Q359" t="str">
        <f t="shared" si="34"/>
        <v>film &amp; video</v>
      </c>
      <c r="R359" t="str">
        <f t="shared" si="35"/>
        <v>documentary</v>
      </c>
      <c r="S359" s="4">
        <f t="shared" si="32"/>
        <v>42078.222187499996</v>
      </c>
      <c r="T359" s="4">
        <f t="shared" si="33"/>
        <v>42118.222187499996</v>
      </c>
      <c r="U359" s="5">
        <f>VLOOKUP(currency,Tables!$A$1:$C$14,3,FALSE)*pledged</f>
        <v>26100</v>
      </c>
    </row>
    <row r="360" spans="1:21" ht="43.2" x14ac:dyDescent="0.55000000000000004">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30"/>
        <v>1.03088</v>
      </c>
      <c r="P360" s="16">
        <f t="shared" si="31"/>
        <v>193.04868913857678</v>
      </c>
      <c r="Q360" t="str">
        <f t="shared" si="34"/>
        <v>film &amp; video</v>
      </c>
      <c r="R360" t="str">
        <f t="shared" si="35"/>
        <v>documentary</v>
      </c>
      <c r="S360" s="4">
        <f t="shared" si="32"/>
        <v>42507.860196759255</v>
      </c>
      <c r="T360" s="4">
        <f t="shared" si="33"/>
        <v>42536.625</v>
      </c>
      <c r="U360" s="5">
        <f>VLOOKUP(currency,Tables!$A$1:$C$14,3,FALSE)*pledged</f>
        <v>51544</v>
      </c>
    </row>
    <row r="361" spans="1:21" ht="43.2" x14ac:dyDescent="0.55000000000000004">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16">
        <f t="shared" si="31"/>
        <v>84.023178807947019</v>
      </c>
      <c r="Q361" t="str">
        <f t="shared" si="34"/>
        <v>film &amp; video</v>
      </c>
      <c r="R361" t="str">
        <f t="shared" si="35"/>
        <v>documentary</v>
      </c>
      <c r="S361" s="4">
        <f t="shared" si="32"/>
        <v>41935.070486111108</v>
      </c>
      <c r="T361" s="4">
        <f t="shared" si="33"/>
        <v>41957.216666666667</v>
      </c>
      <c r="U361" s="5">
        <f>VLOOKUP(currency,Tables!$A$1:$C$14,3,FALSE)*pledged</f>
        <v>25375</v>
      </c>
    </row>
    <row r="362" spans="1:21" ht="43.2" x14ac:dyDescent="0.55000000000000004">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16">
        <f t="shared" si="31"/>
        <v>139.82758620689654</v>
      </c>
      <c r="Q362" t="str">
        <f t="shared" si="34"/>
        <v>film &amp; video</v>
      </c>
      <c r="R362" t="str">
        <f t="shared" si="35"/>
        <v>documentary</v>
      </c>
      <c r="S362" s="4">
        <f t="shared" si="32"/>
        <v>42163.897916666669</v>
      </c>
      <c r="T362" s="4">
        <f t="shared" si="33"/>
        <v>42208.132638888885</v>
      </c>
      <c r="U362" s="5">
        <f>VLOOKUP(currency,Tables!$A$1:$C$14,3,FALSE)*pledged</f>
        <v>12165</v>
      </c>
    </row>
    <row r="363" spans="1:21" ht="43.2" x14ac:dyDescent="0.55000000000000004">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16">
        <f t="shared" si="31"/>
        <v>109.82189265536722</v>
      </c>
      <c r="Q363" t="str">
        <f t="shared" si="34"/>
        <v>film &amp; video</v>
      </c>
      <c r="R363" t="str">
        <f t="shared" si="35"/>
        <v>documentary</v>
      </c>
      <c r="S363" s="4">
        <f t="shared" si="32"/>
        <v>41936.001226851848</v>
      </c>
      <c r="T363" s="4">
        <f t="shared" si="33"/>
        <v>41966.042893518519</v>
      </c>
      <c r="U363" s="5">
        <f>VLOOKUP(currency,Tables!$A$1:$C$14,3,FALSE)*pledged</f>
        <v>38876.949999999997</v>
      </c>
    </row>
    <row r="364" spans="1:21" ht="43.2" x14ac:dyDescent="0.55000000000000004">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16">
        <f t="shared" si="31"/>
        <v>139.53488372093022</v>
      </c>
      <c r="Q364" t="str">
        <f t="shared" si="34"/>
        <v>film &amp; video</v>
      </c>
      <c r="R364" t="str">
        <f t="shared" si="35"/>
        <v>documentary</v>
      </c>
      <c r="S364" s="4">
        <f t="shared" si="32"/>
        <v>41837.210543981484</v>
      </c>
      <c r="T364" s="4">
        <f t="shared" si="33"/>
        <v>41859</v>
      </c>
      <c r="U364" s="5">
        <f>VLOOKUP(currency,Tables!$A$1:$C$14,3,FALSE)*pledged</f>
        <v>12000</v>
      </c>
    </row>
    <row r="365" spans="1:21" ht="43.2" x14ac:dyDescent="0.55000000000000004">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30"/>
        <v>1.0133333333333334</v>
      </c>
      <c r="P365" s="16">
        <f t="shared" si="31"/>
        <v>347.84615384615387</v>
      </c>
      <c r="Q365" t="str">
        <f t="shared" si="34"/>
        <v>film &amp; video</v>
      </c>
      <c r="R365" t="str">
        <f t="shared" si="35"/>
        <v>documentary</v>
      </c>
      <c r="S365" s="4">
        <f t="shared" si="32"/>
        <v>40255.744629629626</v>
      </c>
      <c r="T365" s="4">
        <f t="shared" si="33"/>
        <v>40300.806944444441</v>
      </c>
      <c r="U365" s="5">
        <f>VLOOKUP(currency,Tables!$A$1:$C$14,3,FALSE)*pledged</f>
        <v>9044</v>
      </c>
    </row>
    <row r="366" spans="1:21" ht="43.2" x14ac:dyDescent="0.55000000000000004">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16">
        <f t="shared" si="31"/>
        <v>68.24159292035398</v>
      </c>
      <c r="Q366" t="str">
        <f t="shared" si="34"/>
        <v>film &amp; video</v>
      </c>
      <c r="R366" t="str">
        <f t="shared" si="35"/>
        <v>documentary</v>
      </c>
      <c r="S366" s="4">
        <f t="shared" si="32"/>
        <v>41780.859629629631</v>
      </c>
      <c r="T366" s="4">
        <f t="shared" si="33"/>
        <v>41811.165972222225</v>
      </c>
      <c r="U366" s="5">
        <f>VLOOKUP(currency,Tables!$A$1:$C$14,3,FALSE)*pledged</f>
        <v>7711.3</v>
      </c>
    </row>
    <row r="367" spans="1:21" ht="43.2" x14ac:dyDescent="0.55000000000000004">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16">
        <f t="shared" si="31"/>
        <v>239.93846153846152</v>
      </c>
      <c r="Q367" t="str">
        <f t="shared" si="34"/>
        <v>film &amp; video</v>
      </c>
      <c r="R367" t="str">
        <f t="shared" si="35"/>
        <v>documentary</v>
      </c>
      <c r="S367" s="4">
        <f t="shared" si="32"/>
        <v>41668.606469907405</v>
      </c>
      <c r="T367" s="4">
        <f t="shared" si="33"/>
        <v>41698.606469907405</v>
      </c>
      <c r="U367" s="5">
        <f>VLOOKUP(currency,Tables!$A$1:$C$14,3,FALSE)*pledged</f>
        <v>20586.72</v>
      </c>
    </row>
    <row r="368" spans="1:21" ht="43.2" x14ac:dyDescent="0.55000000000000004">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16">
        <f t="shared" si="31"/>
        <v>287.31343283582089</v>
      </c>
      <c r="Q368" t="str">
        <f t="shared" si="34"/>
        <v>film &amp; video</v>
      </c>
      <c r="R368" t="str">
        <f t="shared" si="35"/>
        <v>documentary</v>
      </c>
      <c r="S368" s="4">
        <f t="shared" si="32"/>
        <v>41019.793032407404</v>
      </c>
      <c r="T368" s="4">
        <f t="shared" si="33"/>
        <v>41049.793032407404</v>
      </c>
      <c r="U368" s="5">
        <f>VLOOKUP(currency,Tables!$A$1:$C$14,3,FALSE)*pledged</f>
        <v>38500</v>
      </c>
    </row>
    <row r="369" spans="1:21" ht="43.2" x14ac:dyDescent="0.55000000000000004">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30"/>
        <v>1.033501</v>
      </c>
      <c r="P369" s="16">
        <f t="shared" si="31"/>
        <v>86.84882352941176</v>
      </c>
      <c r="Q369" t="str">
        <f t="shared" si="34"/>
        <v>film &amp; video</v>
      </c>
      <c r="R369" t="str">
        <f t="shared" si="35"/>
        <v>documentary</v>
      </c>
      <c r="S369" s="4">
        <f t="shared" si="32"/>
        <v>41355.577291666668</v>
      </c>
      <c r="T369" s="4">
        <f t="shared" si="33"/>
        <v>41395.207638888889</v>
      </c>
      <c r="U369" s="5">
        <f>VLOOKUP(currency,Tables!$A$1:$C$14,3,FALSE)*pledged</f>
        <v>10335.01</v>
      </c>
    </row>
    <row r="370" spans="1:21" ht="43.2" x14ac:dyDescent="0.55000000000000004">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30"/>
        <v>1.04112</v>
      </c>
      <c r="P370" s="16">
        <f t="shared" si="31"/>
        <v>81.84905660377359</v>
      </c>
      <c r="Q370" t="str">
        <f t="shared" si="34"/>
        <v>film &amp; video</v>
      </c>
      <c r="R370" t="str">
        <f t="shared" si="35"/>
        <v>documentary</v>
      </c>
      <c r="S370" s="4">
        <f t="shared" si="32"/>
        <v>42043.605578703704</v>
      </c>
      <c r="T370" s="4">
        <f t="shared" si="33"/>
        <v>42078.563912037032</v>
      </c>
      <c r="U370" s="5">
        <f>VLOOKUP(currency,Tables!$A$1:$C$14,3,FALSE)*pledged</f>
        <v>13014</v>
      </c>
    </row>
    <row r="371" spans="1:21" ht="43.2" x14ac:dyDescent="0.55000000000000004">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16">
        <f t="shared" si="31"/>
        <v>42.874970059880241</v>
      </c>
      <c r="Q371" t="str">
        <f t="shared" si="34"/>
        <v>film &amp; video</v>
      </c>
      <c r="R371" t="str">
        <f t="shared" si="35"/>
        <v>documentary</v>
      </c>
      <c r="S371" s="4">
        <f t="shared" si="32"/>
        <v>40893.551724537036</v>
      </c>
      <c r="T371" s="4">
        <f t="shared" si="33"/>
        <v>40923.551724537036</v>
      </c>
      <c r="U371" s="5">
        <f>VLOOKUP(currency,Tables!$A$1:$C$14,3,FALSE)*pledged</f>
        <v>7160.12</v>
      </c>
    </row>
    <row r="372" spans="1:21" ht="43.2" x14ac:dyDescent="0.55000000000000004">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30"/>
        <v>1.2202</v>
      </c>
      <c r="P372" s="16">
        <f t="shared" si="31"/>
        <v>709.41860465116281</v>
      </c>
      <c r="Q372" t="str">
        <f t="shared" si="34"/>
        <v>film &amp; video</v>
      </c>
      <c r="R372" t="str">
        <f t="shared" si="35"/>
        <v>documentary</v>
      </c>
      <c r="S372" s="4">
        <f t="shared" si="32"/>
        <v>42711.795138888891</v>
      </c>
      <c r="T372" s="4">
        <f t="shared" si="33"/>
        <v>42741.795138888891</v>
      </c>
      <c r="U372" s="5">
        <f>VLOOKUP(currency,Tables!$A$1:$C$14,3,FALSE)*pledged</f>
        <v>30505</v>
      </c>
    </row>
    <row r="373" spans="1:21" ht="43.2" x14ac:dyDescent="0.55000000000000004">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16">
        <f t="shared" si="31"/>
        <v>161.25517890772127</v>
      </c>
      <c r="Q373" t="str">
        <f t="shared" si="34"/>
        <v>film &amp; video</v>
      </c>
      <c r="R373" t="str">
        <f t="shared" si="35"/>
        <v>documentary</v>
      </c>
      <c r="S373" s="4">
        <f t="shared" si="32"/>
        <v>41261.767812500002</v>
      </c>
      <c r="T373" s="4">
        <f t="shared" si="33"/>
        <v>41306.767812500002</v>
      </c>
      <c r="U373" s="5">
        <f>VLOOKUP(currency,Tables!$A$1:$C$14,3,FALSE)*pledged</f>
        <v>171253</v>
      </c>
    </row>
    <row r="374" spans="1:21" ht="28.8" x14ac:dyDescent="0.55000000000000004">
      <c r="A374">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30"/>
        <v>1.2533333333333334</v>
      </c>
      <c r="P374" s="16">
        <f t="shared" si="31"/>
        <v>41.777777777777779</v>
      </c>
      <c r="Q374" t="str">
        <f t="shared" si="34"/>
        <v>film &amp; video</v>
      </c>
      <c r="R374" t="str">
        <f t="shared" si="35"/>
        <v>documentary</v>
      </c>
      <c r="S374" s="4">
        <f t="shared" si="32"/>
        <v>42425.576898148152</v>
      </c>
      <c r="T374" s="4">
        <f t="shared" si="33"/>
        <v>42465.666666666672</v>
      </c>
      <c r="U374" s="5">
        <f>VLOOKUP(currency,Tables!$A$1:$C$14,3,FALSE)*pledged</f>
        <v>496.32000000000005</v>
      </c>
    </row>
    <row r="375" spans="1:21" ht="43.2" x14ac:dyDescent="0.55000000000000004">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30"/>
        <v>1.0666666666666667</v>
      </c>
      <c r="P375" s="16">
        <f t="shared" si="31"/>
        <v>89.887640449438209</v>
      </c>
      <c r="Q375" t="str">
        <f t="shared" si="34"/>
        <v>film &amp; video</v>
      </c>
      <c r="R375" t="str">
        <f t="shared" si="35"/>
        <v>documentary</v>
      </c>
      <c r="S375" s="4">
        <f t="shared" si="32"/>
        <v>41078.91201388889</v>
      </c>
      <c r="T375" s="4">
        <f t="shared" si="33"/>
        <v>41108.91201388889</v>
      </c>
      <c r="U375" s="5">
        <f>VLOOKUP(currency,Tables!$A$1:$C$14,3,FALSE)*pledged</f>
        <v>8000</v>
      </c>
    </row>
    <row r="376" spans="1:21" ht="43.2" x14ac:dyDescent="0.55000000000000004">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30"/>
        <v>1.3065</v>
      </c>
      <c r="P376" s="16">
        <f t="shared" si="31"/>
        <v>45.051724137931032</v>
      </c>
      <c r="Q376" t="str">
        <f t="shared" si="34"/>
        <v>film &amp; video</v>
      </c>
      <c r="R376" t="str">
        <f t="shared" si="35"/>
        <v>documentary</v>
      </c>
      <c r="S376" s="4">
        <f t="shared" si="32"/>
        <v>40757.889247685183</v>
      </c>
      <c r="T376" s="4">
        <f t="shared" si="33"/>
        <v>40802.889247685183</v>
      </c>
      <c r="U376" s="5">
        <f>VLOOKUP(currency,Tables!$A$1:$C$14,3,FALSE)*pledged</f>
        <v>7839</v>
      </c>
    </row>
    <row r="377" spans="1:21" ht="43.2" x14ac:dyDescent="0.55000000000000004">
      <c r="A377">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30"/>
        <v>1.2</v>
      </c>
      <c r="P377" s="16">
        <f t="shared" si="31"/>
        <v>42.857142857142854</v>
      </c>
      <c r="Q377" t="str">
        <f t="shared" si="34"/>
        <v>film &amp; video</v>
      </c>
      <c r="R377" t="str">
        <f t="shared" si="35"/>
        <v>documentary</v>
      </c>
      <c r="S377" s="4">
        <f t="shared" si="32"/>
        <v>41657.985081018516</v>
      </c>
      <c r="T377" s="4">
        <f t="shared" si="33"/>
        <v>41699.720833333333</v>
      </c>
      <c r="U377" s="5">
        <f>VLOOKUP(currency,Tables!$A$1:$C$14,3,FALSE)*pledged</f>
        <v>600</v>
      </c>
    </row>
    <row r="378" spans="1:21" ht="43.2" x14ac:dyDescent="0.55000000000000004">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30"/>
        <v>1.0595918367346939</v>
      </c>
      <c r="P378" s="16">
        <f t="shared" si="31"/>
        <v>54.083333333333336</v>
      </c>
      <c r="Q378" t="str">
        <f t="shared" si="34"/>
        <v>film &amp; video</v>
      </c>
      <c r="R378" t="str">
        <f t="shared" si="35"/>
        <v>documentary</v>
      </c>
      <c r="S378" s="4">
        <f t="shared" si="32"/>
        <v>42576.452731481477</v>
      </c>
      <c r="T378" s="4">
        <f t="shared" si="33"/>
        <v>42607.452731481477</v>
      </c>
      <c r="U378" s="5">
        <f>VLOOKUP(currency,Tables!$A$1:$C$14,3,FALSE)*pledged</f>
        <v>3426.7200000000003</v>
      </c>
    </row>
    <row r="379" spans="1:21" ht="43.2" x14ac:dyDescent="0.55000000000000004">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16">
        <f t="shared" si="31"/>
        <v>103.21804511278195</v>
      </c>
      <c r="Q379" t="str">
        <f t="shared" si="34"/>
        <v>film &amp; video</v>
      </c>
      <c r="R379" t="str">
        <f t="shared" si="35"/>
        <v>documentary</v>
      </c>
      <c r="S379" s="4">
        <f t="shared" si="32"/>
        <v>42292.250787037032</v>
      </c>
      <c r="T379" s="4">
        <f t="shared" si="33"/>
        <v>42322.292361111111</v>
      </c>
      <c r="U379" s="5">
        <f>VLOOKUP(currency,Tables!$A$1:$C$14,3,FALSE)*pledged</f>
        <v>13728</v>
      </c>
    </row>
    <row r="380" spans="1:21" ht="57.6" x14ac:dyDescent="0.55000000000000004">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30"/>
        <v>1.1176666666666666</v>
      </c>
      <c r="P380" s="16">
        <f t="shared" si="31"/>
        <v>40.397590361445786</v>
      </c>
      <c r="Q380" t="str">
        <f t="shared" si="34"/>
        <v>film &amp; video</v>
      </c>
      <c r="R380" t="str">
        <f t="shared" si="35"/>
        <v>documentary</v>
      </c>
      <c r="S380" s="4">
        <f t="shared" si="32"/>
        <v>42370.571851851855</v>
      </c>
      <c r="T380" s="4">
        <f t="shared" si="33"/>
        <v>42394.994444444441</v>
      </c>
      <c r="U380" s="5">
        <f>VLOOKUP(currency,Tables!$A$1:$C$14,3,FALSE)*pledged</f>
        <v>2548.2800000000002</v>
      </c>
    </row>
    <row r="381" spans="1:21" ht="43.2" x14ac:dyDescent="0.55000000000000004">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16">
        <f t="shared" si="31"/>
        <v>116.85906040268456</v>
      </c>
      <c r="Q381" t="str">
        <f t="shared" si="34"/>
        <v>film &amp; video</v>
      </c>
      <c r="R381" t="str">
        <f t="shared" si="35"/>
        <v>documentary</v>
      </c>
      <c r="S381" s="4">
        <f t="shared" si="32"/>
        <v>40987.688333333332</v>
      </c>
      <c r="T381" s="4">
        <f t="shared" si="33"/>
        <v>41032.688333333332</v>
      </c>
      <c r="U381" s="5">
        <f>VLOOKUP(currency,Tables!$A$1:$C$14,3,FALSE)*pledged</f>
        <v>17412</v>
      </c>
    </row>
    <row r="382" spans="1:21" ht="43.2" x14ac:dyDescent="0.55000000000000004">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30"/>
        <v>1.415</v>
      </c>
      <c r="P382" s="16">
        <f t="shared" si="31"/>
        <v>115.51020408163265</v>
      </c>
      <c r="Q382" t="str">
        <f t="shared" si="34"/>
        <v>film &amp; video</v>
      </c>
      <c r="R382" t="str">
        <f t="shared" si="35"/>
        <v>documentary</v>
      </c>
      <c r="S382" s="4">
        <f t="shared" si="32"/>
        <v>42367.719814814816</v>
      </c>
      <c r="T382" s="4">
        <f t="shared" si="33"/>
        <v>42392.719814814816</v>
      </c>
      <c r="U382" s="5">
        <f>VLOOKUP(currency,Tables!$A$1:$C$14,3,FALSE)*pledged</f>
        <v>5660</v>
      </c>
    </row>
    <row r="383" spans="1:21" ht="43.2" x14ac:dyDescent="0.55000000000000004">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16">
        <f t="shared" si="31"/>
        <v>104.31274900398407</v>
      </c>
      <c r="Q383" t="str">
        <f t="shared" si="34"/>
        <v>film &amp; video</v>
      </c>
      <c r="R383" t="str">
        <f t="shared" si="35"/>
        <v>documentary</v>
      </c>
      <c r="S383" s="4">
        <f t="shared" si="32"/>
        <v>41085.698113425926</v>
      </c>
      <c r="T383" s="4">
        <f t="shared" si="33"/>
        <v>41120.208333333336</v>
      </c>
      <c r="U383" s="5">
        <f>VLOOKUP(currency,Tables!$A$1:$C$14,3,FALSE)*pledged</f>
        <v>26182.5</v>
      </c>
    </row>
    <row r="384" spans="1:21" ht="43.2" x14ac:dyDescent="0.55000000000000004">
      <c r="A384">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30"/>
        <v>2.5583333333333331</v>
      </c>
      <c r="P384" s="16">
        <f t="shared" si="31"/>
        <v>69.772727272727266</v>
      </c>
      <c r="Q384" t="str">
        <f t="shared" si="34"/>
        <v>film &amp; video</v>
      </c>
      <c r="R384" t="str">
        <f t="shared" si="35"/>
        <v>documentary</v>
      </c>
      <c r="S384" s="4">
        <f t="shared" si="32"/>
        <v>41144.709490740745</v>
      </c>
      <c r="T384" s="4">
        <f t="shared" si="33"/>
        <v>41158.709490740745</v>
      </c>
      <c r="U384" s="5">
        <f>VLOOKUP(currency,Tables!$A$1:$C$14,3,FALSE)*pledged</f>
        <v>1535</v>
      </c>
    </row>
    <row r="385" spans="1:21" ht="43.2" x14ac:dyDescent="0.55000000000000004">
      <c r="A385">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30"/>
        <v>2.0670670670670672</v>
      </c>
      <c r="P385" s="16">
        <f t="shared" si="31"/>
        <v>43.020833333333336</v>
      </c>
      <c r="Q385" t="str">
        <f t="shared" si="34"/>
        <v>film &amp; video</v>
      </c>
      <c r="R385" t="str">
        <f t="shared" si="35"/>
        <v>documentary</v>
      </c>
      <c r="S385" s="4">
        <f t="shared" si="32"/>
        <v>41755.117581018516</v>
      </c>
      <c r="T385" s="4">
        <f t="shared" si="33"/>
        <v>41778.117581018516</v>
      </c>
      <c r="U385" s="5">
        <f>VLOOKUP(currency,Tables!$A$1:$C$14,3,FALSE)*pledged</f>
        <v>2065</v>
      </c>
    </row>
    <row r="386" spans="1:21" ht="43.2" x14ac:dyDescent="0.55000000000000004">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ref="O386:O449" si="36">pledged/goal</f>
        <v>1.1210500000000001</v>
      </c>
      <c r="P386" s="16">
        <f t="shared" ref="P386:P449" si="37">IF(pledged=0,0,pledged/backers_count)</f>
        <v>58.540469973890339</v>
      </c>
      <c r="Q386" t="str">
        <f t="shared" si="34"/>
        <v>film &amp; video</v>
      </c>
      <c r="R386" t="str">
        <f t="shared" si="35"/>
        <v>documentary</v>
      </c>
      <c r="S386" s="4">
        <f t="shared" ref="S386:S449" si="38">(((Unix_launched_date/60)/60)/24)+DATE(1970,1,1)</f>
        <v>41980.781793981485</v>
      </c>
      <c r="T386" s="4">
        <f t="shared" ref="T386:T449" si="39">(((Unix_deadline/60)/60)/24)+DATE(1970,1,1)</f>
        <v>42010.781793981485</v>
      </c>
      <c r="U386" s="5">
        <f>VLOOKUP(currency,Tables!$A$1:$C$14,3,FALSE)*pledged</f>
        <v>22421</v>
      </c>
    </row>
    <row r="387" spans="1:21" ht="43.2" x14ac:dyDescent="0.55000000000000004">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si="36"/>
        <v>1.05982</v>
      </c>
      <c r="P387" s="16">
        <f t="shared" si="37"/>
        <v>111.79535864978902</v>
      </c>
      <c r="Q387" t="str">
        <f t="shared" ref="Q387:Q450" si="40">LEFT(N387,FIND("/",N387,1)-1)</f>
        <v>film &amp; video</v>
      </c>
      <c r="R387" t="str">
        <f t="shared" ref="R387:R450" si="41">RIGHT(N387,(LEN(N387)-FIND("/",N387,1)))</f>
        <v>documentary</v>
      </c>
      <c r="S387" s="4">
        <f t="shared" si="38"/>
        <v>41934.584502314814</v>
      </c>
      <c r="T387" s="4">
        <f t="shared" si="39"/>
        <v>41964.626168981486</v>
      </c>
      <c r="U387" s="5">
        <f>VLOOKUP(currency,Tables!$A$1:$C$14,3,FALSE)*pledged</f>
        <v>26495.5</v>
      </c>
    </row>
    <row r="388" spans="1:21" ht="43.2" x14ac:dyDescent="0.55000000000000004">
      <c r="A388">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36"/>
        <v>1.0016666666666667</v>
      </c>
      <c r="P388" s="16">
        <f t="shared" si="37"/>
        <v>46.230769230769234</v>
      </c>
      <c r="Q388" t="str">
        <f t="shared" si="40"/>
        <v>film &amp; video</v>
      </c>
      <c r="R388" t="str">
        <f t="shared" si="41"/>
        <v>documentary</v>
      </c>
      <c r="S388" s="4">
        <f t="shared" si="38"/>
        <v>42211.951284722221</v>
      </c>
      <c r="T388" s="4">
        <f t="shared" si="39"/>
        <v>42226.951284722221</v>
      </c>
      <c r="U388" s="5">
        <f>VLOOKUP(currency,Tables!$A$1:$C$14,3,FALSE)*pledged</f>
        <v>601</v>
      </c>
    </row>
    <row r="389" spans="1:21" ht="43.2" x14ac:dyDescent="0.55000000000000004">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16">
        <f t="shared" si="37"/>
        <v>144.69039145907473</v>
      </c>
      <c r="Q389" t="str">
        <f t="shared" si="40"/>
        <v>film &amp; video</v>
      </c>
      <c r="R389" t="str">
        <f t="shared" si="41"/>
        <v>documentary</v>
      </c>
      <c r="S389" s="4">
        <f t="shared" si="38"/>
        <v>42200.67659722222</v>
      </c>
      <c r="T389" s="4">
        <f t="shared" si="39"/>
        <v>42231.25</v>
      </c>
      <c r="U389" s="5">
        <f>VLOOKUP(currency,Tables!$A$1:$C$14,3,FALSE)*pledged</f>
        <v>81316</v>
      </c>
    </row>
    <row r="390" spans="1:21" ht="43.2" x14ac:dyDescent="0.55000000000000004">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36"/>
        <v>1.2616000000000001</v>
      </c>
      <c r="P390" s="16">
        <f t="shared" si="37"/>
        <v>88.845070422535215</v>
      </c>
      <c r="Q390" t="str">
        <f t="shared" si="40"/>
        <v>film &amp; video</v>
      </c>
      <c r="R390" t="str">
        <f t="shared" si="41"/>
        <v>documentary</v>
      </c>
      <c r="S390" s="4">
        <f t="shared" si="38"/>
        <v>42549.076157407413</v>
      </c>
      <c r="T390" s="4">
        <f t="shared" si="39"/>
        <v>42579.076157407413</v>
      </c>
      <c r="U390" s="5">
        <f>VLOOKUP(currency,Tables!$A$1:$C$14,3,FALSE)*pledged</f>
        <v>6308</v>
      </c>
    </row>
    <row r="391" spans="1:21" ht="43.2" x14ac:dyDescent="0.55000000000000004">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16">
        <f t="shared" si="37"/>
        <v>81.75107284768211</v>
      </c>
      <c r="Q391" t="str">
        <f t="shared" si="40"/>
        <v>film &amp; video</v>
      </c>
      <c r="R391" t="str">
        <f t="shared" si="41"/>
        <v>documentary</v>
      </c>
      <c r="S391" s="4">
        <f t="shared" si="38"/>
        <v>41674.063078703701</v>
      </c>
      <c r="T391" s="4">
        <f t="shared" si="39"/>
        <v>41705.957638888889</v>
      </c>
      <c r="U391" s="5">
        <f>VLOOKUP(currency,Tables!$A$1:$C$14,3,FALSE)*pledged</f>
        <v>123444.12</v>
      </c>
    </row>
    <row r="392" spans="1:21" ht="43.2" x14ac:dyDescent="0.55000000000000004">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36"/>
        <v>1</v>
      </c>
      <c r="P392" s="16">
        <f t="shared" si="37"/>
        <v>71.428571428571431</v>
      </c>
      <c r="Q392" t="str">
        <f t="shared" si="40"/>
        <v>film &amp; video</v>
      </c>
      <c r="R392" t="str">
        <f t="shared" si="41"/>
        <v>documentary</v>
      </c>
      <c r="S392" s="4">
        <f t="shared" si="38"/>
        <v>42112.036712962959</v>
      </c>
      <c r="T392" s="4">
        <f t="shared" si="39"/>
        <v>42132.036712962959</v>
      </c>
      <c r="U392" s="5">
        <f>VLOOKUP(currency,Tables!$A$1:$C$14,3,FALSE)*pledged</f>
        <v>1000</v>
      </c>
    </row>
    <row r="393" spans="1:21" ht="43.2" x14ac:dyDescent="0.55000000000000004">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36"/>
        <v>1.0061</v>
      </c>
      <c r="P393" s="16">
        <f t="shared" si="37"/>
        <v>104.25906735751295</v>
      </c>
      <c r="Q393" t="str">
        <f t="shared" si="40"/>
        <v>film &amp; video</v>
      </c>
      <c r="R393" t="str">
        <f t="shared" si="41"/>
        <v>documentary</v>
      </c>
      <c r="S393" s="4">
        <f t="shared" si="38"/>
        <v>40865.042256944449</v>
      </c>
      <c r="T393" s="4">
        <f t="shared" si="39"/>
        <v>40895.040972222225</v>
      </c>
      <c r="U393" s="5">
        <f>VLOOKUP(currency,Tables!$A$1:$C$14,3,FALSE)*pledged</f>
        <v>20122</v>
      </c>
    </row>
    <row r="394" spans="1:21" ht="43.2" x14ac:dyDescent="0.55000000000000004">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16">
        <f t="shared" si="37"/>
        <v>90.616504854368927</v>
      </c>
      <c r="Q394" t="str">
        <f t="shared" si="40"/>
        <v>film &amp; video</v>
      </c>
      <c r="R394" t="str">
        <f t="shared" si="41"/>
        <v>documentary</v>
      </c>
      <c r="S394" s="4">
        <f t="shared" si="38"/>
        <v>40763.717256944445</v>
      </c>
      <c r="T394" s="4">
        <f t="shared" si="39"/>
        <v>40794.125</v>
      </c>
      <c r="U394" s="5">
        <f>VLOOKUP(currency,Tables!$A$1:$C$14,3,FALSE)*pledged</f>
        <v>18667</v>
      </c>
    </row>
    <row r="395" spans="1:21" ht="28.8" x14ac:dyDescent="0.55000000000000004">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36"/>
        <v>1.10446</v>
      </c>
      <c r="P395" s="16">
        <f t="shared" si="37"/>
        <v>157.33048433048432</v>
      </c>
      <c r="Q395" t="str">
        <f t="shared" si="40"/>
        <v>film &amp; video</v>
      </c>
      <c r="R395" t="str">
        <f t="shared" si="41"/>
        <v>documentary</v>
      </c>
      <c r="S395" s="4">
        <f t="shared" si="38"/>
        <v>41526.708935185183</v>
      </c>
      <c r="T395" s="4">
        <f t="shared" si="39"/>
        <v>41557.708935185183</v>
      </c>
      <c r="U395" s="5">
        <f>VLOOKUP(currency,Tables!$A$1:$C$14,3,FALSE)*pledged</f>
        <v>55223</v>
      </c>
    </row>
    <row r="396" spans="1:21" ht="43.2" x14ac:dyDescent="0.55000000000000004">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36"/>
        <v>1.118936170212766</v>
      </c>
      <c r="P396" s="16">
        <f t="shared" si="37"/>
        <v>105.18</v>
      </c>
      <c r="Q396" t="str">
        <f t="shared" si="40"/>
        <v>film &amp; video</v>
      </c>
      <c r="R396" t="str">
        <f t="shared" si="41"/>
        <v>documentary</v>
      </c>
      <c r="S396" s="4">
        <f t="shared" si="38"/>
        <v>42417.818078703705</v>
      </c>
      <c r="T396" s="4">
        <f t="shared" si="39"/>
        <v>42477.776412037041</v>
      </c>
      <c r="U396" s="5">
        <f>VLOOKUP(currency,Tables!$A$1:$C$14,3,FALSE)*pledged</f>
        <v>6205.62</v>
      </c>
    </row>
    <row r="397" spans="1:21" ht="43.2" x14ac:dyDescent="0.55000000000000004">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16">
        <f t="shared" si="37"/>
        <v>58.719836956521746</v>
      </c>
      <c r="Q397" t="str">
        <f t="shared" si="40"/>
        <v>film &amp; video</v>
      </c>
      <c r="R397" t="str">
        <f t="shared" si="41"/>
        <v>documentary</v>
      </c>
      <c r="S397" s="4">
        <f t="shared" si="38"/>
        <v>40990.909259259257</v>
      </c>
      <c r="T397" s="4">
        <f t="shared" si="39"/>
        <v>41026.897222222222</v>
      </c>
      <c r="U397" s="5">
        <f>VLOOKUP(currency,Tables!$A$1:$C$14,3,FALSE)*pledged</f>
        <v>10804.45</v>
      </c>
    </row>
    <row r="398" spans="1:21" ht="43.2" x14ac:dyDescent="0.55000000000000004">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16">
        <f t="shared" si="37"/>
        <v>81.632653061224488</v>
      </c>
      <c r="Q398" t="str">
        <f t="shared" si="40"/>
        <v>film &amp; video</v>
      </c>
      <c r="R398" t="str">
        <f t="shared" si="41"/>
        <v>documentary</v>
      </c>
      <c r="S398" s="4">
        <f t="shared" si="38"/>
        <v>41082.564884259256</v>
      </c>
      <c r="T398" s="4">
        <f t="shared" si="39"/>
        <v>41097.564884259256</v>
      </c>
      <c r="U398" s="5">
        <f>VLOOKUP(currency,Tables!$A$1:$C$14,3,FALSE)*pledged</f>
        <v>16000</v>
      </c>
    </row>
    <row r="399" spans="1:21" ht="57.6" x14ac:dyDescent="0.55000000000000004">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16">
        <f t="shared" si="37"/>
        <v>56.460043668122275</v>
      </c>
      <c r="Q399" t="str">
        <f t="shared" si="40"/>
        <v>film &amp; video</v>
      </c>
      <c r="R399" t="str">
        <f t="shared" si="41"/>
        <v>documentary</v>
      </c>
      <c r="S399" s="4">
        <f t="shared" si="38"/>
        <v>40379.776435185187</v>
      </c>
      <c r="T399" s="4">
        <f t="shared" si="39"/>
        <v>40422.155555555553</v>
      </c>
      <c r="U399" s="5">
        <f>VLOOKUP(currency,Tables!$A$1:$C$14,3,FALSE)*pledged</f>
        <v>12929.35</v>
      </c>
    </row>
    <row r="400" spans="1:21" ht="43.2" x14ac:dyDescent="0.55000000000000004">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36"/>
        <v>1.2516</v>
      </c>
      <c r="P400" s="16">
        <f t="shared" si="37"/>
        <v>140.1044776119403</v>
      </c>
      <c r="Q400" t="str">
        <f t="shared" si="40"/>
        <v>film &amp; video</v>
      </c>
      <c r="R400" t="str">
        <f t="shared" si="41"/>
        <v>documentary</v>
      </c>
      <c r="S400" s="4">
        <f t="shared" si="38"/>
        <v>42078.793124999997</v>
      </c>
      <c r="T400" s="4">
        <f t="shared" si="39"/>
        <v>42123.793124999997</v>
      </c>
      <c r="U400" s="5">
        <f>VLOOKUP(currency,Tables!$A$1:$C$14,3,FALSE)*pledged</f>
        <v>9387</v>
      </c>
    </row>
    <row r="401" spans="1:21" ht="43.2" x14ac:dyDescent="0.55000000000000004">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16">
        <f t="shared" si="37"/>
        <v>224.85263157894738</v>
      </c>
      <c r="Q401" t="str">
        <f t="shared" si="40"/>
        <v>film &amp; video</v>
      </c>
      <c r="R401" t="str">
        <f t="shared" si="41"/>
        <v>documentary</v>
      </c>
      <c r="S401" s="4">
        <f t="shared" si="38"/>
        <v>42687.875775462962</v>
      </c>
      <c r="T401" s="4">
        <f t="shared" si="39"/>
        <v>42718.5</v>
      </c>
      <c r="U401" s="5">
        <f>VLOOKUP(currency,Tables!$A$1:$C$14,3,FALSE)*pledged</f>
        <v>28196.52</v>
      </c>
    </row>
    <row r="402" spans="1:21" ht="43.2" x14ac:dyDescent="0.55000000000000004">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16">
        <f t="shared" si="37"/>
        <v>181.13306451612902</v>
      </c>
      <c r="Q402" t="str">
        <f t="shared" si="40"/>
        <v>film &amp; video</v>
      </c>
      <c r="R402" t="str">
        <f t="shared" si="41"/>
        <v>documentary</v>
      </c>
      <c r="S402" s="4">
        <f t="shared" si="38"/>
        <v>41745.635960648149</v>
      </c>
      <c r="T402" s="4">
        <f t="shared" si="39"/>
        <v>41776.145833333336</v>
      </c>
      <c r="U402" s="5">
        <f>VLOOKUP(currency,Tables!$A$1:$C$14,3,FALSE)*pledged</f>
        <v>11230.25</v>
      </c>
    </row>
    <row r="403" spans="1:21" ht="43.2" x14ac:dyDescent="0.55000000000000004">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16">
        <f t="shared" si="37"/>
        <v>711.04109589041093</v>
      </c>
      <c r="Q403" t="str">
        <f t="shared" si="40"/>
        <v>film &amp; video</v>
      </c>
      <c r="R403" t="str">
        <f t="shared" si="41"/>
        <v>documentary</v>
      </c>
      <c r="S403" s="4">
        <f t="shared" si="38"/>
        <v>40732.842245370368</v>
      </c>
      <c r="T403" s="4">
        <f t="shared" si="39"/>
        <v>40762.842245370368</v>
      </c>
      <c r="U403" s="5">
        <f>VLOOKUP(currency,Tables!$A$1:$C$14,3,FALSE)*pledged</f>
        <v>51906</v>
      </c>
    </row>
    <row r="404" spans="1:21" ht="43.2" x14ac:dyDescent="0.55000000000000004">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36"/>
        <v>1.4165000000000001</v>
      </c>
      <c r="P404" s="16">
        <f t="shared" si="37"/>
        <v>65.883720930232556</v>
      </c>
      <c r="Q404" t="str">
        <f t="shared" si="40"/>
        <v>film &amp; video</v>
      </c>
      <c r="R404" t="str">
        <f t="shared" si="41"/>
        <v>documentary</v>
      </c>
      <c r="S404" s="4">
        <f t="shared" si="38"/>
        <v>42292.539548611108</v>
      </c>
      <c r="T404" s="4">
        <f t="shared" si="39"/>
        <v>42313.58121527778</v>
      </c>
      <c r="U404" s="5">
        <f>VLOOKUP(currency,Tables!$A$1:$C$14,3,FALSE)*pledged</f>
        <v>2833</v>
      </c>
    </row>
    <row r="405" spans="1:21" ht="43.2" x14ac:dyDescent="0.55000000000000004">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36"/>
        <v>1.0526</v>
      </c>
      <c r="P405" s="16">
        <f t="shared" si="37"/>
        <v>75.185714285714283</v>
      </c>
      <c r="Q405" t="str">
        <f t="shared" si="40"/>
        <v>film &amp; video</v>
      </c>
      <c r="R405" t="str">
        <f t="shared" si="41"/>
        <v>documentary</v>
      </c>
      <c r="S405" s="4">
        <f t="shared" si="38"/>
        <v>40718.310659722221</v>
      </c>
      <c r="T405" s="4">
        <f t="shared" si="39"/>
        <v>40765.297222222223</v>
      </c>
      <c r="U405" s="5">
        <f>VLOOKUP(currency,Tables!$A$1:$C$14,3,FALSE)*pledged</f>
        <v>5263</v>
      </c>
    </row>
    <row r="406" spans="1:21" ht="43.2" x14ac:dyDescent="0.55000000000000004">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16">
        <f t="shared" si="37"/>
        <v>133.14391143911439</v>
      </c>
      <c r="Q406" t="str">
        <f t="shared" si="40"/>
        <v>film &amp; video</v>
      </c>
      <c r="R406" t="str">
        <f t="shared" si="41"/>
        <v>documentary</v>
      </c>
      <c r="S406" s="4">
        <f t="shared" si="38"/>
        <v>41646.628032407411</v>
      </c>
      <c r="T406" s="4">
        <f t="shared" si="39"/>
        <v>41675.961111111108</v>
      </c>
      <c r="U406" s="5">
        <f>VLOOKUP(currency,Tables!$A$1:$C$14,3,FALSE)*pledged</f>
        <v>36082</v>
      </c>
    </row>
    <row r="407" spans="1:21" ht="28.8" x14ac:dyDescent="0.55000000000000004">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36"/>
        <v>1.0765957446808512</v>
      </c>
      <c r="P407" s="16">
        <f t="shared" si="37"/>
        <v>55.2</v>
      </c>
      <c r="Q407" t="str">
        <f t="shared" si="40"/>
        <v>film &amp; video</v>
      </c>
      <c r="R407" t="str">
        <f t="shared" si="41"/>
        <v>documentary</v>
      </c>
      <c r="S407" s="4">
        <f t="shared" si="38"/>
        <v>41674.08494212963</v>
      </c>
      <c r="T407" s="4">
        <f t="shared" si="39"/>
        <v>41704.08494212963</v>
      </c>
      <c r="U407" s="5">
        <f>VLOOKUP(currency,Tables!$A$1:$C$14,3,FALSE)*pledged</f>
        <v>3036</v>
      </c>
    </row>
    <row r="408" spans="1:21" ht="43.2" x14ac:dyDescent="0.55000000000000004">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16">
        <f t="shared" si="37"/>
        <v>86.163714285714292</v>
      </c>
      <c r="Q408" t="str">
        <f t="shared" si="40"/>
        <v>film &amp; video</v>
      </c>
      <c r="R408" t="str">
        <f t="shared" si="41"/>
        <v>documentary</v>
      </c>
      <c r="S408" s="4">
        <f t="shared" si="38"/>
        <v>40638.162465277775</v>
      </c>
      <c r="T408" s="4">
        <f t="shared" si="39"/>
        <v>40672.249305555553</v>
      </c>
      <c r="U408" s="5">
        <f>VLOOKUP(currency,Tables!$A$1:$C$14,3,FALSE)*pledged</f>
        <v>3015.73</v>
      </c>
    </row>
    <row r="409" spans="1:21" ht="43.2" x14ac:dyDescent="0.55000000000000004">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36"/>
        <v>1.0155000000000001</v>
      </c>
      <c r="P409" s="16">
        <f t="shared" si="37"/>
        <v>92.318181818181813</v>
      </c>
      <c r="Q409" t="str">
        <f t="shared" si="40"/>
        <v>film &amp; video</v>
      </c>
      <c r="R409" t="str">
        <f t="shared" si="41"/>
        <v>documentary</v>
      </c>
      <c r="S409" s="4">
        <f t="shared" si="38"/>
        <v>40806.870949074073</v>
      </c>
      <c r="T409" s="4">
        <f t="shared" si="39"/>
        <v>40866.912615740745</v>
      </c>
      <c r="U409" s="5">
        <f>VLOOKUP(currency,Tables!$A$1:$C$14,3,FALSE)*pledged</f>
        <v>2031</v>
      </c>
    </row>
    <row r="410" spans="1:21" ht="43.2" x14ac:dyDescent="0.55000000000000004">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16">
        <f t="shared" si="37"/>
        <v>160.16473684210527</v>
      </c>
      <c r="Q410" t="str">
        <f t="shared" si="40"/>
        <v>film &amp; video</v>
      </c>
      <c r="R410" t="str">
        <f t="shared" si="41"/>
        <v>documentary</v>
      </c>
      <c r="S410" s="4">
        <f t="shared" si="38"/>
        <v>41543.735995370371</v>
      </c>
      <c r="T410" s="4">
        <f t="shared" si="39"/>
        <v>41583.777662037035</v>
      </c>
      <c r="U410" s="5">
        <f>VLOOKUP(currency,Tables!$A$1:$C$14,3,FALSE)*pledged</f>
        <v>6086.26</v>
      </c>
    </row>
    <row r="411" spans="1:21" ht="43.2" x14ac:dyDescent="0.55000000000000004">
      <c r="A411">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36"/>
        <v>1.3680000000000001</v>
      </c>
      <c r="P411" s="16">
        <f t="shared" si="37"/>
        <v>45.6</v>
      </c>
      <c r="Q411" t="str">
        <f t="shared" si="40"/>
        <v>film &amp; video</v>
      </c>
      <c r="R411" t="str">
        <f t="shared" si="41"/>
        <v>documentary</v>
      </c>
      <c r="S411" s="4">
        <f t="shared" si="38"/>
        <v>42543.862777777773</v>
      </c>
      <c r="T411" s="4">
        <f t="shared" si="39"/>
        <v>42573.862777777773</v>
      </c>
      <c r="U411" s="5">
        <f>VLOOKUP(currency,Tables!$A$1:$C$14,3,FALSE)*pledged</f>
        <v>902.88</v>
      </c>
    </row>
    <row r="412" spans="1:21" ht="43.2" x14ac:dyDescent="0.55000000000000004">
      <c r="A412">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36"/>
        <v>1.2829999999999999</v>
      </c>
      <c r="P412" s="16">
        <f t="shared" si="37"/>
        <v>183.28571428571428</v>
      </c>
      <c r="Q412" t="str">
        <f t="shared" si="40"/>
        <v>film &amp; video</v>
      </c>
      <c r="R412" t="str">
        <f t="shared" si="41"/>
        <v>documentary</v>
      </c>
      <c r="S412" s="4">
        <f t="shared" si="38"/>
        <v>42113.981446759266</v>
      </c>
      <c r="T412" s="4">
        <f t="shared" si="39"/>
        <v>42173.981446759266</v>
      </c>
      <c r="U412" s="5">
        <f>VLOOKUP(currency,Tables!$A$1:$C$14,3,FALSE)*pledged</f>
        <v>975.08</v>
      </c>
    </row>
    <row r="413" spans="1:21" ht="43.2" x14ac:dyDescent="0.55000000000000004">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36"/>
        <v>1.0105</v>
      </c>
      <c r="P413" s="16">
        <f t="shared" si="37"/>
        <v>125.78838174273859</v>
      </c>
      <c r="Q413" t="str">
        <f t="shared" si="40"/>
        <v>film &amp; video</v>
      </c>
      <c r="R413" t="str">
        <f t="shared" si="41"/>
        <v>documentary</v>
      </c>
      <c r="S413" s="4">
        <f t="shared" si="38"/>
        <v>41598.17597222222</v>
      </c>
      <c r="T413" s="4">
        <f t="shared" si="39"/>
        <v>41630.208333333336</v>
      </c>
      <c r="U413" s="5">
        <f>VLOOKUP(currency,Tables!$A$1:$C$14,3,FALSE)*pledged</f>
        <v>30315</v>
      </c>
    </row>
    <row r="414" spans="1:21" ht="43.2" x14ac:dyDescent="0.55000000000000004">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36"/>
        <v>1.2684</v>
      </c>
      <c r="P414" s="16">
        <f t="shared" si="37"/>
        <v>57.654545454545456</v>
      </c>
      <c r="Q414" t="str">
        <f t="shared" si="40"/>
        <v>film &amp; video</v>
      </c>
      <c r="R414" t="str">
        <f t="shared" si="41"/>
        <v>documentary</v>
      </c>
      <c r="S414" s="4">
        <f t="shared" si="38"/>
        <v>41099.742800925924</v>
      </c>
      <c r="T414" s="4">
        <f t="shared" si="39"/>
        <v>41115.742800925924</v>
      </c>
      <c r="U414" s="5">
        <f>VLOOKUP(currency,Tables!$A$1:$C$14,3,FALSE)*pledged</f>
        <v>3171</v>
      </c>
    </row>
    <row r="415" spans="1:21" ht="43.2" x14ac:dyDescent="0.55000000000000004">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16">
        <f t="shared" si="37"/>
        <v>78.660818713450297</v>
      </c>
      <c r="Q415" t="str">
        <f t="shared" si="40"/>
        <v>film &amp; video</v>
      </c>
      <c r="R415" t="str">
        <f t="shared" si="41"/>
        <v>documentary</v>
      </c>
      <c r="S415" s="4">
        <f t="shared" si="38"/>
        <v>41079.877442129626</v>
      </c>
      <c r="T415" s="4">
        <f t="shared" si="39"/>
        <v>41109.877442129626</v>
      </c>
      <c r="U415" s="5">
        <f>VLOOKUP(currency,Tables!$A$1:$C$14,3,FALSE)*pledged</f>
        <v>13451</v>
      </c>
    </row>
    <row r="416" spans="1:21" ht="43.2" x14ac:dyDescent="0.55000000000000004">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16">
        <f t="shared" si="37"/>
        <v>91.480769230769226</v>
      </c>
      <c r="Q416" t="str">
        <f t="shared" si="40"/>
        <v>film &amp; video</v>
      </c>
      <c r="R416" t="str">
        <f t="shared" si="41"/>
        <v>documentary</v>
      </c>
      <c r="S416" s="4">
        <f t="shared" si="38"/>
        <v>41529.063252314816</v>
      </c>
      <c r="T416" s="4">
        <f t="shared" si="39"/>
        <v>41559.063252314816</v>
      </c>
      <c r="U416" s="5">
        <f>VLOOKUP(currency,Tables!$A$1:$C$14,3,FALSE)*pledged</f>
        <v>19028</v>
      </c>
    </row>
    <row r="417" spans="1:21" ht="57.6" x14ac:dyDescent="0.55000000000000004">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16">
        <f t="shared" si="37"/>
        <v>68.09809523809524</v>
      </c>
      <c r="Q417" t="str">
        <f t="shared" si="40"/>
        <v>film &amp; video</v>
      </c>
      <c r="R417" t="str">
        <f t="shared" si="41"/>
        <v>documentary</v>
      </c>
      <c r="S417" s="4">
        <f t="shared" si="38"/>
        <v>41904.851875</v>
      </c>
      <c r="T417" s="4">
        <f t="shared" si="39"/>
        <v>41929.5</v>
      </c>
      <c r="U417" s="5">
        <f>VLOOKUP(currency,Tables!$A$1:$C$14,3,FALSE)*pledged</f>
        <v>1086.8455999999999</v>
      </c>
    </row>
    <row r="418" spans="1:21" ht="43.2" x14ac:dyDescent="0.55000000000000004">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16">
        <f t="shared" si="37"/>
        <v>48.086800000000004</v>
      </c>
      <c r="Q418" t="str">
        <f t="shared" si="40"/>
        <v>film &amp; video</v>
      </c>
      <c r="R418" t="str">
        <f t="shared" si="41"/>
        <v>documentary</v>
      </c>
      <c r="S418" s="4">
        <f t="shared" si="38"/>
        <v>41648.396192129629</v>
      </c>
      <c r="T418" s="4">
        <f t="shared" si="39"/>
        <v>41678.396192129629</v>
      </c>
      <c r="U418" s="5">
        <f>VLOOKUP(currency,Tables!$A$1:$C$14,3,FALSE)*pledged</f>
        <v>1202.17</v>
      </c>
    </row>
    <row r="419" spans="1:21" ht="43.2" x14ac:dyDescent="0.55000000000000004">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16">
        <f t="shared" si="37"/>
        <v>202.42307692307693</v>
      </c>
      <c r="Q419" t="str">
        <f t="shared" si="40"/>
        <v>film &amp; video</v>
      </c>
      <c r="R419" t="str">
        <f t="shared" si="41"/>
        <v>documentary</v>
      </c>
      <c r="S419" s="4">
        <f t="shared" si="38"/>
        <v>41360.970601851855</v>
      </c>
      <c r="T419" s="4">
        <f t="shared" si="39"/>
        <v>41372.189583333333</v>
      </c>
      <c r="U419" s="5">
        <f>VLOOKUP(currency,Tables!$A$1:$C$14,3,FALSE)*pledged</f>
        <v>10526</v>
      </c>
    </row>
    <row r="420" spans="1:21" ht="43.2" x14ac:dyDescent="0.55000000000000004">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16">
        <f t="shared" si="37"/>
        <v>216.75</v>
      </c>
      <c r="Q420" t="str">
        <f t="shared" si="40"/>
        <v>film &amp; video</v>
      </c>
      <c r="R420" t="str">
        <f t="shared" si="41"/>
        <v>documentary</v>
      </c>
      <c r="S420" s="4">
        <f t="shared" si="38"/>
        <v>42178.282372685186</v>
      </c>
      <c r="T420" s="4">
        <f t="shared" si="39"/>
        <v>42208.282372685186</v>
      </c>
      <c r="U420" s="5">
        <f>VLOOKUP(currency,Tables!$A$1:$C$14,3,FALSE)*pledged</f>
        <v>22542</v>
      </c>
    </row>
    <row r="421" spans="1:21" ht="43.2" x14ac:dyDescent="0.55000000000000004">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36"/>
        <v>1.004375</v>
      </c>
      <c r="P421" s="16">
        <f t="shared" si="37"/>
        <v>110.06849315068493</v>
      </c>
      <c r="Q421" t="str">
        <f t="shared" si="40"/>
        <v>film &amp; video</v>
      </c>
      <c r="R421" t="str">
        <f t="shared" si="41"/>
        <v>documentary</v>
      </c>
      <c r="S421" s="4">
        <f t="shared" si="38"/>
        <v>41394.842442129629</v>
      </c>
      <c r="T421" s="4">
        <f t="shared" si="39"/>
        <v>41454.842442129629</v>
      </c>
      <c r="U421" s="5">
        <f>VLOOKUP(currency,Tables!$A$1:$C$14,3,FALSE)*pledged</f>
        <v>8035</v>
      </c>
    </row>
    <row r="422" spans="1:21" ht="43.2" x14ac:dyDescent="0.55000000000000004">
      <c r="A422">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36"/>
        <v>4.3939393939393936E-3</v>
      </c>
      <c r="P422" s="16">
        <f t="shared" si="37"/>
        <v>4.833333333333333</v>
      </c>
      <c r="Q422" t="str">
        <f t="shared" si="40"/>
        <v>film &amp; video</v>
      </c>
      <c r="R422" t="str">
        <f t="shared" si="41"/>
        <v>animation</v>
      </c>
      <c r="S422" s="4">
        <f t="shared" si="38"/>
        <v>41682.23646990741</v>
      </c>
      <c r="T422" s="4">
        <f t="shared" si="39"/>
        <v>41712.194803240738</v>
      </c>
      <c r="U422" s="5">
        <f>VLOOKUP(currency,Tables!$A$1:$C$14,3,FALSE)*pledged</f>
        <v>14.5</v>
      </c>
    </row>
    <row r="423" spans="1:21" ht="43.2" x14ac:dyDescent="0.55000000000000004">
      <c r="A42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16">
        <f t="shared" si="37"/>
        <v>50.166666666666664</v>
      </c>
      <c r="Q423" t="str">
        <f t="shared" si="40"/>
        <v>film &amp; video</v>
      </c>
      <c r="R423" t="str">
        <f t="shared" si="41"/>
        <v>animation</v>
      </c>
      <c r="S423" s="4">
        <f t="shared" si="38"/>
        <v>42177.491388888884</v>
      </c>
      <c r="T423" s="4">
        <f t="shared" si="39"/>
        <v>42237.491388888884</v>
      </c>
      <c r="U423" s="5">
        <f>VLOOKUP(currency,Tables!$A$1:$C$14,3,FALSE)*pledged</f>
        <v>301</v>
      </c>
    </row>
    <row r="424" spans="1:21" ht="43.2" x14ac:dyDescent="0.55000000000000004">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16">
        <f t="shared" si="37"/>
        <v>35.833333333333336</v>
      </c>
      <c r="Q424" t="str">
        <f t="shared" si="40"/>
        <v>film &amp; video</v>
      </c>
      <c r="R424" t="str">
        <f t="shared" si="41"/>
        <v>animation</v>
      </c>
      <c r="S424" s="4">
        <f t="shared" si="38"/>
        <v>41863.260381944441</v>
      </c>
      <c r="T424" s="4">
        <f t="shared" si="39"/>
        <v>41893.260381944441</v>
      </c>
      <c r="U424" s="5">
        <f>VLOOKUP(currency,Tables!$A$1:$C$14,3,FALSE)*pledged</f>
        <v>430</v>
      </c>
    </row>
    <row r="425" spans="1:21" ht="43.2" x14ac:dyDescent="0.55000000000000004">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16">
        <f t="shared" si="37"/>
        <v>11.76923076923077</v>
      </c>
      <c r="Q425" t="str">
        <f t="shared" si="40"/>
        <v>film &amp; video</v>
      </c>
      <c r="R425" t="str">
        <f t="shared" si="41"/>
        <v>animation</v>
      </c>
      <c r="S425" s="4">
        <f t="shared" si="38"/>
        <v>41400.92627314815</v>
      </c>
      <c r="T425" s="4">
        <f t="shared" si="39"/>
        <v>41430.92627314815</v>
      </c>
      <c r="U425" s="5">
        <f>VLOOKUP(currency,Tables!$A$1:$C$14,3,FALSE)*pledged</f>
        <v>153</v>
      </c>
    </row>
    <row r="426" spans="1:21" ht="43.2" x14ac:dyDescent="0.55000000000000004">
      <c r="A426">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16">
        <f t="shared" si="37"/>
        <v>40.78</v>
      </c>
      <c r="Q426" t="str">
        <f t="shared" si="40"/>
        <v>film &amp; video</v>
      </c>
      <c r="R426" t="str">
        <f t="shared" si="41"/>
        <v>animation</v>
      </c>
      <c r="S426" s="4">
        <f t="shared" si="38"/>
        <v>40934.376145833332</v>
      </c>
      <c r="T426" s="4">
        <f t="shared" si="39"/>
        <v>40994.334479166668</v>
      </c>
      <c r="U426" s="5">
        <f>VLOOKUP(currency,Tables!$A$1:$C$14,3,FALSE)*pledged</f>
        <v>203.9</v>
      </c>
    </row>
    <row r="427" spans="1:21" ht="43.2" x14ac:dyDescent="0.55000000000000004">
      <c r="A427">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36"/>
        <v>1.2E-4</v>
      </c>
      <c r="P427" s="16">
        <f t="shared" si="37"/>
        <v>3</v>
      </c>
      <c r="Q427" t="str">
        <f t="shared" si="40"/>
        <v>film &amp; video</v>
      </c>
      <c r="R427" t="str">
        <f t="shared" si="41"/>
        <v>animation</v>
      </c>
      <c r="S427" s="4">
        <f t="shared" si="38"/>
        <v>42275.861157407402</v>
      </c>
      <c r="T427" s="4">
        <f t="shared" si="39"/>
        <v>42335.902824074074</v>
      </c>
      <c r="U427" s="5">
        <f>VLOOKUP(currency,Tables!$A$1:$C$14,3,FALSE)*pledged</f>
        <v>6</v>
      </c>
    </row>
    <row r="428" spans="1:21" ht="43.2" x14ac:dyDescent="0.55000000000000004">
      <c r="A428">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16">
        <f t="shared" si="37"/>
        <v>16.625</v>
      </c>
      <c r="Q428" t="str">
        <f t="shared" si="40"/>
        <v>film &amp; video</v>
      </c>
      <c r="R428" t="str">
        <f t="shared" si="41"/>
        <v>animation</v>
      </c>
      <c r="S428" s="4">
        <f t="shared" si="38"/>
        <v>42400.711967592593</v>
      </c>
      <c r="T428" s="4">
        <f t="shared" si="39"/>
        <v>42430.711967592593</v>
      </c>
      <c r="U428" s="5">
        <f>VLOOKUP(currency,Tables!$A$1:$C$14,3,FALSE)*pledged</f>
        <v>133</v>
      </c>
    </row>
    <row r="429" spans="1:21" ht="43.2" x14ac:dyDescent="0.55000000000000004">
      <c r="A429">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36"/>
        <v>0</v>
      </c>
      <c r="P429" s="16">
        <f t="shared" si="37"/>
        <v>0</v>
      </c>
      <c r="Q429" t="str">
        <f t="shared" si="40"/>
        <v>film &amp; video</v>
      </c>
      <c r="R429" t="str">
        <f t="shared" si="41"/>
        <v>animation</v>
      </c>
      <c r="S429" s="4">
        <f t="shared" si="38"/>
        <v>42285.909027777772</v>
      </c>
      <c r="T429" s="4">
        <f t="shared" si="39"/>
        <v>42299.790972222225</v>
      </c>
      <c r="U429" s="5">
        <f>VLOOKUP(currency,Tables!$A$1:$C$14,3,FALSE)*pledged</f>
        <v>0</v>
      </c>
    </row>
    <row r="430" spans="1:21" ht="28.8" x14ac:dyDescent="0.55000000000000004">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16">
        <f t="shared" si="37"/>
        <v>52</v>
      </c>
      <c r="Q430" t="str">
        <f t="shared" si="40"/>
        <v>film &amp; video</v>
      </c>
      <c r="R430" t="str">
        <f t="shared" si="41"/>
        <v>animation</v>
      </c>
      <c r="S430" s="4">
        <f t="shared" si="38"/>
        <v>41778.766724537039</v>
      </c>
      <c r="T430" s="4">
        <f t="shared" si="39"/>
        <v>41806.916666666664</v>
      </c>
      <c r="U430" s="5">
        <f>VLOOKUP(currency,Tables!$A$1:$C$14,3,FALSE)*pledged</f>
        <v>676</v>
      </c>
    </row>
    <row r="431" spans="1:21" ht="57.6" x14ac:dyDescent="0.55000000000000004">
      <c r="A431">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36"/>
        <v>0</v>
      </c>
      <c r="P431" s="16">
        <f t="shared" si="37"/>
        <v>0</v>
      </c>
      <c r="Q431" t="str">
        <f t="shared" si="40"/>
        <v>film &amp; video</v>
      </c>
      <c r="R431" t="str">
        <f t="shared" si="41"/>
        <v>animation</v>
      </c>
      <c r="S431" s="4">
        <f t="shared" si="38"/>
        <v>40070.901412037041</v>
      </c>
      <c r="T431" s="4">
        <f t="shared" si="39"/>
        <v>40144.207638888889</v>
      </c>
      <c r="U431" s="5">
        <f>VLOOKUP(currency,Tables!$A$1:$C$14,3,FALSE)*pledged</f>
        <v>0</v>
      </c>
    </row>
    <row r="432" spans="1:21" ht="43.2" x14ac:dyDescent="0.55000000000000004">
      <c r="A432">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36"/>
        <v>2.4E-2</v>
      </c>
      <c r="P432" s="16">
        <f t="shared" si="37"/>
        <v>4.8</v>
      </c>
      <c r="Q432" t="str">
        <f t="shared" si="40"/>
        <v>film &amp; video</v>
      </c>
      <c r="R432" t="str">
        <f t="shared" si="41"/>
        <v>animation</v>
      </c>
      <c r="S432" s="4">
        <f t="shared" si="38"/>
        <v>41513.107256944444</v>
      </c>
      <c r="T432" s="4">
        <f t="shared" si="39"/>
        <v>41528.107256944444</v>
      </c>
      <c r="U432" s="5">
        <f>VLOOKUP(currency,Tables!$A$1:$C$14,3,FALSE)*pledged</f>
        <v>24</v>
      </c>
    </row>
    <row r="433" spans="1:21" ht="43.2" x14ac:dyDescent="0.55000000000000004">
      <c r="A43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36"/>
        <v>0.13833333333333334</v>
      </c>
      <c r="P433" s="16">
        <f t="shared" si="37"/>
        <v>51.875</v>
      </c>
      <c r="Q433" t="str">
        <f t="shared" si="40"/>
        <v>film &amp; video</v>
      </c>
      <c r="R433" t="str">
        <f t="shared" si="41"/>
        <v>animation</v>
      </c>
      <c r="S433" s="4">
        <f t="shared" si="38"/>
        <v>42526.871331018512</v>
      </c>
      <c r="T433" s="4">
        <f t="shared" si="39"/>
        <v>42556.871331018512</v>
      </c>
      <c r="U433" s="5">
        <f>VLOOKUP(currency,Tables!$A$1:$C$14,3,FALSE)*pledged</f>
        <v>547.80000000000007</v>
      </c>
    </row>
    <row r="434" spans="1:21" ht="43.2" x14ac:dyDescent="0.55000000000000004">
      <c r="A434">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36"/>
        <v>9.5000000000000001E-2</v>
      </c>
      <c r="P434" s="16">
        <f t="shared" si="37"/>
        <v>71.25</v>
      </c>
      <c r="Q434" t="str">
        <f t="shared" si="40"/>
        <v>film &amp; video</v>
      </c>
      <c r="R434" t="str">
        <f t="shared" si="41"/>
        <v>animation</v>
      </c>
      <c r="S434" s="4">
        <f t="shared" si="38"/>
        <v>42238.726631944446</v>
      </c>
      <c r="T434" s="4">
        <f t="shared" si="39"/>
        <v>42298.726631944446</v>
      </c>
      <c r="U434" s="5">
        <f>VLOOKUP(currency,Tables!$A$1:$C$14,3,FALSE)*pledged</f>
        <v>570</v>
      </c>
    </row>
    <row r="435" spans="1:21" ht="57.6" x14ac:dyDescent="0.55000000000000004">
      <c r="A435">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36"/>
        <v>0</v>
      </c>
      <c r="P435" s="16">
        <f t="shared" si="37"/>
        <v>0</v>
      </c>
      <c r="Q435" t="str">
        <f t="shared" si="40"/>
        <v>film &amp; video</v>
      </c>
      <c r="R435" t="str">
        <f t="shared" si="41"/>
        <v>animation</v>
      </c>
      <c r="S435" s="4">
        <f t="shared" si="38"/>
        <v>42228.629884259266</v>
      </c>
      <c r="T435" s="4">
        <f t="shared" si="39"/>
        <v>42288.629884259266</v>
      </c>
      <c r="U435" s="5">
        <f>VLOOKUP(currency,Tables!$A$1:$C$14,3,FALSE)*pledged</f>
        <v>0</v>
      </c>
    </row>
    <row r="436" spans="1:21" ht="43.2" x14ac:dyDescent="0.55000000000000004">
      <c r="A436">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36"/>
        <v>0.05</v>
      </c>
      <c r="P436" s="16">
        <f t="shared" si="37"/>
        <v>62.5</v>
      </c>
      <c r="Q436" t="str">
        <f t="shared" si="40"/>
        <v>film &amp; video</v>
      </c>
      <c r="R436" t="str">
        <f t="shared" si="41"/>
        <v>animation</v>
      </c>
      <c r="S436" s="4">
        <f t="shared" si="38"/>
        <v>41576.834513888891</v>
      </c>
      <c r="T436" s="4">
        <f t="shared" si="39"/>
        <v>41609.876180555555</v>
      </c>
      <c r="U436" s="5">
        <f>VLOOKUP(currency,Tables!$A$1:$C$14,3,FALSE)*pledged</f>
        <v>125</v>
      </c>
    </row>
    <row r="437" spans="1:21" ht="43.2" x14ac:dyDescent="0.55000000000000004">
      <c r="A437">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36"/>
        <v>2.7272727272727273E-5</v>
      </c>
      <c r="P437" s="16">
        <f t="shared" si="37"/>
        <v>1</v>
      </c>
      <c r="Q437" t="str">
        <f t="shared" si="40"/>
        <v>film &amp; video</v>
      </c>
      <c r="R437" t="str">
        <f t="shared" si="41"/>
        <v>animation</v>
      </c>
      <c r="S437" s="4">
        <f t="shared" si="38"/>
        <v>41500.747453703705</v>
      </c>
      <c r="T437" s="4">
        <f t="shared" si="39"/>
        <v>41530.747453703705</v>
      </c>
      <c r="U437" s="5">
        <f>VLOOKUP(currency,Tables!$A$1:$C$14,3,FALSE)*pledged</f>
        <v>3</v>
      </c>
    </row>
    <row r="438" spans="1:21" ht="43.2" x14ac:dyDescent="0.55000000000000004">
      <c r="A438">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36"/>
        <v>0</v>
      </c>
      <c r="P438" s="16">
        <f t="shared" si="37"/>
        <v>0</v>
      </c>
      <c r="Q438" t="str">
        <f t="shared" si="40"/>
        <v>film &amp; video</v>
      </c>
      <c r="R438" t="str">
        <f t="shared" si="41"/>
        <v>animation</v>
      </c>
      <c r="S438" s="4">
        <f t="shared" si="38"/>
        <v>41456.36241898148</v>
      </c>
      <c r="T438" s="4">
        <f t="shared" si="39"/>
        <v>41486.36241898148</v>
      </c>
      <c r="U438" s="5">
        <f>VLOOKUP(currency,Tables!$A$1:$C$14,3,FALSE)*pledged</f>
        <v>0</v>
      </c>
    </row>
    <row r="439" spans="1:21" ht="43.2" x14ac:dyDescent="0.55000000000000004">
      <c r="A439">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36"/>
        <v>0</v>
      </c>
      <c r="P439" s="16">
        <f t="shared" si="37"/>
        <v>0</v>
      </c>
      <c r="Q439" t="str">
        <f t="shared" si="40"/>
        <v>film &amp; video</v>
      </c>
      <c r="R439" t="str">
        <f t="shared" si="41"/>
        <v>animation</v>
      </c>
      <c r="S439" s="4">
        <f t="shared" si="38"/>
        <v>42591.31858796296</v>
      </c>
      <c r="T439" s="4">
        <f t="shared" si="39"/>
        <v>42651.31858796296</v>
      </c>
      <c r="U439" s="5">
        <f>VLOOKUP(currency,Tables!$A$1:$C$14,3,FALSE)*pledged</f>
        <v>0</v>
      </c>
    </row>
    <row r="440" spans="1:21" ht="43.2" x14ac:dyDescent="0.55000000000000004">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16">
        <f t="shared" si="37"/>
        <v>170.54545454545453</v>
      </c>
      <c r="Q440" t="str">
        <f t="shared" si="40"/>
        <v>film &amp; video</v>
      </c>
      <c r="R440" t="str">
        <f t="shared" si="41"/>
        <v>animation</v>
      </c>
      <c r="S440" s="4">
        <f t="shared" si="38"/>
        <v>42296.261087962965</v>
      </c>
      <c r="T440" s="4">
        <f t="shared" si="39"/>
        <v>42326.302754629629</v>
      </c>
      <c r="U440" s="5">
        <f>VLOOKUP(currency,Tables!$A$1:$C$14,3,FALSE)*pledged</f>
        <v>1876</v>
      </c>
    </row>
    <row r="441" spans="1:21" ht="43.2" x14ac:dyDescent="0.55000000000000004">
      <c r="A441">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36"/>
        <v>0</v>
      </c>
      <c r="P441" s="16">
        <f t="shared" si="37"/>
        <v>0</v>
      </c>
      <c r="Q441" t="str">
        <f t="shared" si="40"/>
        <v>film &amp; video</v>
      </c>
      <c r="R441" t="str">
        <f t="shared" si="41"/>
        <v>animation</v>
      </c>
      <c r="S441" s="4">
        <f t="shared" si="38"/>
        <v>41919.761782407404</v>
      </c>
      <c r="T441" s="4">
        <f t="shared" si="39"/>
        <v>41929.761782407404</v>
      </c>
      <c r="U441" s="5">
        <f>VLOOKUP(currency,Tables!$A$1:$C$14,3,FALSE)*pledged</f>
        <v>0</v>
      </c>
    </row>
    <row r="442" spans="1:21" ht="43.2" x14ac:dyDescent="0.55000000000000004">
      <c r="A442">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36"/>
        <v>1E-3</v>
      </c>
      <c r="P442" s="16">
        <f t="shared" si="37"/>
        <v>5</v>
      </c>
      <c r="Q442" t="str">
        <f t="shared" si="40"/>
        <v>film &amp; video</v>
      </c>
      <c r="R442" t="str">
        <f t="shared" si="41"/>
        <v>animation</v>
      </c>
      <c r="S442" s="4">
        <f t="shared" si="38"/>
        <v>42423.985567129625</v>
      </c>
      <c r="T442" s="4">
        <f t="shared" si="39"/>
        <v>42453.943900462968</v>
      </c>
      <c r="U442" s="5">
        <f>VLOOKUP(currency,Tables!$A$1:$C$14,3,FALSE)*pledged</f>
        <v>5</v>
      </c>
    </row>
    <row r="443" spans="1:21" ht="43.2" x14ac:dyDescent="0.55000000000000004">
      <c r="A44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36"/>
        <v>0</v>
      </c>
      <c r="P443" s="16">
        <f t="shared" si="37"/>
        <v>0</v>
      </c>
      <c r="Q443" t="str">
        <f t="shared" si="40"/>
        <v>film &amp; video</v>
      </c>
      <c r="R443" t="str">
        <f t="shared" si="41"/>
        <v>animation</v>
      </c>
      <c r="S443" s="4">
        <f t="shared" si="38"/>
        <v>41550.793935185182</v>
      </c>
      <c r="T443" s="4">
        <f t="shared" si="39"/>
        <v>41580.793935185182</v>
      </c>
      <c r="U443" s="5">
        <f>VLOOKUP(currency,Tables!$A$1:$C$14,3,FALSE)*pledged</f>
        <v>0</v>
      </c>
    </row>
    <row r="444" spans="1:21" x14ac:dyDescent="0.55000000000000004">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16">
        <f t="shared" si="37"/>
        <v>393.58823529411762</v>
      </c>
      <c r="Q444" t="str">
        <f t="shared" si="40"/>
        <v>film &amp; video</v>
      </c>
      <c r="R444" t="str">
        <f t="shared" si="41"/>
        <v>animation</v>
      </c>
      <c r="S444" s="4">
        <f t="shared" si="38"/>
        <v>42024.888692129629</v>
      </c>
      <c r="T444" s="4">
        <f t="shared" si="39"/>
        <v>42054.888692129629</v>
      </c>
      <c r="U444" s="5">
        <f>VLOOKUP(currency,Tables!$A$1:$C$14,3,FALSE)*pledged</f>
        <v>6691</v>
      </c>
    </row>
    <row r="445" spans="1:21" ht="43.2" x14ac:dyDescent="0.55000000000000004">
      <c r="A445">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36"/>
        <v>1E-3</v>
      </c>
      <c r="P445" s="16">
        <f t="shared" si="37"/>
        <v>5</v>
      </c>
      <c r="Q445" t="str">
        <f t="shared" si="40"/>
        <v>film &amp; video</v>
      </c>
      <c r="R445" t="str">
        <f t="shared" si="41"/>
        <v>animation</v>
      </c>
      <c r="S445" s="4">
        <f t="shared" si="38"/>
        <v>41650.015057870369</v>
      </c>
      <c r="T445" s="4">
        <f t="shared" si="39"/>
        <v>41680.015057870369</v>
      </c>
      <c r="U445" s="5">
        <f>VLOOKUP(currency,Tables!$A$1:$C$14,3,FALSE)*pledged</f>
        <v>7.6</v>
      </c>
    </row>
    <row r="446" spans="1:21" ht="43.2" x14ac:dyDescent="0.55000000000000004">
      <c r="A446">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36"/>
        <v>0.05</v>
      </c>
      <c r="P446" s="16">
        <f t="shared" si="37"/>
        <v>50</v>
      </c>
      <c r="Q446" t="str">
        <f t="shared" si="40"/>
        <v>film &amp; video</v>
      </c>
      <c r="R446" t="str">
        <f t="shared" si="41"/>
        <v>animation</v>
      </c>
      <c r="S446" s="4">
        <f t="shared" si="38"/>
        <v>40894.906956018516</v>
      </c>
      <c r="T446" s="4">
        <f t="shared" si="39"/>
        <v>40954.906956018516</v>
      </c>
      <c r="U446" s="5">
        <f>VLOOKUP(currency,Tables!$A$1:$C$14,3,FALSE)*pledged</f>
        <v>50</v>
      </c>
    </row>
    <row r="447" spans="1:21" ht="43.2" x14ac:dyDescent="0.55000000000000004">
      <c r="A447">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36"/>
        <v>3.3333333333333335E-5</v>
      </c>
      <c r="P447" s="16">
        <f t="shared" si="37"/>
        <v>1</v>
      </c>
      <c r="Q447" t="str">
        <f t="shared" si="40"/>
        <v>film &amp; video</v>
      </c>
      <c r="R447" t="str">
        <f t="shared" si="41"/>
        <v>animation</v>
      </c>
      <c r="S447" s="4">
        <f t="shared" si="38"/>
        <v>42130.335358796292</v>
      </c>
      <c r="T447" s="4">
        <f t="shared" si="39"/>
        <v>42145.335358796292</v>
      </c>
      <c r="U447" s="5">
        <f>VLOOKUP(currency,Tables!$A$1:$C$14,3,FALSE)*pledged</f>
        <v>2</v>
      </c>
    </row>
    <row r="448" spans="1:21" ht="43.2" x14ac:dyDescent="0.55000000000000004">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16">
        <f t="shared" si="37"/>
        <v>47.875</v>
      </c>
      <c r="Q448" t="str">
        <f t="shared" si="40"/>
        <v>film &amp; video</v>
      </c>
      <c r="R448" t="str">
        <f t="shared" si="41"/>
        <v>animation</v>
      </c>
      <c r="S448" s="4">
        <f t="shared" si="38"/>
        <v>42037.083564814813</v>
      </c>
      <c r="T448" s="4">
        <f t="shared" si="39"/>
        <v>42067.083564814813</v>
      </c>
      <c r="U448" s="5">
        <f>VLOOKUP(currency,Tables!$A$1:$C$14,3,FALSE)*pledged</f>
        <v>766</v>
      </c>
    </row>
    <row r="449" spans="1:21" ht="43.2" x14ac:dyDescent="0.55000000000000004">
      <c r="A449">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36"/>
        <v>1.6666666666666666E-4</v>
      </c>
      <c r="P449" s="16">
        <f t="shared" si="37"/>
        <v>5</v>
      </c>
      <c r="Q449" t="str">
        <f t="shared" si="40"/>
        <v>film &amp; video</v>
      </c>
      <c r="R449" t="str">
        <f t="shared" si="41"/>
        <v>animation</v>
      </c>
      <c r="S449" s="4">
        <f t="shared" si="38"/>
        <v>41331.555127314816</v>
      </c>
      <c r="T449" s="4">
        <f t="shared" si="39"/>
        <v>41356.513460648144</v>
      </c>
      <c r="U449" s="5">
        <f>VLOOKUP(currency,Tables!$A$1:$C$14,3,FALSE)*pledged</f>
        <v>6.6000000000000005</v>
      </c>
    </row>
    <row r="450" spans="1:21" ht="43.2" x14ac:dyDescent="0.55000000000000004">
      <c r="A450">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ref="O450:O513" si="42">pledged/goal</f>
        <v>3.2804E-2</v>
      </c>
      <c r="P450" s="16">
        <f t="shared" ref="P450:P513" si="43">IF(pledged=0,0,pledged/backers_count)</f>
        <v>20.502500000000001</v>
      </c>
      <c r="Q450" t="str">
        <f t="shared" si="40"/>
        <v>film &amp; video</v>
      </c>
      <c r="R450" t="str">
        <f t="shared" si="41"/>
        <v>animation</v>
      </c>
      <c r="S450" s="4">
        <f t="shared" ref="S450:S513" si="44">(((Unix_launched_date/60)/60)/24)+DATE(1970,1,1)</f>
        <v>41753.758043981477</v>
      </c>
      <c r="T450" s="4">
        <f t="shared" ref="T450:T513" si="45">(((Unix_deadline/60)/60)/24)+DATE(1970,1,1)</f>
        <v>41773.758043981477</v>
      </c>
      <c r="U450" s="5">
        <f>VLOOKUP(currency,Tables!$A$1:$C$14,3,FALSE)*pledged</f>
        <v>82.01</v>
      </c>
    </row>
    <row r="451" spans="1:21" ht="43.2" x14ac:dyDescent="0.55000000000000004">
      <c r="A451">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si="42"/>
        <v>2.2499999999999999E-2</v>
      </c>
      <c r="P451" s="16">
        <f t="shared" si="43"/>
        <v>9</v>
      </c>
      <c r="Q451" t="str">
        <f t="shared" ref="Q451:Q514" si="46">LEFT(N451,FIND("/",N451,1)-1)</f>
        <v>film &amp; video</v>
      </c>
      <c r="R451" t="str">
        <f t="shared" ref="R451:R514" si="47">RIGHT(N451,(LEN(N451)-FIND("/",N451,1)))</f>
        <v>animation</v>
      </c>
      <c r="S451" s="4">
        <f t="shared" si="44"/>
        <v>41534.568113425928</v>
      </c>
      <c r="T451" s="4">
        <f t="shared" si="45"/>
        <v>41564.568113425928</v>
      </c>
      <c r="U451" s="5">
        <f>VLOOKUP(currency,Tables!$A$1:$C$14,3,FALSE)*pledged</f>
        <v>59.400000000000006</v>
      </c>
    </row>
    <row r="452" spans="1:21" ht="43.2" x14ac:dyDescent="0.55000000000000004">
      <c r="A452">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42"/>
        <v>7.92E-3</v>
      </c>
      <c r="P452" s="16">
        <f t="shared" si="43"/>
        <v>56.571428571428569</v>
      </c>
      <c r="Q452" t="str">
        <f t="shared" si="46"/>
        <v>film &amp; video</v>
      </c>
      <c r="R452" t="str">
        <f t="shared" si="47"/>
        <v>animation</v>
      </c>
      <c r="S452" s="4">
        <f t="shared" si="44"/>
        <v>41654.946759259255</v>
      </c>
      <c r="T452" s="4">
        <f t="shared" si="45"/>
        <v>41684.946759259255</v>
      </c>
      <c r="U452" s="5">
        <f>VLOOKUP(currency,Tables!$A$1:$C$14,3,FALSE)*pledged</f>
        <v>396</v>
      </c>
    </row>
    <row r="453" spans="1:21" ht="43.2" x14ac:dyDescent="0.55000000000000004">
      <c r="A45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42"/>
        <v>0</v>
      </c>
      <c r="P453" s="16">
        <f t="shared" si="43"/>
        <v>0</v>
      </c>
      <c r="Q453" t="str">
        <f t="shared" si="46"/>
        <v>film &amp; video</v>
      </c>
      <c r="R453" t="str">
        <f t="shared" si="47"/>
        <v>animation</v>
      </c>
      <c r="S453" s="4">
        <f t="shared" si="44"/>
        <v>41634.715173611112</v>
      </c>
      <c r="T453" s="4">
        <f t="shared" si="45"/>
        <v>41664.715173611112</v>
      </c>
      <c r="U453" s="5">
        <f>VLOOKUP(currency,Tables!$A$1:$C$14,3,FALSE)*pledged</f>
        <v>0</v>
      </c>
    </row>
    <row r="454" spans="1:21" ht="28.8" x14ac:dyDescent="0.55000000000000004">
      <c r="A454">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42"/>
        <v>0.64</v>
      </c>
      <c r="P454" s="16">
        <f t="shared" si="43"/>
        <v>40</v>
      </c>
      <c r="Q454" t="str">
        <f t="shared" si="46"/>
        <v>film &amp; video</v>
      </c>
      <c r="R454" t="str">
        <f t="shared" si="47"/>
        <v>animation</v>
      </c>
      <c r="S454" s="4">
        <f t="shared" si="44"/>
        <v>42107.703877314809</v>
      </c>
      <c r="T454" s="4">
        <f t="shared" si="45"/>
        <v>42137.703877314809</v>
      </c>
      <c r="U454" s="5">
        <f>VLOOKUP(currency,Tables!$A$1:$C$14,3,FALSE)*pledged</f>
        <v>480</v>
      </c>
    </row>
    <row r="455" spans="1:21" ht="43.2" x14ac:dyDescent="0.55000000000000004">
      <c r="A455">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42"/>
        <v>2.740447957839262E-4</v>
      </c>
      <c r="P455" s="16">
        <f t="shared" si="43"/>
        <v>13</v>
      </c>
      <c r="Q455" t="str">
        <f t="shared" si="46"/>
        <v>film &amp; video</v>
      </c>
      <c r="R455" t="str">
        <f t="shared" si="47"/>
        <v>animation</v>
      </c>
      <c r="S455" s="4">
        <f t="shared" si="44"/>
        <v>42038.824988425928</v>
      </c>
      <c r="T455" s="4">
        <f t="shared" si="45"/>
        <v>42054.824988425928</v>
      </c>
      <c r="U455" s="5">
        <f>VLOOKUP(currency,Tables!$A$1:$C$14,3,FALSE)*pledged</f>
        <v>26</v>
      </c>
    </row>
    <row r="456" spans="1:21" ht="43.2" x14ac:dyDescent="0.55000000000000004">
      <c r="A456">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42"/>
        <v>8.2000000000000007E-3</v>
      </c>
      <c r="P456" s="16">
        <f t="shared" si="43"/>
        <v>16.399999999999999</v>
      </c>
      <c r="Q456" t="str">
        <f t="shared" si="46"/>
        <v>film &amp; video</v>
      </c>
      <c r="R456" t="str">
        <f t="shared" si="47"/>
        <v>animation</v>
      </c>
      <c r="S456" s="4">
        <f t="shared" si="44"/>
        <v>41938.717256944445</v>
      </c>
      <c r="T456" s="4">
        <f t="shared" si="45"/>
        <v>41969.551388888889</v>
      </c>
      <c r="U456" s="5">
        <f>VLOOKUP(currency,Tables!$A$1:$C$14,3,FALSE)*pledged</f>
        <v>82</v>
      </c>
    </row>
    <row r="457" spans="1:21" ht="43.2" x14ac:dyDescent="0.55000000000000004">
      <c r="A457">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42"/>
        <v>6.9230769230769226E-4</v>
      </c>
      <c r="P457" s="16">
        <f t="shared" si="43"/>
        <v>22.5</v>
      </c>
      <c r="Q457" t="str">
        <f t="shared" si="46"/>
        <v>film &amp; video</v>
      </c>
      <c r="R457" t="str">
        <f t="shared" si="47"/>
        <v>animation</v>
      </c>
      <c r="S457" s="4">
        <f t="shared" si="44"/>
        <v>40971.002569444441</v>
      </c>
      <c r="T457" s="4">
        <f t="shared" si="45"/>
        <v>41016.021527777775</v>
      </c>
      <c r="U457" s="5">
        <f>VLOOKUP(currency,Tables!$A$1:$C$14,3,FALSE)*pledged</f>
        <v>45</v>
      </c>
    </row>
    <row r="458" spans="1:21" ht="43.2" x14ac:dyDescent="0.55000000000000004">
      <c r="A458">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42"/>
        <v>6.8631863186318634E-3</v>
      </c>
      <c r="P458" s="16">
        <f t="shared" si="43"/>
        <v>20.333333333333332</v>
      </c>
      <c r="Q458" t="str">
        <f t="shared" si="46"/>
        <v>film &amp; video</v>
      </c>
      <c r="R458" t="str">
        <f t="shared" si="47"/>
        <v>animation</v>
      </c>
      <c r="S458" s="4">
        <f t="shared" si="44"/>
        <v>41547.694456018515</v>
      </c>
      <c r="T458" s="4">
        <f t="shared" si="45"/>
        <v>41569.165972222225</v>
      </c>
      <c r="U458" s="5">
        <f>VLOOKUP(currency,Tables!$A$1:$C$14,3,FALSE)*pledged</f>
        <v>61</v>
      </c>
    </row>
    <row r="459" spans="1:21" ht="43.2" x14ac:dyDescent="0.55000000000000004">
      <c r="A459">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42"/>
        <v>0</v>
      </c>
      <c r="P459" s="16">
        <f t="shared" si="43"/>
        <v>0</v>
      </c>
      <c r="Q459" t="str">
        <f t="shared" si="46"/>
        <v>film &amp; video</v>
      </c>
      <c r="R459" t="str">
        <f t="shared" si="47"/>
        <v>animation</v>
      </c>
      <c r="S459" s="4">
        <f t="shared" si="44"/>
        <v>41837.767500000002</v>
      </c>
      <c r="T459" s="4">
        <f t="shared" si="45"/>
        <v>41867.767500000002</v>
      </c>
      <c r="U459" s="5">
        <f>VLOOKUP(currency,Tables!$A$1:$C$14,3,FALSE)*pledged</f>
        <v>0</v>
      </c>
    </row>
    <row r="460" spans="1:21" ht="43.2" x14ac:dyDescent="0.55000000000000004">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16">
        <f t="shared" si="43"/>
        <v>16.755102040816325</v>
      </c>
      <c r="Q460" t="str">
        <f t="shared" si="46"/>
        <v>film &amp; video</v>
      </c>
      <c r="R460" t="str">
        <f t="shared" si="47"/>
        <v>animation</v>
      </c>
      <c r="S460" s="4">
        <f t="shared" si="44"/>
        <v>41378.69976851852</v>
      </c>
      <c r="T460" s="4">
        <f t="shared" si="45"/>
        <v>41408.69976851852</v>
      </c>
      <c r="U460" s="5">
        <f>VLOOKUP(currency,Tables!$A$1:$C$14,3,FALSE)*pledged</f>
        <v>1083.72</v>
      </c>
    </row>
    <row r="461" spans="1:21" ht="43.2" x14ac:dyDescent="0.55000000000000004">
      <c r="A461">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42"/>
        <v>6.4102564102564103E-4</v>
      </c>
      <c r="P461" s="16">
        <f t="shared" si="43"/>
        <v>25</v>
      </c>
      <c r="Q461" t="str">
        <f t="shared" si="46"/>
        <v>film &amp; video</v>
      </c>
      <c r="R461" t="str">
        <f t="shared" si="47"/>
        <v>animation</v>
      </c>
      <c r="S461" s="4">
        <f t="shared" si="44"/>
        <v>40800.6403587963</v>
      </c>
      <c r="T461" s="4">
        <f t="shared" si="45"/>
        <v>40860.682025462964</v>
      </c>
      <c r="U461" s="5">
        <f>VLOOKUP(currency,Tables!$A$1:$C$14,3,FALSE)*pledged</f>
        <v>25</v>
      </c>
    </row>
    <row r="462" spans="1:21" ht="28.8" x14ac:dyDescent="0.55000000000000004">
      <c r="A462">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42"/>
        <v>2.9411764705882353E-3</v>
      </c>
      <c r="P462" s="16">
        <f t="shared" si="43"/>
        <v>12.5</v>
      </c>
      <c r="Q462" t="str">
        <f t="shared" si="46"/>
        <v>film &amp; video</v>
      </c>
      <c r="R462" t="str">
        <f t="shared" si="47"/>
        <v>animation</v>
      </c>
      <c r="S462" s="4">
        <f t="shared" si="44"/>
        <v>41759.542534722219</v>
      </c>
      <c r="T462" s="4">
        <f t="shared" si="45"/>
        <v>41791.166666666664</v>
      </c>
      <c r="U462" s="5">
        <f>VLOOKUP(currency,Tables!$A$1:$C$14,3,FALSE)*pledged</f>
        <v>25</v>
      </c>
    </row>
    <row r="463" spans="1:21" ht="43.2" x14ac:dyDescent="0.55000000000000004">
      <c r="A46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42"/>
        <v>0</v>
      </c>
      <c r="P463" s="16">
        <f t="shared" si="43"/>
        <v>0</v>
      </c>
      <c r="Q463" t="str">
        <f t="shared" si="46"/>
        <v>film &amp; video</v>
      </c>
      <c r="R463" t="str">
        <f t="shared" si="47"/>
        <v>animation</v>
      </c>
      <c r="S463" s="4">
        <f t="shared" si="44"/>
        <v>41407.84684027778</v>
      </c>
      <c r="T463" s="4">
        <f t="shared" si="45"/>
        <v>41427.84684027778</v>
      </c>
      <c r="U463" s="5">
        <f>VLOOKUP(currency,Tables!$A$1:$C$14,3,FALSE)*pledged</f>
        <v>0</v>
      </c>
    </row>
    <row r="464" spans="1:21" ht="43.2" x14ac:dyDescent="0.55000000000000004">
      <c r="A464">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42"/>
        <v>0</v>
      </c>
      <c r="P464" s="16">
        <f t="shared" si="43"/>
        <v>0</v>
      </c>
      <c r="Q464" t="str">
        <f t="shared" si="46"/>
        <v>film &amp; video</v>
      </c>
      <c r="R464" t="str">
        <f t="shared" si="47"/>
        <v>animation</v>
      </c>
      <c r="S464" s="4">
        <f t="shared" si="44"/>
        <v>40705.126631944448</v>
      </c>
      <c r="T464" s="4">
        <f t="shared" si="45"/>
        <v>40765.126631944448</v>
      </c>
      <c r="U464" s="5">
        <f>VLOOKUP(currency,Tables!$A$1:$C$14,3,FALSE)*pledged</f>
        <v>0</v>
      </c>
    </row>
    <row r="465" spans="1:21" ht="43.2" x14ac:dyDescent="0.55000000000000004">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16">
        <f t="shared" si="43"/>
        <v>113.63636363636364</v>
      </c>
      <c r="Q465" t="str">
        <f t="shared" si="46"/>
        <v>film &amp; video</v>
      </c>
      <c r="R465" t="str">
        <f t="shared" si="47"/>
        <v>animation</v>
      </c>
      <c r="S465" s="4">
        <f t="shared" si="44"/>
        <v>40750.710104166668</v>
      </c>
      <c r="T465" s="4">
        <f t="shared" si="45"/>
        <v>40810.710104166668</v>
      </c>
      <c r="U465" s="5">
        <f>VLOOKUP(currency,Tables!$A$1:$C$14,3,FALSE)*pledged</f>
        <v>1250</v>
      </c>
    </row>
    <row r="466" spans="1:21" ht="28.8" x14ac:dyDescent="0.55000000000000004">
      <c r="A466">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42"/>
        <v>9.9009900990099011E-4</v>
      </c>
      <c r="P466" s="16">
        <f t="shared" si="43"/>
        <v>1</v>
      </c>
      <c r="Q466" t="str">
        <f t="shared" si="46"/>
        <v>film &amp; video</v>
      </c>
      <c r="R466" t="str">
        <f t="shared" si="47"/>
        <v>animation</v>
      </c>
      <c r="S466" s="4">
        <f t="shared" si="44"/>
        <v>42488.848784722228</v>
      </c>
      <c r="T466" s="4">
        <f t="shared" si="45"/>
        <v>42508.848784722228</v>
      </c>
      <c r="U466" s="5">
        <f>VLOOKUP(currency,Tables!$A$1:$C$14,3,FALSE)*pledged</f>
        <v>1.18</v>
      </c>
    </row>
    <row r="467" spans="1:21" x14ac:dyDescent="0.55000000000000004">
      <c r="A467">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42"/>
        <v>0.26953125</v>
      </c>
      <c r="P467" s="16">
        <f t="shared" si="43"/>
        <v>17.25</v>
      </c>
      <c r="Q467" t="str">
        <f t="shared" si="46"/>
        <v>film &amp; video</v>
      </c>
      <c r="R467" t="str">
        <f t="shared" si="47"/>
        <v>animation</v>
      </c>
      <c r="S467" s="4">
        <f t="shared" si="44"/>
        <v>41801.120069444441</v>
      </c>
      <c r="T467" s="4">
        <f t="shared" si="45"/>
        <v>41817.120069444441</v>
      </c>
      <c r="U467" s="5">
        <f>VLOOKUP(currency,Tables!$A$1:$C$14,3,FALSE)*pledged</f>
        <v>138</v>
      </c>
    </row>
    <row r="468" spans="1:21" ht="43.2" x14ac:dyDescent="0.55000000000000004">
      <c r="A468">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42"/>
        <v>7.6E-3</v>
      </c>
      <c r="P468" s="16">
        <f t="shared" si="43"/>
        <v>15.2</v>
      </c>
      <c r="Q468" t="str">
        <f t="shared" si="46"/>
        <v>film &amp; video</v>
      </c>
      <c r="R468" t="str">
        <f t="shared" si="47"/>
        <v>animation</v>
      </c>
      <c r="S468" s="4">
        <f t="shared" si="44"/>
        <v>41129.942870370374</v>
      </c>
      <c r="T468" s="4">
        <f t="shared" si="45"/>
        <v>41159.942870370374</v>
      </c>
      <c r="U468" s="5">
        <f>VLOOKUP(currency,Tables!$A$1:$C$14,3,FALSE)*pledged</f>
        <v>76</v>
      </c>
    </row>
    <row r="469" spans="1:21" ht="43.2" x14ac:dyDescent="0.55000000000000004">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42"/>
        <v>0.21575</v>
      </c>
      <c r="P469" s="16">
        <f t="shared" si="43"/>
        <v>110.64102564102564</v>
      </c>
      <c r="Q469" t="str">
        <f t="shared" si="46"/>
        <v>film &amp; video</v>
      </c>
      <c r="R469" t="str">
        <f t="shared" si="47"/>
        <v>animation</v>
      </c>
      <c r="S469" s="4">
        <f t="shared" si="44"/>
        <v>41135.679791666669</v>
      </c>
      <c r="T469" s="4">
        <f t="shared" si="45"/>
        <v>41180.679791666669</v>
      </c>
      <c r="U469" s="5">
        <f>VLOOKUP(currency,Tables!$A$1:$C$14,3,FALSE)*pledged</f>
        <v>4315</v>
      </c>
    </row>
    <row r="470" spans="1:21" ht="43.2" x14ac:dyDescent="0.55000000000000004">
      <c r="A470">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42"/>
        <v>0</v>
      </c>
      <c r="P470" s="16">
        <f t="shared" si="43"/>
        <v>0</v>
      </c>
      <c r="Q470" t="str">
        <f t="shared" si="46"/>
        <v>film &amp; video</v>
      </c>
      <c r="R470" t="str">
        <f t="shared" si="47"/>
        <v>animation</v>
      </c>
      <c r="S470" s="4">
        <f t="shared" si="44"/>
        <v>41041.167627314811</v>
      </c>
      <c r="T470" s="4">
        <f t="shared" si="45"/>
        <v>41101.160474537035</v>
      </c>
      <c r="U470" s="5">
        <f>VLOOKUP(currency,Tables!$A$1:$C$14,3,FALSE)*pledged</f>
        <v>0</v>
      </c>
    </row>
    <row r="471" spans="1:21" ht="28.8" x14ac:dyDescent="0.55000000000000004">
      <c r="A471">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42"/>
        <v>0</v>
      </c>
      <c r="P471" s="16">
        <f t="shared" si="43"/>
        <v>0</v>
      </c>
      <c r="Q471" t="str">
        <f t="shared" si="46"/>
        <v>film &amp; video</v>
      </c>
      <c r="R471" t="str">
        <f t="shared" si="47"/>
        <v>animation</v>
      </c>
      <c r="S471" s="4">
        <f t="shared" si="44"/>
        <v>41827.989861111113</v>
      </c>
      <c r="T471" s="4">
        <f t="shared" si="45"/>
        <v>41887.989861111113</v>
      </c>
      <c r="U471" s="5">
        <f>VLOOKUP(currency,Tables!$A$1:$C$14,3,FALSE)*pledged</f>
        <v>0</v>
      </c>
    </row>
    <row r="472" spans="1:21" ht="43.2" x14ac:dyDescent="0.55000000000000004">
      <c r="A472">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42"/>
        <v>1.0200000000000001E-2</v>
      </c>
      <c r="P472" s="16">
        <f t="shared" si="43"/>
        <v>25.5</v>
      </c>
      <c r="Q472" t="str">
        <f t="shared" si="46"/>
        <v>film &amp; video</v>
      </c>
      <c r="R472" t="str">
        <f t="shared" si="47"/>
        <v>animation</v>
      </c>
      <c r="S472" s="4">
        <f t="shared" si="44"/>
        <v>41605.167696759258</v>
      </c>
      <c r="T472" s="4">
        <f t="shared" si="45"/>
        <v>41655.166666666664</v>
      </c>
      <c r="U472" s="5">
        <f>VLOOKUP(currency,Tables!$A$1:$C$14,3,FALSE)*pledged</f>
        <v>51</v>
      </c>
    </row>
    <row r="473" spans="1:21" ht="57.6" x14ac:dyDescent="0.55000000000000004">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16">
        <f t="shared" si="43"/>
        <v>38.476470588235294</v>
      </c>
      <c r="Q473" t="str">
        <f t="shared" si="46"/>
        <v>film &amp; video</v>
      </c>
      <c r="R473" t="str">
        <f t="shared" si="47"/>
        <v>animation</v>
      </c>
      <c r="S473" s="4">
        <f t="shared" si="44"/>
        <v>41703.721979166665</v>
      </c>
      <c r="T473" s="4">
        <f t="shared" si="45"/>
        <v>41748.680312500001</v>
      </c>
      <c r="U473" s="5">
        <f>VLOOKUP(currency,Tables!$A$1:$C$14,3,FALSE)*pledged</f>
        <v>6541</v>
      </c>
    </row>
    <row r="474" spans="1:21" ht="43.2" x14ac:dyDescent="0.55000000000000004">
      <c r="A474">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42"/>
        <v>0.17624999999999999</v>
      </c>
      <c r="P474" s="16">
        <f t="shared" si="43"/>
        <v>28.2</v>
      </c>
      <c r="Q474" t="str">
        <f t="shared" si="46"/>
        <v>film &amp; video</v>
      </c>
      <c r="R474" t="str">
        <f t="shared" si="47"/>
        <v>animation</v>
      </c>
      <c r="S474" s="4">
        <f t="shared" si="44"/>
        <v>41844.922662037039</v>
      </c>
      <c r="T474" s="4">
        <f t="shared" si="45"/>
        <v>41874.922662037039</v>
      </c>
      <c r="U474" s="5">
        <f>VLOOKUP(currency,Tables!$A$1:$C$14,3,FALSE)*pledged</f>
        <v>141</v>
      </c>
    </row>
    <row r="475" spans="1:21" ht="43.2" x14ac:dyDescent="0.55000000000000004">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42"/>
        <v>2.87E-2</v>
      </c>
      <c r="P475" s="16">
        <f t="shared" si="43"/>
        <v>61.5</v>
      </c>
      <c r="Q475" t="str">
        <f t="shared" si="46"/>
        <v>film &amp; video</v>
      </c>
      <c r="R475" t="str">
        <f t="shared" si="47"/>
        <v>animation</v>
      </c>
      <c r="S475" s="4">
        <f t="shared" si="44"/>
        <v>41869.698136574072</v>
      </c>
      <c r="T475" s="4">
        <f t="shared" si="45"/>
        <v>41899.698136574072</v>
      </c>
      <c r="U475" s="5">
        <f>VLOOKUP(currency,Tables!$A$1:$C$14,3,FALSE)*pledged</f>
        <v>861</v>
      </c>
    </row>
    <row r="476" spans="1:21" ht="43.2" x14ac:dyDescent="0.55000000000000004">
      <c r="A476">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42"/>
        <v>3.0303030303030303E-4</v>
      </c>
      <c r="P476" s="16">
        <f t="shared" si="43"/>
        <v>1</v>
      </c>
      <c r="Q476" t="str">
        <f t="shared" si="46"/>
        <v>film &amp; video</v>
      </c>
      <c r="R476" t="str">
        <f t="shared" si="47"/>
        <v>animation</v>
      </c>
      <c r="S476" s="4">
        <f t="shared" si="44"/>
        <v>42753.329039351855</v>
      </c>
      <c r="T476" s="4">
        <f t="shared" si="45"/>
        <v>42783.329039351855</v>
      </c>
      <c r="U476" s="5">
        <f>VLOOKUP(currency,Tables!$A$1:$C$14,3,FALSE)*pledged</f>
        <v>1</v>
      </c>
    </row>
    <row r="477" spans="1:21" ht="43.2" x14ac:dyDescent="0.55000000000000004">
      <c r="A477">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42"/>
        <v>0</v>
      </c>
      <c r="P477" s="16">
        <f t="shared" si="43"/>
        <v>0</v>
      </c>
      <c r="Q477" t="str">
        <f t="shared" si="46"/>
        <v>film &amp; video</v>
      </c>
      <c r="R477" t="str">
        <f t="shared" si="47"/>
        <v>animation</v>
      </c>
      <c r="S477" s="4">
        <f t="shared" si="44"/>
        <v>42100.086145833338</v>
      </c>
      <c r="T477" s="4">
        <f t="shared" si="45"/>
        <v>42130.086145833338</v>
      </c>
      <c r="U477" s="5">
        <f>VLOOKUP(currency,Tables!$A$1:$C$14,3,FALSE)*pledged</f>
        <v>0</v>
      </c>
    </row>
    <row r="478" spans="1:21" ht="28.8" x14ac:dyDescent="0.55000000000000004">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16">
        <f t="shared" si="43"/>
        <v>39.569274193548388</v>
      </c>
      <c r="Q478" t="str">
        <f t="shared" si="46"/>
        <v>film &amp; video</v>
      </c>
      <c r="R478" t="str">
        <f t="shared" si="47"/>
        <v>animation</v>
      </c>
      <c r="S478" s="4">
        <f t="shared" si="44"/>
        <v>41757.975011574075</v>
      </c>
      <c r="T478" s="4">
        <f t="shared" si="45"/>
        <v>41793.165972222225</v>
      </c>
      <c r="U478" s="5">
        <f>VLOOKUP(currency,Tables!$A$1:$C$14,3,FALSE)*pledged</f>
        <v>4906.59</v>
      </c>
    </row>
    <row r="479" spans="1:21" ht="43.2" x14ac:dyDescent="0.55000000000000004">
      <c r="A479">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42"/>
        <v>0</v>
      </c>
      <c r="P479" s="16">
        <f t="shared" si="43"/>
        <v>0</v>
      </c>
      <c r="Q479" t="str">
        <f t="shared" si="46"/>
        <v>film &amp; video</v>
      </c>
      <c r="R479" t="str">
        <f t="shared" si="47"/>
        <v>animation</v>
      </c>
      <c r="S479" s="4">
        <f t="shared" si="44"/>
        <v>40987.83488425926</v>
      </c>
      <c r="T479" s="4">
        <f t="shared" si="45"/>
        <v>41047.83488425926</v>
      </c>
      <c r="U479" s="5">
        <f>VLOOKUP(currency,Tables!$A$1:$C$14,3,FALSE)*pledged</f>
        <v>0</v>
      </c>
    </row>
    <row r="480" spans="1:21" ht="43.2" x14ac:dyDescent="0.55000000000000004">
      <c r="A480">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42"/>
        <v>0</v>
      </c>
      <c r="P480" s="16">
        <f t="shared" si="43"/>
        <v>0</v>
      </c>
      <c r="Q480" t="str">
        <f t="shared" si="46"/>
        <v>film &amp; video</v>
      </c>
      <c r="R480" t="str">
        <f t="shared" si="47"/>
        <v>animation</v>
      </c>
      <c r="S480" s="4">
        <f t="shared" si="44"/>
        <v>42065.910983796297</v>
      </c>
      <c r="T480" s="4">
        <f t="shared" si="45"/>
        <v>42095.869317129633</v>
      </c>
      <c r="U480" s="5">
        <f>VLOOKUP(currency,Tables!$A$1:$C$14,3,FALSE)*pledged</f>
        <v>0</v>
      </c>
    </row>
    <row r="481" spans="1:21" ht="43.2" x14ac:dyDescent="0.55000000000000004">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42"/>
        <v>0.3256</v>
      </c>
      <c r="P481" s="16">
        <f t="shared" si="43"/>
        <v>88.8</v>
      </c>
      <c r="Q481" t="str">
        <f t="shared" si="46"/>
        <v>film &amp; video</v>
      </c>
      <c r="R481" t="str">
        <f t="shared" si="47"/>
        <v>animation</v>
      </c>
      <c r="S481" s="4">
        <f t="shared" si="44"/>
        <v>41904.407812500001</v>
      </c>
      <c r="T481" s="4">
        <f t="shared" si="45"/>
        <v>41964.449479166666</v>
      </c>
      <c r="U481" s="5">
        <f>VLOOKUP(currency,Tables!$A$1:$C$14,3,FALSE)*pledged</f>
        <v>4884</v>
      </c>
    </row>
    <row r="482" spans="1:21" ht="43.2" x14ac:dyDescent="0.55000000000000004">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16">
        <f t="shared" si="43"/>
        <v>55.457142857142856</v>
      </c>
      <c r="Q482" t="str">
        <f t="shared" si="46"/>
        <v>film &amp; video</v>
      </c>
      <c r="R482" t="str">
        <f t="shared" si="47"/>
        <v>animation</v>
      </c>
      <c r="S482" s="4">
        <f t="shared" si="44"/>
        <v>41465.500173611108</v>
      </c>
      <c r="T482" s="4">
        <f t="shared" si="45"/>
        <v>41495.500173611108</v>
      </c>
      <c r="U482" s="5">
        <f>VLOOKUP(currency,Tables!$A$1:$C$14,3,FALSE)*pledged</f>
        <v>7764</v>
      </c>
    </row>
    <row r="483" spans="1:21" ht="43.2" x14ac:dyDescent="0.55000000000000004">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16">
        <f t="shared" si="43"/>
        <v>87.142857142857139</v>
      </c>
      <c r="Q483" t="str">
        <f t="shared" si="46"/>
        <v>film &amp; video</v>
      </c>
      <c r="R483" t="str">
        <f t="shared" si="47"/>
        <v>animation</v>
      </c>
      <c r="S483" s="4">
        <f t="shared" si="44"/>
        <v>41162.672326388885</v>
      </c>
      <c r="T483" s="4">
        <f t="shared" si="45"/>
        <v>41192.672326388885</v>
      </c>
      <c r="U483" s="5">
        <f>VLOOKUP(currency,Tables!$A$1:$C$14,3,FALSE)*pledged</f>
        <v>1830</v>
      </c>
    </row>
    <row r="484" spans="1:21" ht="43.2" x14ac:dyDescent="0.55000000000000004">
      <c r="A484">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42"/>
        <v>1E-3</v>
      </c>
      <c r="P484" s="16">
        <f t="shared" si="43"/>
        <v>10</v>
      </c>
      <c r="Q484" t="str">
        <f t="shared" si="46"/>
        <v>film &amp; video</v>
      </c>
      <c r="R484" t="str">
        <f t="shared" si="47"/>
        <v>animation</v>
      </c>
      <c r="S484" s="4">
        <f t="shared" si="44"/>
        <v>42447.896875000006</v>
      </c>
      <c r="T484" s="4">
        <f t="shared" si="45"/>
        <v>42474.606944444444</v>
      </c>
      <c r="U484" s="5">
        <f>VLOOKUP(currency,Tables!$A$1:$C$14,3,FALSE)*pledged</f>
        <v>10</v>
      </c>
    </row>
    <row r="485" spans="1:21" ht="43.2" x14ac:dyDescent="0.55000000000000004">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42"/>
        <v>0.502</v>
      </c>
      <c r="P485" s="16">
        <f t="shared" si="43"/>
        <v>51.224489795918366</v>
      </c>
      <c r="Q485" t="str">
        <f t="shared" si="46"/>
        <v>film &amp; video</v>
      </c>
      <c r="R485" t="str">
        <f t="shared" si="47"/>
        <v>animation</v>
      </c>
      <c r="S485" s="4">
        <f t="shared" si="44"/>
        <v>41243.197592592594</v>
      </c>
      <c r="T485" s="4">
        <f t="shared" si="45"/>
        <v>41303.197592592594</v>
      </c>
      <c r="U485" s="5">
        <f>VLOOKUP(currency,Tables!$A$1:$C$14,3,FALSE)*pledged</f>
        <v>9939.6</v>
      </c>
    </row>
    <row r="486" spans="1:21" ht="57.6" x14ac:dyDescent="0.55000000000000004">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42"/>
        <v>1.8625E-3</v>
      </c>
      <c r="P486" s="16">
        <f t="shared" si="43"/>
        <v>13.545454545454545</v>
      </c>
      <c r="Q486" t="str">
        <f t="shared" si="46"/>
        <v>film &amp; video</v>
      </c>
      <c r="R486" t="str">
        <f t="shared" si="47"/>
        <v>animation</v>
      </c>
      <c r="S486" s="4">
        <f t="shared" si="44"/>
        <v>42272.93949074074</v>
      </c>
      <c r="T486" s="4">
        <f t="shared" si="45"/>
        <v>42313.981157407412</v>
      </c>
      <c r="U486" s="5">
        <f>VLOOKUP(currency,Tables!$A$1:$C$14,3,FALSE)*pledged</f>
        <v>196.68</v>
      </c>
    </row>
    <row r="487" spans="1:21" ht="28.8" x14ac:dyDescent="0.55000000000000004">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16">
        <f t="shared" si="43"/>
        <v>66.520080000000007</v>
      </c>
      <c r="Q487" t="str">
        <f t="shared" si="46"/>
        <v>film &amp; video</v>
      </c>
      <c r="R487" t="str">
        <f t="shared" si="47"/>
        <v>animation</v>
      </c>
      <c r="S487" s="4">
        <f t="shared" si="44"/>
        <v>41381.50577546296</v>
      </c>
      <c r="T487" s="4">
        <f t="shared" si="45"/>
        <v>41411.50577546296</v>
      </c>
      <c r="U487" s="5">
        <f>VLOOKUP(currency,Tables!$A$1:$C$14,3,FALSE)*pledged</f>
        <v>10975.813200000001</v>
      </c>
    </row>
    <row r="488" spans="1:21" ht="43.2" x14ac:dyDescent="0.55000000000000004">
      <c r="A488">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16">
        <f t="shared" si="43"/>
        <v>50</v>
      </c>
      <c r="Q488" t="str">
        <f t="shared" si="46"/>
        <v>film &amp; video</v>
      </c>
      <c r="R488" t="str">
        <f t="shared" si="47"/>
        <v>animation</v>
      </c>
      <c r="S488" s="4">
        <f t="shared" si="44"/>
        <v>41761.94258101852</v>
      </c>
      <c r="T488" s="4">
        <f t="shared" si="45"/>
        <v>41791.94258101852</v>
      </c>
      <c r="U488" s="5">
        <f>VLOOKUP(currency,Tables!$A$1:$C$14,3,FALSE)*pledged</f>
        <v>36.5</v>
      </c>
    </row>
    <row r="489" spans="1:21" ht="43.2" x14ac:dyDescent="0.55000000000000004">
      <c r="A489">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42"/>
        <v>0</v>
      </c>
      <c r="P489" s="16">
        <f t="shared" si="43"/>
        <v>0</v>
      </c>
      <c r="Q489" t="str">
        <f t="shared" si="46"/>
        <v>film &amp; video</v>
      </c>
      <c r="R489" t="str">
        <f t="shared" si="47"/>
        <v>animation</v>
      </c>
      <c r="S489" s="4">
        <f t="shared" si="44"/>
        <v>42669.594837962963</v>
      </c>
      <c r="T489" s="4">
        <f t="shared" si="45"/>
        <v>42729.636504629627</v>
      </c>
      <c r="U489" s="5">
        <f>VLOOKUP(currency,Tables!$A$1:$C$14,3,FALSE)*pledged</f>
        <v>0</v>
      </c>
    </row>
    <row r="490" spans="1:21" ht="43.2" x14ac:dyDescent="0.55000000000000004">
      <c r="A490">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42"/>
        <v>0</v>
      </c>
      <c r="P490" s="16">
        <f t="shared" si="43"/>
        <v>0</v>
      </c>
      <c r="Q490" t="str">
        <f t="shared" si="46"/>
        <v>film &amp; video</v>
      </c>
      <c r="R490" t="str">
        <f t="shared" si="47"/>
        <v>animation</v>
      </c>
      <c r="S490" s="4">
        <f t="shared" si="44"/>
        <v>42714.054398148146</v>
      </c>
      <c r="T490" s="4">
        <f t="shared" si="45"/>
        <v>42744.054398148146</v>
      </c>
      <c r="U490" s="5">
        <f>VLOOKUP(currency,Tables!$A$1:$C$14,3,FALSE)*pledged</f>
        <v>0</v>
      </c>
    </row>
    <row r="491" spans="1:21" ht="43.2" x14ac:dyDescent="0.55000000000000004">
      <c r="A491">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16">
        <f t="shared" si="43"/>
        <v>71.666666666666671</v>
      </c>
      <c r="Q491" t="str">
        <f t="shared" si="46"/>
        <v>film &amp; video</v>
      </c>
      <c r="R491" t="str">
        <f t="shared" si="47"/>
        <v>animation</v>
      </c>
      <c r="S491" s="4">
        <f t="shared" si="44"/>
        <v>40882.481666666667</v>
      </c>
      <c r="T491" s="4">
        <f t="shared" si="45"/>
        <v>40913.481249999997</v>
      </c>
      <c r="U491" s="5">
        <f>VLOOKUP(currency,Tables!$A$1:$C$14,3,FALSE)*pledged</f>
        <v>215</v>
      </c>
    </row>
    <row r="492" spans="1:21" x14ac:dyDescent="0.55000000000000004">
      <c r="A492">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42"/>
        <v>0</v>
      </c>
      <c r="P492" s="16">
        <f t="shared" si="43"/>
        <v>0</v>
      </c>
      <c r="Q492" t="str">
        <f t="shared" si="46"/>
        <v>film &amp; video</v>
      </c>
      <c r="R492" t="str">
        <f t="shared" si="47"/>
        <v>animation</v>
      </c>
      <c r="S492" s="4">
        <f t="shared" si="44"/>
        <v>41113.968576388892</v>
      </c>
      <c r="T492" s="4">
        <f t="shared" si="45"/>
        <v>41143.968576388892</v>
      </c>
      <c r="U492" s="5">
        <f>VLOOKUP(currency,Tables!$A$1:$C$14,3,FALSE)*pledged</f>
        <v>0</v>
      </c>
    </row>
    <row r="493" spans="1:21" ht="43.2" x14ac:dyDescent="0.55000000000000004">
      <c r="A49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42"/>
        <v>0</v>
      </c>
      <c r="P493" s="16">
        <f t="shared" si="43"/>
        <v>0</v>
      </c>
      <c r="Q493" t="str">
        <f t="shared" si="46"/>
        <v>film &amp; video</v>
      </c>
      <c r="R493" t="str">
        <f t="shared" si="47"/>
        <v>animation</v>
      </c>
      <c r="S493" s="4">
        <f t="shared" si="44"/>
        <v>42366.982627314821</v>
      </c>
      <c r="T493" s="4">
        <f t="shared" si="45"/>
        <v>42396.982627314821</v>
      </c>
      <c r="U493" s="5">
        <f>VLOOKUP(currency,Tables!$A$1:$C$14,3,FALSE)*pledged</f>
        <v>0</v>
      </c>
    </row>
    <row r="494" spans="1:21" ht="43.2" x14ac:dyDescent="0.55000000000000004">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42"/>
        <v>0</v>
      </c>
      <c r="P494" s="16">
        <f t="shared" si="43"/>
        <v>0</v>
      </c>
      <c r="Q494" t="str">
        <f t="shared" si="46"/>
        <v>film &amp; video</v>
      </c>
      <c r="R494" t="str">
        <f t="shared" si="47"/>
        <v>animation</v>
      </c>
      <c r="S494" s="4">
        <f t="shared" si="44"/>
        <v>42596.03506944445</v>
      </c>
      <c r="T494" s="4">
        <f t="shared" si="45"/>
        <v>42656.03506944445</v>
      </c>
      <c r="U494" s="5">
        <f>VLOOKUP(currency,Tables!$A$1:$C$14,3,FALSE)*pledged</f>
        <v>0</v>
      </c>
    </row>
    <row r="495" spans="1:21" ht="43.2" x14ac:dyDescent="0.55000000000000004">
      <c r="A495">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42"/>
        <v>0</v>
      </c>
      <c r="P495" s="16">
        <f t="shared" si="43"/>
        <v>0</v>
      </c>
      <c r="Q495" t="str">
        <f t="shared" si="46"/>
        <v>film &amp; video</v>
      </c>
      <c r="R495" t="str">
        <f t="shared" si="47"/>
        <v>animation</v>
      </c>
      <c r="S495" s="4">
        <f t="shared" si="44"/>
        <v>42114.726134259254</v>
      </c>
      <c r="T495" s="4">
        <f t="shared" si="45"/>
        <v>42144.726134259254</v>
      </c>
      <c r="U495" s="5">
        <f>VLOOKUP(currency,Tables!$A$1:$C$14,3,FALSE)*pledged</f>
        <v>0</v>
      </c>
    </row>
    <row r="496" spans="1:21" ht="43.2" x14ac:dyDescent="0.55000000000000004">
      <c r="A496">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42"/>
        <v>1.5499999999999999E-3</v>
      </c>
      <c r="P496" s="16">
        <f t="shared" si="43"/>
        <v>10.333333333333334</v>
      </c>
      <c r="Q496" t="str">
        <f t="shared" si="46"/>
        <v>film &amp; video</v>
      </c>
      <c r="R496" t="str">
        <f t="shared" si="47"/>
        <v>animation</v>
      </c>
      <c r="S496" s="4">
        <f t="shared" si="44"/>
        <v>41799.830613425926</v>
      </c>
      <c r="T496" s="4">
        <f t="shared" si="45"/>
        <v>41823.125</v>
      </c>
      <c r="U496" s="5">
        <f>VLOOKUP(currency,Tables!$A$1:$C$14,3,FALSE)*pledged</f>
        <v>31</v>
      </c>
    </row>
    <row r="497" spans="1:21" ht="43.2" x14ac:dyDescent="0.55000000000000004">
      <c r="A497">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42"/>
        <v>0</v>
      </c>
      <c r="P497" s="16">
        <f t="shared" si="43"/>
        <v>0</v>
      </c>
      <c r="Q497" t="str">
        <f t="shared" si="46"/>
        <v>film &amp; video</v>
      </c>
      <c r="R497" t="str">
        <f t="shared" si="47"/>
        <v>animation</v>
      </c>
      <c r="S497" s="4">
        <f t="shared" si="44"/>
        <v>42171.827604166669</v>
      </c>
      <c r="T497" s="4">
        <f t="shared" si="45"/>
        <v>42201.827604166669</v>
      </c>
      <c r="U497" s="5">
        <f>VLOOKUP(currency,Tables!$A$1:$C$14,3,FALSE)*pledged</f>
        <v>0</v>
      </c>
    </row>
    <row r="498" spans="1:21" ht="28.8" x14ac:dyDescent="0.55000000000000004">
      <c r="A498">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42"/>
        <v>1.6666666666666667E-5</v>
      </c>
      <c r="P498" s="16">
        <f t="shared" si="43"/>
        <v>1</v>
      </c>
      <c r="Q498" t="str">
        <f t="shared" si="46"/>
        <v>film &amp; video</v>
      </c>
      <c r="R498" t="str">
        <f t="shared" si="47"/>
        <v>animation</v>
      </c>
      <c r="S498" s="4">
        <f t="shared" si="44"/>
        <v>41620.93141203704</v>
      </c>
      <c r="T498" s="4">
        <f t="shared" si="45"/>
        <v>41680.93141203704</v>
      </c>
      <c r="U498" s="5">
        <f>VLOOKUP(currency,Tables!$A$1:$C$14,3,FALSE)*pledged</f>
        <v>1</v>
      </c>
    </row>
    <row r="499" spans="1:21" x14ac:dyDescent="0.55000000000000004">
      <c r="A499">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42"/>
        <v>6.6964285714285711E-3</v>
      </c>
      <c r="P499" s="16">
        <f t="shared" si="43"/>
        <v>10</v>
      </c>
      <c r="Q499" t="str">
        <f t="shared" si="46"/>
        <v>film &amp; video</v>
      </c>
      <c r="R499" t="str">
        <f t="shared" si="47"/>
        <v>animation</v>
      </c>
      <c r="S499" s="4">
        <f t="shared" si="44"/>
        <v>41945.037789351853</v>
      </c>
      <c r="T499" s="4">
        <f t="shared" si="45"/>
        <v>41998.208333333328</v>
      </c>
      <c r="U499" s="5">
        <f>VLOOKUP(currency,Tables!$A$1:$C$14,3,FALSE)*pledged</f>
        <v>30</v>
      </c>
    </row>
    <row r="500" spans="1:21" ht="43.2" x14ac:dyDescent="0.55000000000000004">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16">
        <f t="shared" si="43"/>
        <v>136.09090909090909</v>
      </c>
      <c r="Q500" t="str">
        <f t="shared" si="46"/>
        <v>film &amp; video</v>
      </c>
      <c r="R500" t="str">
        <f t="shared" si="47"/>
        <v>animation</v>
      </c>
      <c r="S500" s="4">
        <f t="shared" si="44"/>
        <v>40858.762141203704</v>
      </c>
      <c r="T500" s="4">
        <f t="shared" si="45"/>
        <v>40900.762141203704</v>
      </c>
      <c r="U500" s="5">
        <f>VLOOKUP(currency,Tables!$A$1:$C$14,3,FALSE)*pledged</f>
        <v>2994</v>
      </c>
    </row>
    <row r="501" spans="1:21" ht="57.6" x14ac:dyDescent="0.55000000000000004">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16">
        <f t="shared" si="43"/>
        <v>73.461538461538467</v>
      </c>
      <c r="Q501" t="str">
        <f t="shared" si="46"/>
        <v>film &amp; video</v>
      </c>
      <c r="R501" t="str">
        <f t="shared" si="47"/>
        <v>animation</v>
      </c>
      <c r="S501" s="4">
        <f t="shared" si="44"/>
        <v>40043.895462962959</v>
      </c>
      <c r="T501" s="4">
        <f t="shared" si="45"/>
        <v>40098.874305555553</v>
      </c>
      <c r="U501" s="5">
        <f>VLOOKUP(currency,Tables!$A$1:$C$14,3,FALSE)*pledged</f>
        <v>1910</v>
      </c>
    </row>
    <row r="502" spans="1:21" ht="57.6" x14ac:dyDescent="0.55000000000000004">
      <c r="A502">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42"/>
        <v>3.307692307692308E-2</v>
      </c>
      <c r="P502" s="16">
        <f t="shared" si="43"/>
        <v>53.75</v>
      </c>
      <c r="Q502" t="str">
        <f t="shared" si="46"/>
        <v>film &amp; video</v>
      </c>
      <c r="R502" t="str">
        <f t="shared" si="47"/>
        <v>animation</v>
      </c>
      <c r="S502" s="4">
        <f t="shared" si="44"/>
        <v>40247.886006944449</v>
      </c>
      <c r="T502" s="4">
        <f t="shared" si="45"/>
        <v>40306.927777777775</v>
      </c>
      <c r="U502" s="5">
        <f>VLOOKUP(currency,Tables!$A$1:$C$14,3,FALSE)*pledged</f>
        <v>215</v>
      </c>
    </row>
    <row r="503" spans="1:21" ht="43.2" x14ac:dyDescent="0.55000000000000004">
      <c r="A50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42"/>
        <v>0</v>
      </c>
      <c r="P503" s="16">
        <f t="shared" si="43"/>
        <v>0</v>
      </c>
      <c r="Q503" t="str">
        <f t="shared" si="46"/>
        <v>film &amp; video</v>
      </c>
      <c r="R503" t="str">
        <f t="shared" si="47"/>
        <v>animation</v>
      </c>
      <c r="S503" s="4">
        <f t="shared" si="44"/>
        <v>40703.234386574077</v>
      </c>
      <c r="T503" s="4">
        <f t="shared" si="45"/>
        <v>40733.234386574077</v>
      </c>
      <c r="U503" s="5">
        <f>VLOOKUP(currency,Tables!$A$1:$C$14,3,FALSE)*pledged</f>
        <v>0</v>
      </c>
    </row>
    <row r="504" spans="1:21" ht="43.2" x14ac:dyDescent="0.55000000000000004">
      <c r="A504">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42"/>
        <v>1.15E-2</v>
      </c>
      <c r="P504" s="16">
        <f t="shared" si="43"/>
        <v>57.5</v>
      </c>
      <c r="Q504" t="str">
        <f t="shared" si="46"/>
        <v>film &amp; video</v>
      </c>
      <c r="R504" t="str">
        <f t="shared" si="47"/>
        <v>animation</v>
      </c>
      <c r="S504" s="4">
        <f t="shared" si="44"/>
        <v>40956.553530092591</v>
      </c>
      <c r="T504" s="4">
        <f t="shared" si="45"/>
        <v>40986.511863425927</v>
      </c>
      <c r="U504" s="5">
        <f>VLOOKUP(currency,Tables!$A$1:$C$14,3,FALSE)*pledged</f>
        <v>230</v>
      </c>
    </row>
    <row r="505" spans="1:21" ht="43.2" x14ac:dyDescent="0.55000000000000004">
      <c r="A505">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42"/>
        <v>1.7538461538461537E-2</v>
      </c>
      <c r="P505" s="16">
        <f t="shared" si="43"/>
        <v>12.666666666666666</v>
      </c>
      <c r="Q505" t="str">
        <f t="shared" si="46"/>
        <v>film &amp; video</v>
      </c>
      <c r="R505" t="str">
        <f t="shared" si="47"/>
        <v>animation</v>
      </c>
      <c r="S505" s="4">
        <f t="shared" si="44"/>
        <v>41991.526655092588</v>
      </c>
      <c r="T505" s="4">
        <f t="shared" si="45"/>
        <v>42021.526655092588</v>
      </c>
      <c r="U505" s="5">
        <f>VLOOKUP(currency,Tables!$A$1:$C$14,3,FALSE)*pledged</f>
        <v>150.48000000000002</v>
      </c>
    </row>
    <row r="506" spans="1:21" ht="43.2" x14ac:dyDescent="0.55000000000000004">
      <c r="A506">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16">
        <f t="shared" si="43"/>
        <v>67</v>
      </c>
      <c r="Q506" t="str">
        <f t="shared" si="46"/>
        <v>film &amp; video</v>
      </c>
      <c r="R506" t="str">
        <f t="shared" si="47"/>
        <v>animation</v>
      </c>
      <c r="S506" s="4">
        <f t="shared" si="44"/>
        <v>40949.98364583333</v>
      </c>
      <c r="T506" s="4">
        <f t="shared" si="45"/>
        <v>41009.941979166666</v>
      </c>
      <c r="U506" s="5">
        <f>VLOOKUP(currency,Tables!$A$1:$C$14,3,FALSE)*pledged</f>
        <v>335</v>
      </c>
    </row>
    <row r="507" spans="1:21" ht="43.2" x14ac:dyDescent="0.55000000000000004">
      <c r="A507">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16">
        <f t="shared" si="43"/>
        <v>3.7142857142857144</v>
      </c>
      <c r="Q507" t="str">
        <f t="shared" si="46"/>
        <v>film &amp; video</v>
      </c>
      <c r="R507" t="str">
        <f t="shared" si="47"/>
        <v>animation</v>
      </c>
      <c r="S507" s="4">
        <f t="shared" si="44"/>
        <v>42318.098217592589</v>
      </c>
      <c r="T507" s="4">
        <f t="shared" si="45"/>
        <v>42363.098217592589</v>
      </c>
      <c r="U507" s="5">
        <f>VLOOKUP(currency,Tables!$A$1:$C$14,3,FALSE)*pledged</f>
        <v>52</v>
      </c>
    </row>
    <row r="508" spans="1:21" ht="43.2" x14ac:dyDescent="0.55000000000000004">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42"/>
        <v>1.25E-3</v>
      </c>
      <c r="P508" s="16">
        <f t="shared" si="43"/>
        <v>250</v>
      </c>
      <c r="Q508" t="str">
        <f t="shared" si="46"/>
        <v>film &amp; video</v>
      </c>
      <c r="R508" t="str">
        <f t="shared" si="47"/>
        <v>animation</v>
      </c>
      <c r="S508" s="4">
        <f t="shared" si="44"/>
        <v>41466.552314814813</v>
      </c>
      <c r="T508" s="4">
        <f t="shared" si="45"/>
        <v>41496.552314814813</v>
      </c>
      <c r="U508" s="5">
        <f>VLOOKUP(currency,Tables!$A$1:$C$14,3,FALSE)*pledged</f>
        <v>250</v>
      </c>
    </row>
    <row r="509" spans="1:21" ht="43.2" x14ac:dyDescent="0.55000000000000004">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16">
        <f t="shared" si="43"/>
        <v>64</v>
      </c>
      <c r="Q509" t="str">
        <f t="shared" si="46"/>
        <v>film &amp; video</v>
      </c>
      <c r="R509" t="str">
        <f t="shared" si="47"/>
        <v>animation</v>
      </c>
      <c r="S509" s="4">
        <f t="shared" si="44"/>
        <v>41156.958993055552</v>
      </c>
      <c r="T509" s="4">
        <f t="shared" si="45"/>
        <v>41201.958993055552</v>
      </c>
      <c r="U509" s="5">
        <f>VLOOKUP(currency,Tables!$A$1:$C$14,3,FALSE)*pledged</f>
        <v>640</v>
      </c>
    </row>
    <row r="510" spans="1:21" ht="57.6" x14ac:dyDescent="0.55000000000000004">
      <c r="A510">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16">
        <f t="shared" si="43"/>
        <v>133.33333333333334</v>
      </c>
      <c r="Q510" t="str">
        <f t="shared" si="46"/>
        <v>film &amp; video</v>
      </c>
      <c r="R510" t="str">
        <f t="shared" si="47"/>
        <v>animation</v>
      </c>
      <c r="S510" s="4">
        <f t="shared" si="44"/>
        <v>40995.024317129632</v>
      </c>
      <c r="T510" s="4">
        <f t="shared" si="45"/>
        <v>41054.593055555553</v>
      </c>
      <c r="U510" s="5">
        <f>VLOOKUP(currency,Tables!$A$1:$C$14,3,FALSE)*pledged</f>
        <v>400</v>
      </c>
    </row>
    <row r="511" spans="1:21" ht="43.2" x14ac:dyDescent="0.55000000000000004">
      <c r="A511">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42"/>
        <v>2E-3</v>
      </c>
      <c r="P511" s="16">
        <f t="shared" si="43"/>
        <v>10</v>
      </c>
      <c r="Q511" t="str">
        <f t="shared" si="46"/>
        <v>film &amp; video</v>
      </c>
      <c r="R511" t="str">
        <f t="shared" si="47"/>
        <v>animation</v>
      </c>
      <c r="S511" s="4">
        <f t="shared" si="44"/>
        <v>42153.631597222222</v>
      </c>
      <c r="T511" s="4">
        <f t="shared" si="45"/>
        <v>42183.631597222222</v>
      </c>
      <c r="U511" s="5">
        <f>VLOOKUP(currency,Tables!$A$1:$C$14,3,FALSE)*pledged</f>
        <v>13.200000000000001</v>
      </c>
    </row>
    <row r="512" spans="1:21" ht="43.2" x14ac:dyDescent="0.55000000000000004">
      <c r="A512">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42"/>
        <v>0</v>
      </c>
      <c r="P512" s="16">
        <f t="shared" si="43"/>
        <v>0</v>
      </c>
      <c r="Q512" t="str">
        <f t="shared" si="46"/>
        <v>film &amp; video</v>
      </c>
      <c r="R512" t="str">
        <f t="shared" si="47"/>
        <v>animation</v>
      </c>
      <c r="S512" s="4">
        <f t="shared" si="44"/>
        <v>42400.176377314812</v>
      </c>
      <c r="T512" s="4">
        <f t="shared" si="45"/>
        <v>42430.176377314812</v>
      </c>
      <c r="U512" s="5">
        <f>VLOOKUP(currency,Tables!$A$1:$C$14,3,FALSE)*pledged</f>
        <v>0</v>
      </c>
    </row>
    <row r="513" spans="1:21" ht="43.2" x14ac:dyDescent="0.55000000000000004">
      <c r="A51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42"/>
        <v>0.03</v>
      </c>
      <c r="P513" s="16">
        <f t="shared" si="43"/>
        <v>30</v>
      </c>
      <c r="Q513" t="str">
        <f t="shared" si="46"/>
        <v>film &amp; video</v>
      </c>
      <c r="R513" t="str">
        <f t="shared" si="47"/>
        <v>animation</v>
      </c>
      <c r="S513" s="4">
        <f t="shared" si="44"/>
        <v>41340.303032407406</v>
      </c>
      <c r="T513" s="4">
        <f t="shared" si="45"/>
        <v>41370.261365740742</v>
      </c>
      <c r="U513" s="5">
        <f>VLOOKUP(currency,Tables!$A$1:$C$14,3,FALSE)*pledged</f>
        <v>150</v>
      </c>
    </row>
    <row r="514" spans="1:21" ht="43.2" x14ac:dyDescent="0.55000000000000004">
      <c r="A514">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ref="O514:O577" si="48">pledged/goal</f>
        <v>1.3749999999999999E-3</v>
      </c>
      <c r="P514" s="16">
        <f t="shared" ref="P514:P577" si="49">IF(pledged=0,0,pledged/backers_count)</f>
        <v>5.5</v>
      </c>
      <c r="Q514" t="str">
        <f t="shared" si="46"/>
        <v>film &amp; video</v>
      </c>
      <c r="R514" t="str">
        <f t="shared" si="47"/>
        <v>animation</v>
      </c>
      <c r="S514" s="4">
        <f t="shared" ref="S514:S577" si="50">(((Unix_launched_date/60)/60)/24)+DATE(1970,1,1)</f>
        <v>42649.742210648154</v>
      </c>
      <c r="T514" s="4">
        <f t="shared" ref="T514:T577" si="51">(((Unix_deadline/60)/60)/24)+DATE(1970,1,1)</f>
        <v>42694.783877314811</v>
      </c>
      <c r="U514" s="5">
        <f>VLOOKUP(currency,Tables!$A$1:$C$14,3,FALSE)*pledged</f>
        <v>11</v>
      </c>
    </row>
    <row r="515" spans="1:21" ht="28.8" x14ac:dyDescent="0.55000000000000004">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si="48"/>
        <v>0.13924</v>
      </c>
      <c r="P515" s="16">
        <f t="shared" si="49"/>
        <v>102.38235294117646</v>
      </c>
      <c r="Q515" t="str">
        <f t="shared" ref="Q515:Q578" si="52">LEFT(N515,FIND("/",N515,1)-1)</f>
        <v>film &amp; video</v>
      </c>
      <c r="R515" t="str">
        <f t="shared" ref="R515:R578" si="53">RIGHT(N515,(LEN(N515)-FIND("/",N515,1)))</f>
        <v>animation</v>
      </c>
      <c r="S515" s="4">
        <f t="shared" si="50"/>
        <v>42552.653993055559</v>
      </c>
      <c r="T515" s="4">
        <f t="shared" si="51"/>
        <v>42597.291666666672</v>
      </c>
      <c r="U515" s="5">
        <f>VLOOKUP(currency,Tables!$A$1:$C$14,3,FALSE)*pledged</f>
        <v>6962</v>
      </c>
    </row>
    <row r="516" spans="1:21" ht="43.2" x14ac:dyDescent="0.55000000000000004">
      <c r="A516">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48"/>
        <v>3.3333333333333333E-2</v>
      </c>
      <c r="P516" s="16">
        <f t="shared" si="49"/>
        <v>16.666666666666668</v>
      </c>
      <c r="Q516" t="str">
        <f t="shared" si="52"/>
        <v>film &amp; video</v>
      </c>
      <c r="R516" t="str">
        <f t="shared" si="53"/>
        <v>animation</v>
      </c>
      <c r="S516" s="4">
        <f t="shared" si="50"/>
        <v>41830.613969907405</v>
      </c>
      <c r="T516" s="4">
        <f t="shared" si="51"/>
        <v>41860.613969907405</v>
      </c>
      <c r="U516" s="5">
        <f>VLOOKUP(currency,Tables!$A$1:$C$14,3,FALSE)*pledged</f>
        <v>38</v>
      </c>
    </row>
    <row r="517" spans="1:21" ht="43.2" x14ac:dyDescent="0.55000000000000004">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16">
        <f t="shared" si="49"/>
        <v>725.02941176470586</v>
      </c>
      <c r="Q517" t="str">
        <f t="shared" si="52"/>
        <v>film &amp; video</v>
      </c>
      <c r="R517" t="str">
        <f t="shared" si="53"/>
        <v>animation</v>
      </c>
      <c r="S517" s="4">
        <f t="shared" si="50"/>
        <v>42327.490752314814</v>
      </c>
      <c r="T517" s="4">
        <f t="shared" si="51"/>
        <v>42367.490752314814</v>
      </c>
      <c r="U517" s="5">
        <f>VLOOKUP(currency,Tables!$A$1:$C$14,3,FALSE)*pledged</f>
        <v>24651</v>
      </c>
    </row>
    <row r="518" spans="1:21" ht="28.8" x14ac:dyDescent="0.55000000000000004">
      <c r="A518">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48"/>
        <v>0</v>
      </c>
      <c r="P518" s="16">
        <f t="shared" si="49"/>
        <v>0</v>
      </c>
      <c r="Q518" t="str">
        <f t="shared" si="52"/>
        <v>film &amp; video</v>
      </c>
      <c r="R518" t="str">
        <f t="shared" si="53"/>
        <v>animation</v>
      </c>
      <c r="S518" s="4">
        <f t="shared" si="50"/>
        <v>42091.778703703705</v>
      </c>
      <c r="T518" s="4">
        <f t="shared" si="51"/>
        <v>42151.778703703705</v>
      </c>
      <c r="U518" s="5">
        <f>VLOOKUP(currency,Tables!$A$1:$C$14,3,FALSE)*pledged</f>
        <v>0</v>
      </c>
    </row>
    <row r="519" spans="1:21" ht="43.2" x14ac:dyDescent="0.55000000000000004">
      <c r="A519">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16">
        <f t="shared" si="49"/>
        <v>68.333333333333329</v>
      </c>
      <c r="Q519" t="str">
        <f t="shared" si="52"/>
        <v>film &amp; video</v>
      </c>
      <c r="R519" t="str">
        <f t="shared" si="53"/>
        <v>animation</v>
      </c>
      <c r="S519" s="4">
        <f t="shared" si="50"/>
        <v>42738.615289351852</v>
      </c>
      <c r="T519" s="4">
        <f t="shared" si="51"/>
        <v>42768.615289351852</v>
      </c>
      <c r="U519" s="5">
        <f>VLOOKUP(currency,Tables!$A$1:$C$14,3,FALSE)*pledged</f>
        <v>205</v>
      </c>
    </row>
    <row r="520" spans="1:21" ht="43.2" x14ac:dyDescent="0.55000000000000004">
      <c r="A520">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48"/>
        <v>0</v>
      </c>
      <c r="P520" s="16">
        <f t="shared" si="49"/>
        <v>0</v>
      </c>
      <c r="Q520" t="str">
        <f t="shared" si="52"/>
        <v>film &amp; video</v>
      </c>
      <c r="R520" t="str">
        <f t="shared" si="53"/>
        <v>animation</v>
      </c>
      <c r="S520" s="4">
        <f t="shared" si="50"/>
        <v>42223.616018518514</v>
      </c>
      <c r="T520" s="4">
        <f t="shared" si="51"/>
        <v>42253.615277777775</v>
      </c>
      <c r="U520" s="5">
        <f>VLOOKUP(currency,Tables!$A$1:$C$14,3,FALSE)*pledged</f>
        <v>0</v>
      </c>
    </row>
    <row r="521" spans="1:21" ht="43.2" x14ac:dyDescent="0.55000000000000004">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16">
        <f t="shared" si="49"/>
        <v>39.228571428571428</v>
      </c>
      <c r="Q521" t="str">
        <f t="shared" si="52"/>
        <v>film &amp; video</v>
      </c>
      <c r="R521" t="str">
        <f t="shared" si="53"/>
        <v>animation</v>
      </c>
      <c r="S521" s="4">
        <f t="shared" si="50"/>
        <v>41218.391446759262</v>
      </c>
      <c r="T521" s="4">
        <f t="shared" si="51"/>
        <v>41248.391446759262</v>
      </c>
      <c r="U521" s="5">
        <f>VLOOKUP(currency,Tables!$A$1:$C$14,3,FALSE)*pledged</f>
        <v>2746</v>
      </c>
    </row>
    <row r="522" spans="1:21" ht="43.2" x14ac:dyDescent="0.55000000000000004">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48"/>
        <v>1.0209999999999999</v>
      </c>
      <c r="P522" s="16">
        <f t="shared" si="49"/>
        <v>150.14705882352942</v>
      </c>
      <c r="Q522" t="str">
        <f t="shared" si="52"/>
        <v>theater</v>
      </c>
      <c r="R522" t="str">
        <f t="shared" si="53"/>
        <v>plays</v>
      </c>
      <c r="S522" s="4">
        <f t="shared" si="50"/>
        <v>42318.702094907407</v>
      </c>
      <c r="T522" s="4">
        <f t="shared" si="51"/>
        <v>42348.702094907407</v>
      </c>
      <c r="U522" s="5">
        <f>VLOOKUP(currency,Tables!$A$1:$C$14,3,FALSE)*pledged</f>
        <v>6738.6</v>
      </c>
    </row>
    <row r="523" spans="1:21" ht="43.2" x14ac:dyDescent="0.55000000000000004">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48"/>
        <v>1.0464</v>
      </c>
      <c r="P523" s="16">
        <f t="shared" si="49"/>
        <v>93.428571428571431</v>
      </c>
      <c r="Q523" t="str">
        <f t="shared" si="52"/>
        <v>theater</v>
      </c>
      <c r="R523" t="str">
        <f t="shared" si="53"/>
        <v>plays</v>
      </c>
      <c r="S523" s="4">
        <f t="shared" si="50"/>
        <v>42646.092812499999</v>
      </c>
      <c r="T523" s="4">
        <f t="shared" si="51"/>
        <v>42675.207638888889</v>
      </c>
      <c r="U523" s="5">
        <f>VLOOKUP(currency,Tables!$A$1:$C$14,3,FALSE)*pledged</f>
        <v>5232</v>
      </c>
    </row>
    <row r="524" spans="1:21" ht="43.2" x14ac:dyDescent="0.55000000000000004">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48"/>
        <v>1.1466666666666667</v>
      </c>
      <c r="P524" s="16">
        <f t="shared" si="49"/>
        <v>110.96774193548387</v>
      </c>
      <c r="Q524" t="str">
        <f t="shared" si="52"/>
        <v>theater</v>
      </c>
      <c r="R524" t="str">
        <f t="shared" si="53"/>
        <v>plays</v>
      </c>
      <c r="S524" s="4">
        <f t="shared" si="50"/>
        <v>42430.040798611109</v>
      </c>
      <c r="T524" s="4">
        <f t="shared" si="51"/>
        <v>42449.999131944445</v>
      </c>
      <c r="U524" s="5">
        <f>VLOOKUP(currency,Tables!$A$1:$C$14,3,FALSE)*pledged</f>
        <v>3440</v>
      </c>
    </row>
    <row r="525" spans="1:21" ht="43.2" x14ac:dyDescent="0.55000000000000004">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48"/>
        <v>1.206</v>
      </c>
      <c r="P525" s="16">
        <f t="shared" si="49"/>
        <v>71.785714285714292</v>
      </c>
      <c r="Q525" t="str">
        <f t="shared" si="52"/>
        <v>theater</v>
      </c>
      <c r="R525" t="str">
        <f t="shared" si="53"/>
        <v>plays</v>
      </c>
      <c r="S525" s="4">
        <f t="shared" si="50"/>
        <v>42238.13282407407</v>
      </c>
      <c r="T525" s="4">
        <f t="shared" si="51"/>
        <v>42268.13282407407</v>
      </c>
      <c r="U525" s="5">
        <f>VLOOKUP(currency,Tables!$A$1:$C$14,3,FALSE)*pledged</f>
        <v>6030</v>
      </c>
    </row>
    <row r="526" spans="1:21" ht="43.2" x14ac:dyDescent="0.55000000000000004">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16">
        <f t="shared" si="49"/>
        <v>29.258076923076924</v>
      </c>
      <c r="Q526" t="str">
        <f t="shared" si="52"/>
        <v>theater</v>
      </c>
      <c r="R526" t="str">
        <f t="shared" si="53"/>
        <v>plays</v>
      </c>
      <c r="S526" s="4">
        <f t="shared" si="50"/>
        <v>42492.717233796298</v>
      </c>
      <c r="T526" s="4">
        <f t="shared" si="51"/>
        <v>42522.717233796298</v>
      </c>
      <c r="U526" s="5">
        <f>VLOOKUP(currency,Tables!$A$1:$C$14,3,FALSE)*pledged</f>
        <v>5020.6860000000006</v>
      </c>
    </row>
    <row r="527" spans="1:21" ht="43.2" x14ac:dyDescent="0.55000000000000004">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48"/>
        <v>1</v>
      </c>
      <c r="P527" s="16">
        <f t="shared" si="49"/>
        <v>1000</v>
      </c>
      <c r="Q527" t="str">
        <f t="shared" si="52"/>
        <v>theater</v>
      </c>
      <c r="R527" t="str">
        <f t="shared" si="53"/>
        <v>plays</v>
      </c>
      <c r="S527" s="4">
        <f t="shared" si="50"/>
        <v>41850.400937500002</v>
      </c>
      <c r="T527" s="4">
        <f t="shared" si="51"/>
        <v>41895.400937500002</v>
      </c>
      <c r="U527" s="5">
        <f>VLOOKUP(currency,Tables!$A$1:$C$14,3,FALSE)*pledged</f>
        <v>12000</v>
      </c>
    </row>
    <row r="528" spans="1:21" ht="43.2" x14ac:dyDescent="0.55000000000000004">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48"/>
        <v>1.1399999999999999</v>
      </c>
      <c r="P528" s="16">
        <f t="shared" si="49"/>
        <v>74.347826086956516</v>
      </c>
      <c r="Q528" t="str">
        <f t="shared" si="52"/>
        <v>theater</v>
      </c>
      <c r="R528" t="str">
        <f t="shared" si="53"/>
        <v>plays</v>
      </c>
      <c r="S528" s="4">
        <f t="shared" si="50"/>
        <v>42192.591944444444</v>
      </c>
      <c r="T528" s="4">
        <f t="shared" si="51"/>
        <v>42223.708333333328</v>
      </c>
      <c r="U528" s="5">
        <f>VLOOKUP(currency,Tables!$A$1:$C$14,3,FALSE)*pledged</f>
        <v>2257.2000000000003</v>
      </c>
    </row>
    <row r="529" spans="1:21" ht="57.6" x14ac:dyDescent="0.55000000000000004">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48"/>
        <v>1.0085</v>
      </c>
      <c r="P529" s="16">
        <f t="shared" si="49"/>
        <v>63.829113924050631</v>
      </c>
      <c r="Q529" t="str">
        <f t="shared" si="52"/>
        <v>theater</v>
      </c>
      <c r="R529" t="str">
        <f t="shared" si="53"/>
        <v>plays</v>
      </c>
      <c r="S529" s="4">
        <f t="shared" si="50"/>
        <v>42753.205625000002</v>
      </c>
      <c r="T529" s="4">
        <f t="shared" si="51"/>
        <v>42783.670138888891</v>
      </c>
      <c r="U529" s="5">
        <f>VLOOKUP(currency,Tables!$A$1:$C$14,3,FALSE)*pledged</f>
        <v>10085</v>
      </c>
    </row>
    <row r="530" spans="1:21" ht="28.8" x14ac:dyDescent="0.55000000000000004">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48"/>
        <v>1.1565217391304348</v>
      </c>
      <c r="P530" s="16">
        <f t="shared" si="49"/>
        <v>44.333333333333336</v>
      </c>
      <c r="Q530" t="str">
        <f t="shared" si="52"/>
        <v>theater</v>
      </c>
      <c r="R530" t="str">
        <f t="shared" si="53"/>
        <v>plays</v>
      </c>
      <c r="S530" s="4">
        <f t="shared" si="50"/>
        <v>42155.920219907406</v>
      </c>
      <c r="T530" s="4">
        <f t="shared" si="51"/>
        <v>42176.888888888891</v>
      </c>
      <c r="U530" s="5">
        <f>VLOOKUP(currency,Tables!$A$1:$C$14,3,FALSE)*pledged</f>
        <v>1330</v>
      </c>
    </row>
    <row r="531" spans="1:21" ht="43.2" x14ac:dyDescent="0.55000000000000004">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48"/>
        <v>1.3041666666666667</v>
      </c>
      <c r="P531" s="16">
        <f t="shared" si="49"/>
        <v>86.944444444444443</v>
      </c>
      <c r="Q531" t="str">
        <f t="shared" si="52"/>
        <v>theater</v>
      </c>
      <c r="R531" t="str">
        <f t="shared" si="53"/>
        <v>plays</v>
      </c>
      <c r="S531" s="4">
        <f t="shared" si="50"/>
        <v>42725.031180555554</v>
      </c>
      <c r="T531" s="4">
        <f t="shared" si="51"/>
        <v>42746.208333333328</v>
      </c>
      <c r="U531" s="5">
        <f>VLOOKUP(currency,Tables!$A$1:$C$14,3,FALSE)*pledged</f>
        <v>1189.4000000000001</v>
      </c>
    </row>
    <row r="532" spans="1:21" ht="43.2" x14ac:dyDescent="0.55000000000000004">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48"/>
        <v>1.0778267254038179</v>
      </c>
      <c r="P532" s="16">
        <f t="shared" si="49"/>
        <v>126.55172413793103</v>
      </c>
      <c r="Q532" t="str">
        <f t="shared" si="52"/>
        <v>theater</v>
      </c>
      <c r="R532" t="str">
        <f t="shared" si="53"/>
        <v>plays</v>
      </c>
      <c r="S532" s="4">
        <f t="shared" si="50"/>
        <v>42157.591064814813</v>
      </c>
      <c r="T532" s="4">
        <f t="shared" si="51"/>
        <v>42179.083333333328</v>
      </c>
      <c r="U532" s="5">
        <f>VLOOKUP(currency,Tables!$A$1:$C$14,3,FALSE)*pledged</f>
        <v>3670</v>
      </c>
    </row>
    <row r="533" spans="1:21" ht="43.2" x14ac:dyDescent="0.55000000000000004">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48"/>
        <v>1</v>
      </c>
      <c r="P533" s="16">
        <f t="shared" si="49"/>
        <v>129.03225806451613</v>
      </c>
      <c r="Q533" t="str">
        <f t="shared" si="52"/>
        <v>theater</v>
      </c>
      <c r="R533" t="str">
        <f t="shared" si="53"/>
        <v>plays</v>
      </c>
      <c r="S533" s="4">
        <f t="shared" si="50"/>
        <v>42676.065150462964</v>
      </c>
      <c r="T533" s="4">
        <f t="shared" si="51"/>
        <v>42721.290972222225</v>
      </c>
      <c r="U533" s="5">
        <f>VLOOKUP(currency,Tables!$A$1:$C$14,3,FALSE)*pledged</f>
        <v>4000</v>
      </c>
    </row>
    <row r="534" spans="1:21" ht="43.2" x14ac:dyDescent="0.55000000000000004">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16">
        <f t="shared" si="49"/>
        <v>71.242774566473983</v>
      </c>
      <c r="Q534" t="str">
        <f t="shared" si="52"/>
        <v>theater</v>
      </c>
      <c r="R534" t="str">
        <f t="shared" si="53"/>
        <v>plays</v>
      </c>
      <c r="S534" s="4">
        <f t="shared" si="50"/>
        <v>42473.007037037038</v>
      </c>
      <c r="T534" s="4">
        <f t="shared" si="51"/>
        <v>42503.007037037038</v>
      </c>
      <c r="U534" s="5">
        <f>VLOOKUP(currency,Tables!$A$1:$C$14,3,FALSE)*pledged</f>
        <v>12325</v>
      </c>
    </row>
    <row r="535" spans="1:21" ht="43.2" x14ac:dyDescent="0.55000000000000004">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48"/>
        <v>1.002</v>
      </c>
      <c r="P535" s="16">
        <f t="shared" si="49"/>
        <v>117.88235294117646</v>
      </c>
      <c r="Q535" t="str">
        <f t="shared" si="52"/>
        <v>theater</v>
      </c>
      <c r="R535" t="str">
        <f t="shared" si="53"/>
        <v>plays</v>
      </c>
      <c r="S535" s="4">
        <f t="shared" si="50"/>
        <v>42482.43478009259</v>
      </c>
      <c r="T535" s="4">
        <f t="shared" si="51"/>
        <v>42506.43478009259</v>
      </c>
      <c r="U535" s="5">
        <f>VLOOKUP(currency,Tables!$A$1:$C$14,3,FALSE)*pledged</f>
        <v>2645.28</v>
      </c>
    </row>
    <row r="536" spans="1:21" ht="43.2" x14ac:dyDescent="0.55000000000000004">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16">
        <f t="shared" si="49"/>
        <v>327.08333333333331</v>
      </c>
      <c r="Q536" t="str">
        <f t="shared" si="52"/>
        <v>theater</v>
      </c>
      <c r="R536" t="str">
        <f t="shared" si="53"/>
        <v>plays</v>
      </c>
      <c r="S536" s="4">
        <f t="shared" si="50"/>
        <v>42270.810995370368</v>
      </c>
      <c r="T536" s="4">
        <f t="shared" si="51"/>
        <v>42309.958333333328</v>
      </c>
      <c r="U536" s="5">
        <f>VLOOKUP(currency,Tables!$A$1:$C$14,3,FALSE)*pledged</f>
        <v>1727</v>
      </c>
    </row>
    <row r="537" spans="1:21" ht="28.8" x14ac:dyDescent="0.55000000000000004">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48"/>
        <v>1.0249999999999999</v>
      </c>
      <c r="P537" s="16">
        <f t="shared" si="49"/>
        <v>34.745762711864408</v>
      </c>
      <c r="Q537" t="str">
        <f t="shared" si="52"/>
        <v>theater</v>
      </c>
      <c r="R537" t="str">
        <f t="shared" si="53"/>
        <v>plays</v>
      </c>
      <c r="S537" s="4">
        <f t="shared" si="50"/>
        <v>42711.545196759253</v>
      </c>
      <c r="T537" s="4">
        <f t="shared" si="51"/>
        <v>42741.545196759253</v>
      </c>
      <c r="U537" s="5">
        <f>VLOOKUP(currency,Tables!$A$1:$C$14,3,FALSE)*pledged</f>
        <v>2706</v>
      </c>
    </row>
    <row r="538" spans="1:21" ht="43.2" x14ac:dyDescent="0.55000000000000004">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16">
        <f t="shared" si="49"/>
        <v>100.06410256410257</v>
      </c>
      <c r="Q538" t="str">
        <f t="shared" si="52"/>
        <v>theater</v>
      </c>
      <c r="R538" t="str">
        <f t="shared" si="53"/>
        <v>plays</v>
      </c>
      <c r="S538" s="4">
        <f t="shared" si="50"/>
        <v>42179.344988425932</v>
      </c>
      <c r="T538" s="4">
        <f t="shared" si="51"/>
        <v>42219.75</v>
      </c>
      <c r="U538" s="5">
        <f>VLOOKUP(currency,Tables!$A$1:$C$14,3,FALSE)*pledged</f>
        <v>5151.3</v>
      </c>
    </row>
    <row r="539" spans="1:21" ht="43.2" x14ac:dyDescent="0.55000000000000004">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48"/>
        <v>1.2050000000000001</v>
      </c>
      <c r="P539" s="16">
        <f t="shared" si="49"/>
        <v>40.847457627118644</v>
      </c>
      <c r="Q539" t="str">
        <f t="shared" si="52"/>
        <v>theater</v>
      </c>
      <c r="R539" t="str">
        <f t="shared" si="53"/>
        <v>plays</v>
      </c>
      <c r="S539" s="4">
        <f t="shared" si="50"/>
        <v>42282.768414351856</v>
      </c>
      <c r="T539" s="4">
        <f t="shared" si="51"/>
        <v>42312.810081018513</v>
      </c>
      <c r="U539" s="5">
        <f>VLOOKUP(currency,Tables!$A$1:$C$14,3,FALSE)*pledged</f>
        <v>2410</v>
      </c>
    </row>
    <row r="540" spans="1:21" ht="43.2" x14ac:dyDescent="0.55000000000000004">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48"/>
        <v>3.0242</v>
      </c>
      <c r="P540" s="16">
        <f t="shared" si="49"/>
        <v>252.01666666666668</v>
      </c>
      <c r="Q540" t="str">
        <f t="shared" si="52"/>
        <v>theater</v>
      </c>
      <c r="R540" t="str">
        <f t="shared" si="53"/>
        <v>plays</v>
      </c>
      <c r="S540" s="4">
        <f t="shared" si="50"/>
        <v>42473.794710648144</v>
      </c>
      <c r="T540" s="4">
        <f t="shared" si="51"/>
        <v>42503.794710648144</v>
      </c>
      <c r="U540" s="5">
        <f>VLOOKUP(currency,Tables!$A$1:$C$14,3,FALSE)*pledged</f>
        <v>15121</v>
      </c>
    </row>
    <row r="541" spans="1:21" ht="43.2" x14ac:dyDescent="0.55000000000000004">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48"/>
        <v>1.00644</v>
      </c>
      <c r="P541" s="16">
        <f t="shared" si="49"/>
        <v>25.161000000000001</v>
      </c>
      <c r="Q541" t="str">
        <f t="shared" si="52"/>
        <v>theater</v>
      </c>
      <c r="R541" t="str">
        <f t="shared" si="53"/>
        <v>plays</v>
      </c>
      <c r="S541" s="4">
        <f t="shared" si="50"/>
        <v>42535.049849537041</v>
      </c>
      <c r="T541" s="4">
        <f t="shared" si="51"/>
        <v>42556.049849537041</v>
      </c>
      <c r="U541" s="5">
        <f>VLOOKUP(currency,Tables!$A$1:$C$14,3,FALSE)*pledged</f>
        <v>664.25040000000001</v>
      </c>
    </row>
    <row r="542" spans="1:21" ht="57.6" x14ac:dyDescent="0.55000000000000004">
      <c r="A542">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48"/>
        <v>6.666666666666667E-5</v>
      </c>
      <c r="P542" s="16">
        <f t="shared" si="49"/>
        <v>1</v>
      </c>
      <c r="Q542" t="str">
        <f t="shared" si="52"/>
        <v>technology</v>
      </c>
      <c r="R542" t="str">
        <f t="shared" si="53"/>
        <v>web</v>
      </c>
      <c r="S542" s="4">
        <f t="shared" si="50"/>
        <v>42009.817199074074</v>
      </c>
      <c r="T542" s="4">
        <f t="shared" si="51"/>
        <v>42039.817199074074</v>
      </c>
      <c r="U542" s="5">
        <f>VLOOKUP(currency,Tables!$A$1:$C$14,3,FALSE)*pledged</f>
        <v>1</v>
      </c>
    </row>
    <row r="543" spans="1:21" ht="43.2" x14ac:dyDescent="0.55000000000000004">
      <c r="A54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48"/>
        <v>5.5555555555555558E-3</v>
      </c>
      <c r="P543" s="16">
        <f t="shared" si="49"/>
        <v>25</v>
      </c>
      <c r="Q543" t="str">
        <f t="shared" si="52"/>
        <v>technology</v>
      </c>
      <c r="R543" t="str">
        <f t="shared" si="53"/>
        <v>web</v>
      </c>
      <c r="S543" s="4">
        <f t="shared" si="50"/>
        <v>42276.046689814815</v>
      </c>
      <c r="T543" s="4">
        <f t="shared" si="51"/>
        <v>42306.046689814815</v>
      </c>
      <c r="U543" s="5">
        <f>VLOOKUP(currency,Tables!$A$1:$C$14,3,FALSE)*pledged</f>
        <v>25</v>
      </c>
    </row>
    <row r="544" spans="1:21" ht="43.2" x14ac:dyDescent="0.55000000000000004">
      <c r="A544">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48"/>
        <v>3.9999999999999998E-6</v>
      </c>
      <c r="P544" s="16">
        <f t="shared" si="49"/>
        <v>1</v>
      </c>
      <c r="Q544" t="str">
        <f t="shared" si="52"/>
        <v>technology</v>
      </c>
      <c r="R544" t="str">
        <f t="shared" si="53"/>
        <v>web</v>
      </c>
      <c r="S544" s="4">
        <f t="shared" si="50"/>
        <v>42433.737453703703</v>
      </c>
      <c r="T544" s="4">
        <f t="shared" si="51"/>
        <v>42493.695787037039</v>
      </c>
      <c r="U544" s="5">
        <f>VLOOKUP(currency,Tables!$A$1:$C$14,3,FALSE)*pledged</f>
        <v>1</v>
      </c>
    </row>
    <row r="545" spans="1:21" ht="43.2" x14ac:dyDescent="0.55000000000000004">
      <c r="A545">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48"/>
        <v>3.1818181818181819E-3</v>
      </c>
      <c r="P545" s="16">
        <f t="shared" si="49"/>
        <v>35</v>
      </c>
      <c r="Q545" t="str">
        <f t="shared" si="52"/>
        <v>technology</v>
      </c>
      <c r="R545" t="str">
        <f t="shared" si="53"/>
        <v>web</v>
      </c>
      <c r="S545" s="4">
        <f t="shared" si="50"/>
        <v>41914.092152777775</v>
      </c>
      <c r="T545" s="4">
        <f t="shared" si="51"/>
        <v>41944.092152777775</v>
      </c>
      <c r="U545" s="5">
        <f>VLOOKUP(currency,Tables!$A$1:$C$14,3,FALSE)*pledged</f>
        <v>51.1</v>
      </c>
    </row>
    <row r="546" spans="1:21" ht="43.2" x14ac:dyDescent="0.55000000000000004">
      <c r="A546">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48"/>
        <v>1.2E-2</v>
      </c>
      <c r="P546" s="16">
        <f t="shared" si="49"/>
        <v>3</v>
      </c>
      <c r="Q546" t="str">
        <f t="shared" si="52"/>
        <v>technology</v>
      </c>
      <c r="R546" t="str">
        <f t="shared" si="53"/>
        <v>web</v>
      </c>
      <c r="S546" s="4">
        <f t="shared" si="50"/>
        <v>42525.656944444447</v>
      </c>
      <c r="T546" s="4">
        <f t="shared" si="51"/>
        <v>42555.656944444447</v>
      </c>
      <c r="U546" s="5">
        <f>VLOOKUP(currency,Tables!$A$1:$C$14,3,FALSE)*pledged</f>
        <v>6</v>
      </c>
    </row>
    <row r="547" spans="1:21" ht="43.2" x14ac:dyDescent="0.55000000000000004">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16">
        <f t="shared" si="49"/>
        <v>402.70588235294116</v>
      </c>
      <c r="Q547" t="str">
        <f t="shared" si="52"/>
        <v>technology</v>
      </c>
      <c r="R547" t="str">
        <f t="shared" si="53"/>
        <v>web</v>
      </c>
      <c r="S547" s="4">
        <f t="shared" si="50"/>
        <v>42283.592465277776</v>
      </c>
      <c r="T547" s="4">
        <f t="shared" si="51"/>
        <v>42323.634131944447</v>
      </c>
      <c r="U547" s="5">
        <f>VLOOKUP(currency,Tables!$A$1:$C$14,3,FALSE)*pledged</f>
        <v>16156.56</v>
      </c>
    </row>
    <row r="548" spans="1:21" ht="43.2" x14ac:dyDescent="0.55000000000000004">
      <c r="A548">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48"/>
        <v>8.6666666666666663E-4</v>
      </c>
      <c r="P548" s="16">
        <f t="shared" si="49"/>
        <v>26</v>
      </c>
      <c r="Q548" t="str">
        <f t="shared" si="52"/>
        <v>technology</v>
      </c>
      <c r="R548" t="str">
        <f t="shared" si="53"/>
        <v>web</v>
      </c>
      <c r="S548" s="4">
        <f t="shared" si="50"/>
        <v>42249.667997685188</v>
      </c>
      <c r="T548" s="4">
        <f t="shared" si="51"/>
        <v>42294.667997685188</v>
      </c>
      <c r="U548" s="5">
        <f>VLOOKUP(currency,Tables!$A$1:$C$14,3,FALSE)*pledged</f>
        <v>52</v>
      </c>
    </row>
    <row r="549" spans="1:21" ht="43.2" x14ac:dyDescent="0.55000000000000004">
      <c r="A549">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48"/>
        <v>0</v>
      </c>
      <c r="P549" s="16">
        <f t="shared" si="49"/>
        <v>0</v>
      </c>
      <c r="Q549" t="str">
        <f t="shared" si="52"/>
        <v>technology</v>
      </c>
      <c r="R549" t="str">
        <f t="shared" si="53"/>
        <v>web</v>
      </c>
      <c r="S549" s="4">
        <f t="shared" si="50"/>
        <v>42380.696342592593</v>
      </c>
      <c r="T549" s="4">
        <f t="shared" si="51"/>
        <v>42410.696342592593</v>
      </c>
      <c r="U549" s="5">
        <f>VLOOKUP(currency,Tables!$A$1:$C$14,3,FALSE)*pledged</f>
        <v>0</v>
      </c>
    </row>
    <row r="550" spans="1:21" ht="43.2" x14ac:dyDescent="0.55000000000000004">
      <c r="A550">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48"/>
        <v>8.9999999999999998E-4</v>
      </c>
      <c r="P550" s="16">
        <f t="shared" si="49"/>
        <v>9</v>
      </c>
      <c r="Q550" t="str">
        <f t="shared" si="52"/>
        <v>technology</v>
      </c>
      <c r="R550" t="str">
        <f t="shared" si="53"/>
        <v>web</v>
      </c>
      <c r="S550" s="4">
        <f t="shared" si="50"/>
        <v>42276.903333333335</v>
      </c>
      <c r="T550" s="4">
        <f t="shared" si="51"/>
        <v>42306.903333333335</v>
      </c>
      <c r="U550" s="5">
        <f>VLOOKUP(currency,Tables!$A$1:$C$14,3,FALSE)*pledged</f>
        <v>11.88</v>
      </c>
    </row>
    <row r="551" spans="1:21" ht="43.2" x14ac:dyDescent="0.55000000000000004">
      <c r="A551">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48"/>
        <v>2.7199999999999998E-2</v>
      </c>
      <c r="P551" s="16">
        <f t="shared" si="49"/>
        <v>8.5</v>
      </c>
      <c r="Q551" t="str">
        <f t="shared" si="52"/>
        <v>technology</v>
      </c>
      <c r="R551" t="str">
        <f t="shared" si="53"/>
        <v>web</v>
      </c>
      <c r="S551" s="4">
        <f t="shared" si="50"/>
        <v>42163.636828703704</v>
      </c>
      <c r="T551" s="4">
        <f t="shared" si="51"/>
        <v>42193.636828703704</v>
      </c>
      <c r="U551" s="5">
        <f>VLOOKUP(currency,Tables!$A$1:$C$14,3,FALSE)*pledged</f>
        <v>89.76</v>
      </c>
    </row>
    <row r="552" spans="1:21" ht="43.2" x14ac:dyDescent="0.55000000000000004">
      <c r="A552">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48"/>
        <v>7.0000000000000001E-3</v>
      </c>
      <c r="P552" s="16">
        <f t="shared" si="49"/>
        <v>8.75</v>
      </c>
      <c r="Q552" t="str">
        <f t="shared" si="52"/>
        <v>technology</v>
      </c>
      <c r="R552" t="str">
        <f t="shared" si="53"/>
        <v>web</v>
      </c>
      <c r="S552" s="4">
        <f t="shared" si="50"/>
        <v>42753.678761574076</v>
      </c>
      <c r="T552" s="4">
        <f t="shared" si="51"/>
        <v>42766.208333333328</v>
      </c>
      <c r="U552" s="5">
        <f>VLOOKUP(currency,Tables!$A$1:$C$14,3,FALSE)*pledged</f>
        <v>26.6</v>
      </c>
    </row>
    <row r="553" spans="1:21" ht="43.2" x14ac:dyDescent="0.55000000000000004">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16">
        <f t="shared" si="49"/>
        <v>135.03571428571428</v>
      </c>
      <c r="Q553" t="str">
        <f t="shared" si="52"/>
        <v>technology</v>
      </c>
      <c r="R553" t="str">
        <f t="shared" si="53"/>
        <v>web</v>
      </c>
      <c r="S553" s="4">
        <f t="shared" si="50"/>
        <v>42173.275740740741</v>
      </c>
      <c r="T553" s="4">
        <f t="shared" si="51"/>
        <v>42217.745138888888</v>
      </c>
      <c r="U553" s="5">
        <f>VLOOKUP(currency,Tables!$A$1:$C$14,3,FALSE)*pledged</f>
        <v>3781</v>
      </c>
    </row>
    <row r="554" spans="1:21" ht="43.2" x14ac:dyDescent="0.55000000000000004">
      <c r="A554">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48"/>
        <v>0</v>
      </c>
      <c r="P554" s="16">
        <f t="shared" si="49"/>
        <v>0</v>
      </c>
      <c r="Q554" t="str">
        <f t="shared" si="52"/>
        <v>technology</v>
      </c>
      <c r="R554" t="str">
        <f t="shared" si="53"/>
        <v>web</v>
      </c>
      <c r="S554" s="4">
        <f t="shared" si="50"/>
        <v>42318.616851851853</v>
      </c>
      <c r="T554" s="4">
        <f t="shared" si="51"/>
        <v>42378.616851851853</v>
      </c>
      <c r="U554" s="5">
        <f>VLOOKUP(currency,Tables!$A$1:$C$14,3,FALSE)*pledged</f>
        <v>0</v>
      </c>
    </row>
    <row r="555" spans="1:21" ht="43.2" x14ac:dyDescent="0.55000000000000004">
      <c r="A555">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16">
        <f t="shared" si="49"/>
        <v>20.5</v>
      </c>
      <c r="Q555" t="str">
        <f t="shared" si="52"/>
        <v>technology</v>
      </c>
      <c r="R555" t="str">
        <f t="shared" si="53"/>
        <v>web</v>
      </c>
      <c r="S555" s="4">
        <f t="shared" si="50"/>
        <v>41927.71980324074</v>
      </c>
      <c r="T555" s="4">
        <f t="shared" si="51"/>
        <v>41957.761469907404</v>
      </c>
      <c r="U555" s="5">
        <f>VLOOKUP(currency,Tables!$A$1:$C$14,3,FALSE)*pledged</f>
        <v>123</v>
      </c>
    </row>
    <row r="556" spans="1:21" ht="43.2" x14ac:dyDescent="0.55000000000000004">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16">
        <f t="shared" si="49"/>
        <v>64.36363636363636</v>
      </c>
      <c r="Q556" t="str">
        <f t="shared" si="52"/>
        <v>technology</v>
      </c>
      <c r="R556" t="str">
        <f t="shared" si="53"/>
        <v>web</v>
      </c>
      <c r="S556" s="4">
        <f t="shared" si="50"/>
        <v>41901.684861111113</v>
      </c>
      <c r="T556" s="4">
        <f t="shared" si="51"/>
        <v>41931.684861111113</v>
      </c>
      <c r="U556" s="5">
        <f>VLOOKUP(currency,Tables!$A$1:$C$14,3,FALSE)*pledged</f>
        <v>1416</v>
      </c>
    </row>
    <row r="557" spans="1:21" ht="43.2" x14ac:dyDescent="0.55000000000000004">
      <c r="A557">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48"/>
        <v>0</v>
      </c>
      <c r="P557" s="16">
        <f t="shared" si="49"/>
        <v>0</v>
      </c>
      <c r="Q557" t="str">
        <f t="shared" si="52"/>
        <v>technology</v>
      </c>
      <c r="R557" t="str">
        <f t="shared" si="53"/>
        <v>web</v>
      </c>
      <c r="S557" s="4">
        <f t="shared" si="50"/>
        <v>42503.353506944448</v>
      </c>
      <c r="T557" s="4">
        <f t="shared" si="51"/>
        <v>42533.353506944448</v>
      </c>
      <c r="U557" s="5">
        <f>VLOOKUP(currency,Tables!$A$1:$C$14,3,FALSE)*pledged</f>
        <v>0</v>
      </c>
    </row>
    <row r="558" spans="1:21" ht="28.8" x14ac:dyDescent="0.55000000000000004">
      <c r="A558">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48"/>
        <v>2.5000000000000001E-2</v>
      </c>
      <c r="P558" s="16">
        <f t="shared" si="49"/>
        <v>200</v>
      </c>
      <c r="Q558" t="str">
        <f t="shared" si="52"/>
        <v>technology</v>
      </c>
      <c r="R558" t="str">
        <f t="shared" si="53"/>
        <v>web</v>
      </c>
      <c r="S558" s="4">
        <f t="shared" si="50"/>
        <v>42345.860150462962</v>
      </c>
      <c r="T558" s="4">
        <f t="shared" si="51"/>
        <v>42375.860150462962</v>
      </c>
      <c r="U558" s="5">
        <f>VLOOKUP(currency,Tables!$A$1:$C$14,3,FALSE)*pledged</f>
        <v>200</v>
      </c>
    </row>
    <row r="559" spans="1:21" ht="43.2" x14ac:dyDescent="0.55000000000000004">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16">
        <f t="shared" si="49"/>
        <v>68.3</v>
      </c>
      <c r="Q559" t="str">
        <f t="shared" si="52"/>
        <v>technology</v>
      </c>
      <c r="R559" t="str">
        <f t="shared" si="53"/>
        <v>web</v>
      </c>
      <c r="S559" s="4">
        <f t="shared" si="50"/>
        <v>42676.942164351851</v>
      </c>
      <c r="T559" s="4">
        <f t="shared" si="51"/>
        <v>42706.983831018515</v>
      </c>
      <c r="U559" s="5">
        <f>VLOOKUP(currency,Tables!$A$1:$C$14,3,FALSE)*pledged</f>
        <v>1611.8799999999999</v>
      </c>
    </row>
    <row r="560" spans="1:21" ht="43.2" x14ac:dyDescent="0.55000000000000004">
      <c r="A560">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48"/>
        <v>0</v>
      </c>
      <c r="P560" s="16">
        <f t="shared" si="49"/>
        <v>0</v>
      </c>
      <c r="Q560" t="str">
        <f t="shared" si="52"/>
        <v>technology</v>
      </c>
      <c r="R560" t="str">
        <f t="shared" si="53"/>
        <v>web</v>
      </c>
      <c r="S560" s="4">
        <f t="shared" si="50"/>
        <v>42057.883159722223</v>
      </c>
      <c r="T560" s="4">
        <f t="shared" si="51"/>
        <v>42087.841493055559</v>
      </c>
      <c r="U560" s="5">
        <f>VLOOKUP(currency,Tables!$A$1:$C$14,3,FALSE)*pledged</f>
        <v>0</v>
      </c>
    </row>
    <row r="561" spans="1:21" ht="43.2" x14ac:dyDescent="0.55000000000000004">
      <c r="A561">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16">
        <f t="shared" si="49"/>
        <v>50</v>
      </c>
      <c r="Q561" t="str">
        <f t="shared" si="52"/>
        <v>technology</v>
      </c>
      <c r="R561" t="str">
        <f t="shared" si="53"/>
        <v>web</v>
      </c>
      <c r="S561" s="4">
        <f t="shared" si="50"/>
        <v>42321.283101851848</v>
      </c>
      <c r="T561" s="4">
        <f t="shared" si="51"/>
        <v>42351.283101851848</v>
      </c>
      <c r="U561" s="5">
        <f>VLOOKUP(currency,Tables!$A$1:$C$14,3,FALSE)*pledged</f>
        <v>50</v>
      </c>
    </row>
    <row r="562" spans="1:21" ht="43.2" x14ac:dyDescent="0.55000000000000004">
      <c r="A562">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48"/>
        <v>1.2E-4</v>
      </c>
      <c r="P562" s="16">
        <f t="shared" si="49"/>
        <v>4</v>
      </c>
      <c r="Q562" t="str">
        <f t="shared" si="52"/>
        <v>technology</v>
      </c>
      <c r="R562" t="str">
        <f t="shared" si="53"/>
        <v>web</v>
      </c>
      <c r="S562" s="4">
        <f t="shared" si="50"/>
        <v>41960.771354166667</v>
      </c>
      <c r="T562" s="4">
        <f t="shared" si="51"/>
        <v>41990.771354166667</v>
      </c>
      <c r="U562" s="5">
        <f>VLOOKUP(currency,Tables!$A$1:$C$14,3,FALSE)*pledged</f>
        <v>9.120000000000001</v>
      </c>
    </row>
    <row r="563" spans="1:21" ht="43.2" x14ac:dyDescent="0.55000000000000004">
      <c r="A56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48"/>
        <v>3.6666666666666666E-3</v>
      </c>
      <c r="P563" s="16">
        <f t="shared" si="49"/>
        <v>27.5</v>
      </c>
      <c r="Q563" t="str">
        <f t="shared" si="52"/>
        <v>technology</v>
      </c>
      <c r="R563" t="str">
        <f t="shared" si="53"/>
        <v>web</v>
      </c>
      <c r="S563" s="4">
        <f t="shared" si="50"/>
        <v>42268.658715277779</v>
      </c>
      <c r="T563" s="4">
        <f t="shared" si="51"/>
        <v>42303.658715277779</v>
      </c>
      <c r="U563" s="5">
        <f>VLOOKUP(currency,Tables!$A$1:$C$14,3,FALSE)*pledged</f>
        <v>55</v>
      </c>
    </row>
    <row r="564" spans="1:21" ht="43.2" x14ac:dyDescent="0.55000000000000004">
      <c r="A564">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48"/>
        <v>0</v>
      </c>
      <c r="P564" s="16">
        <f t="shared" si="49"/>
        <v>0</v>
      </c>
      <c r="Q564" t="str">
        <f t="shared" si="52"/>
        <v>technology</v>
      </c>
      <c r="R564" t="str">
        <f t="shared" si="53"/>
        <v>web</v>
      </c>
      <c r="S564" s="4">
        <f t="shared" si="50"/>
        <v>42692.389062500006</v>
      </c>
      <c r="T564" s="4">
        <f t="shared" si="51"/>
        <v>42722.389062500006</v>
      </c>
      <c r="U564" s="5">
        <f>VLOOKUP(currency,Tables!$A$1:$C$14,3,FALSE)*pledged</f>
        <v>0</v>
      </c>
    </row>
    <row r="565" spans="1:21" ht="43.2" x14ac:dyDescent="0.55000000000000004">
      <c r="A565">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48"/>
        <v>9.0666666666666662E-4</v>
      </c>
      <c r="P565" s="16">
        <f t="shared" si="49"/>
        <v>34</v>
      </c>
      <c r="Q565" t="str">
        <f t="shared" si="52"/>
        <v>technology</v>
      </c>
      <c r="R565" t="str">
        <f t="shared" si="53"/>
        <v>web</v>
      </c>
      <c r="S565" s="4">
        <f t="shared" si="50"/>
        <v>42022.069988425923</v>
      </c>
      <c r="T565" s="4">
        <f t="shared" si="51"/>
        <v>42052.069988425923</v>
      </c>
      <c r="U565" s="5">
        <f>VLOOKUP(currency,Tables!$A$1:$C$14,3,FALSE)*pledged</f>
        <v>49.64</v>
      </c>
    </row>
    <row r="566" spans="1:21" ht="57.6" x14ac:dyDescent="0.55000000000000004">
      <c r="A566">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48"/>
        <v>5.5555555555555558E-5</v>
      </c>
      <c r="P566" s="16">
        <f t="shared" si="49"/>
        <v>1</v>
      </c>
      <c r="Q566" t="str">
        <f t="shared" si="52"/>
        <v>technology</v>
      </c>
      <c r="R566" t="str">
        <f t="shared" si="53"/>
        <v>web</v>
      </c>
      <c r="S566" s="4">
        <f t="shared" si="50"/>
        <v>42411.942997685182</v>
      </c>
      <c r="T566" s="4">
        <f t="shared" si="51"/>
        <v>42441.942997685182</v>
      </c>
      <c r="U566" s="5">
        <f>VLOOKUP(currency,Tables!$A$1:$C$14,3,FALSE)*pledged</f>
        <v>1.18</v>
      </c>
    </row>
    <row r="567" spans="1:21" ht="43.2" x14ac:dyDescent="0.55000000000000004">
      <c r="A567">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48"/>
        <v>0</v>
      </c>
      <c r="P567" s="16">
        <f t="shared" si="49"/>
        <v>0</v>
      </c>
      <c r="Q567" t="str">
        <f t="shared" si="52"/>
        <v>technology</v>
      </c>
      <c r="R567" t="str">
        <f t="shared" si="53"/>
        <v>web</v>
      </c>
      <c r="S567" s="4">
        <f t="shared" si="50"/>
        <v>42165.785289351858</v>
      </c>
      <c r="T567" s="4">
        <f t="shared" si="51"/>
        <v>42195.785289351858</v>
      </c>
      <c r="U567" s="5">
        <f>VLOOKUP(currency,Tables!$A$1:$C$14,3,FALSE)*pledged</f>
        <v>0</v>
      </c>
    </row>
    <row r="568" spans="1:21" ht="43.2" x14ac:dyDescent="0.55000000000000004">
      <c r="A568">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48"/>
        <v>2.0000000000000001E-4</v>
      </c>
      <c r="P568" s="16">
        <f t="shared" si="49"/>
        <v>1</v>
      </c>
      <c r="Q568" t="str">
        <f t="shared" si="52"/>
        <v>technology</v>
      </c>
      <c r="R568" t="str">
        <f t="shared" si="53"/>
        <v>web</v>
      </c>
      <c r="S568" s="4">
        <f t="shared" si="50"/>
        <v>42535.68440972222</v>
      </c>
      <c r="T568" s="4">
        <f t="shared" si="51"/>
        <v>42565.68440972222</v>
      </c>
      <c r="U568" s="5">
        <f>VLOOKUP(currency,Tables!$A$1:$C$14,3,FALSE)*pledged</f>
        <v>1</v>
      </c>
    </row>
    <row r="569" spans="1:21" ht="43.2" x14ac:dyDescent="0.55000000000000004">
      <c r="A569">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48"/>
        <v>0</v>
      </c>
      <c r="P569" s="16">
        <f t="shared" si="49"/>
        <v>0</v>
      </c>
      <c r="Q569" t="str">
        <f t="shared" si="52"/>
        <v>technology</v>
      </c>
      <c r="R569" t="str">
        <f t="shared" si="53"/>
        <v>web</v>
      </c>
      <c r="S569" s="4">
        <f t="shared" si="50"/>
        <v>41975.842523148152</v>
      </c>
      <c r="T569" s="4">
        <f t="shared" si="51"/>
        <v>42005.842523148152</v>
      </c>
      <c r="U569" s="5">
        <f>VLOOKUP(currency,Tables!$A$1:$C$14,3,FALSE)*pledged</f>
        <v>0</v>
      </c>
    </row>
    <row r="570" spans="1:21" ht="57.6" x14ac:dyDescent="0.55000000000000004">
      <c r="A570">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48"/>
        <v>0.01</v>
      </c>
      <c r="P570" s="16">
        <f t="shared" si="49"/>
        <v>49</v>
      </c>
      <c r="Q570" t="str">
        <f t="shared" si="52"/>
        <v>technology</v>
      </c>
      <c r="R570" t="str">
        <f t="shared" si="53"/>
        <v>web</v>
      </c>
      <c r="S570" s="4">
        <f t="shared" si="50"/>
        <v>42348.9215625</v>
      </c>
      <c r="T570" s="4">
        <f t="shared" si="51"/>
        <v>42385.458333333328</v>
      </c>
      <c r="U570" s="5">
        <f>VLOOKUP(currency,Tables!$A$1:$C$14,3,FALSE)*pledged</f>
        <v>164.15</v>
      </c>
    </row>
    <row r="571" spans="1:21" ht="43.2" x14ac:dyDescent="0.55000000000000004">
      <c r="A571">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48"/>
        <v>8.0000000000000002E-3</v>
      </c>
      <c r="P571" s="16">
        <f t="shared" si="49"/>
        <v>20</v>
      </c>
      <c r="Q571" t="str">
        <f t="shared" si="52"/>
        <v>technology</v>
      </c>
      <c r="R571" t="str">
        <f t="shared" si="53"/>
        <v>web</v>
      </c>
      <c r="S571" s="4">
        <f t="shared" si="50"/>
        <v>42340.847361111111</v>
      </c>
      <c r="T571" s="4">
        <f t="shared" si="51"/>
        <v>42370.847361111111</v>
      </c>
      <c r="U571" s="5">
        <f>VLOOKUP(currency,Tables!$A$1:$C$14,3,FALSE)*pledged</f>
        <v>15.2</v>
      </c>
    </row>
    <row r="572" spans="1:21" ht="28.8" x14ac:dyDescent="0.55000000000000004">
      <c r="A572">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16">
        <f t="shared" si="49"/>
        <v>142</v>
      </c>
      <c r="Q572" t="str">
        <f t="shared" si="52"/>
        <v>technology</v>
      </c>
      <c r="R572" t="str">
        <f t="shared" si="53"/>
        <v>web</v>
      </c>
      <c r="S572" s="4">
        <f t="shared" si="50"/>
        <v>42388.798252314817</v>
      </c>
      <c r="T572" s="4">
        <f t="shared" si="51"/>
        <v>42418.798252314817</v>
      </c>
      <c r="U572" s="5">
        <f>VLOOKUP(currency,Tables!$A$1:$C$14,3,FALSE)*pledged</f>
        <v>142</v>
      </c>
    </row>
    <row r="573" spans="1:21" ht="43.2" x14ac:dyDescent="0.55000000000000004">
      <c r="A57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16">
        <f t="shared" si="49"/>
        <v>53</v>
      </c>
      <c r="Q573" t="str">
        <f t="shared" si="52"/>
        <v>technology</v>
      </c>
      <c r="R573" t="str">
        <f t="shared" si="53"/>
        <v>web</v>
      </c>
      <c r="S573" s="4">
        <f t="shared" si="50"/>
        <v>42192.816238425927</v>
      </c>
      <c r="T573" s="4">
        <f t="shared" si="51"/>
        <v>42212.165972222225</v>
      </c>
      <c r="U573" s="5">
        <f>VLOOKUP(currency,Tables!$A$1:$C$14,3,FALSE)*pledged</f>
        <v>106</v>
      </c>
    </row>
    <row r="574" spans="1:21" ht="43.2" x14ac:dyDescent="0.55000000000000004">
      <c r="A574">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48"/>
        <v>0</v>
      </c>
      <c r="P574" s="16">
        <f t="shared" si="49"/>
        <v>0</v>
      </c>
      <c r="Q574" t="str">
        <f t="shared" si="52"/>
        <v>technology</v>
      </c>
      <c r="R574" t="str">
        <f t="shared" si="53"/>
        <v>web</v>
      </c>
      <c r="S574" s="4">
        <f t="shared" si="50"/>
        <v>42282.71629629629</v>
      </c>
      <c r="T574" s="4">
        <f t="shared" si="51"/>
        <v>42312.757962962962</v>
      </c>
      <c r="U574" s="5">
        <f>VLOOKUP(currency,Tables!$A$1:$C$14,3,FALSE)*pledged</f>
        <v>0</v>
      </c>
    </row>
    <row r="575" spans="1:21" ht="43.2" x14ac:dyDescent="0.55000000000000004">
      <c r="A575">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48"/>
        <v>3.892538925389254E-3</v>
      </c>
      <c r="P575" s="16">
        <f t="shared" si="49"/>
        <v>38.444444444444443</v>
      </c>
      <c r="Q575" t="str">
        <f t="shared" si="52"/>
        <v>technology</v>
      </c>
      <c r="R575" t="str">
        <f t="shared" si="53"/>
        <v>web</v>
      </c>
      <c r="S575" s="4">
        <f t="shared" si="50"/>
        <v>41963.050127314811</v>
      </c>
      <c r="T575" s="4">
        <f t="shared" si="51"/>
        <v>42022.05</v>
      </c>
      <c r="U575" s="5">
        <f>VLOOKUP(currency,Tables!$A$1:$C$14,3,FALSE)*pledged</f>
        <v>346</v>
      </c>
    </row>
    <row r="576" spans="1:21" ht="43.2" x14ac:dyDescent="0.55000000000000004">
      <c r="A576">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48"/>
        <v>7.1556350626118068E-3</v>
      </c>
      <c r="P576" s="16">
        <f t="shared" si="49"/>
        <v>20</v>
      </c>
      <c r="Q576" t="str">
        <f t="shared" si="52"/>
        <v>technology</v>
      </c>
      <c r="R576" t="str">
        <f t="shared" si="53"/>
        <v>web</v>
      </c>
      <c r="S576" s="4">
        <f t="shared" si="50"/>
        <v>42632.443368055552</v>
      </c>
      <c r="T576" s="4">
        <f t="shared" si="51"/>
        <v>42662.443368055552</v>
      </c>
      <c r="U576" s="5">
        <f>VLOOKUP(currency,Tables!$A$1:$C$14,3,FALSE)*pledged</f>
        <v>105.60000000000001</v>
      </c>
    </row>
    <row r="577" spans="1:21" ht="57.6" x14ac:dyDescent="0.55000000000000004">
      <c r="A577">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16">
        <f t="shared" si="49"/>
        <v>64.75</v>
      </c>
      <c r="Q577" t="str">
        <f t="shared" si="52"/>
        <v>technology</v>
      </c>
      <c r="R577" t="str">
        <f t="shared" si="53"/>
        <v>web</v>
      </c>
      <c r="S577" s="4">
        <f t="shared" si="50"/>
        <v>42138.692627314813</v>
      </c>
      <c r="T577" s="4">
        <f t="shared" si="51"/>
        <v>42168.692627314813</v>
      </c>
      <c r="U577" s="5">
        <f>VLOOKUP(currency,Tables!$A$1:$C$14,3,FALSE)*pledged</f>
        <v>305.62</v>
      </c>
    </row>
    <row r="578" spans="1:21" ht="43.2" x14ac:dyDescent="0.55000000000000004">
      <c r="A578">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ref="O578:O641" si="54">pledged/goal</f>
        <v>1.2500000000000001E-5</v>
      </c>
      <c r="P578" s="16">
        <f t="shared" ref="P578:P641" si="55">IF(pledged=0,0,pledged/backers_count)</f>
        <v>1</v>
      </c>
      <c r="Q578" t="str">
        <f t="shared" si="52"/>
        <v>technology</v>
      </c>
      <c r="R578" t="str">
        <f t="shared" si="53"/>
        <v>web</v>
      </c>
      <c r="S578" s="4">
        <f t="shared" ref="S578:S641" si="56">(((Unix_launched_date/60)/60)/24)+DATE(1970,1,1)</f>
        <v>42031.471666666665</v>
      </c>
      <c r="T578" s="4">
        <f t="shared" ref="T578:T641" si="57">(((Unix_deadline/60)/60)/24)+DATE(1970,1,1)</f>
        <v>42091.43</v>
      </c>
      <c r="U578" s="5">
        <f>VLOOKUP(currency,Tables!$A$1:$C$14,3,FALSE)*pledged</f>
        <v>1</v>
      </c>
    </row>
    <row r="579" spans="1:21" ht="43.2" x14ac:dyDescent="0.55000000000000004">
      <c r="A579">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si="54"/>
        <v>2E-3</v>
      </c>
      <c r="P579" s="16">
        <f t="shared" si="55"/>
        <v>10</v>
      </c>
      <c r="Q579" t="str">
        <f t="shared" ref="Q579:Q642" si="58">LEFT(N579,FIND("/",N579,1)-1)</f>
        <v>technology</v>
      </c>
      <c r="R579" t="str">
        <f t="shared" ref="R579:R642" si="59">RIGHT(N579,(LEN(N579)-FIND("/",N579,1)))</f>
        <v>web</v>
      </c>
      <c r="S579" s="4">
        <f t="shared" si="56"/>
        <v>42450.589143518519</v>
      </c>
      <c r="T579" s="4">
        <f t="shared" si="57"/>
        <v>42510.589143518519</v>
      </c>
      <c r="U579" s="5">
        <f>VLOOKUP(currency,Tables!$A$1:$C$14,3,FALSE)*pledged</f>
        <v>10</v>
      </c>
    </row>
    <row r="580" spans="1:21" ht="28.8" x14ac:dyDescent="0.55000000000000004">
      <c r="A580">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54"/>
        <v>1.12E-4</v>
      </c>
      <c r="P580" s="16">
        <f t="shared" si="55"/>
        <v>2</v>
      </c>
      <c r="Q580" t="str">
        <f t="shared" si="58"/>
        <v>technology</v>
      </c>
      <c r="R580" t="str">
        <f t="shared" si="59"/>
        <v>web</v>
      </c>
      <c r="S580" s="4">
        <f t="shared" si="56"/>
        <v>42230.578622685185</v>
      </c>
      <c r="T580" s="4">
        <f t="shared" si="57"/>
        <v>42254.578622685185</v>
      </c>
      <c r="U580" s="5">
        <f>VLOOKUP(currency,Tables!$A$1:$C$14,3,FALSE)*pledged</f>
        <v>18.48</v>
      </c>
    </row>
    <row r="581" spans="1:21" ht="28.8" x14ac:dyDescent="0.55000000000000004">
      <c r="A581">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16">
        <f t="shared" si="55"/>
        <v>35</v>
      </c>
      <c r="Q581" t="str">
        <f t="shared" si="58"/>
        <v>technology</v>
      </c>
      <c r="R581" t="str">
        <f t="shared" si="59"/>
        <v>web</v>
      </c>
      <c r="S581" s="4">
        <f t="shared" si="56"/>
        <v>41968.852118055554</v>
      </c>
      <c r="T581" s="4">
        <f t="shared" si="57"/>
        <v>41998.852118055554</v>
      </c>
      <c r="U581" s="5">
        <f>VLOOKUP(currency,Tables!$A$1:$C$14,3,FALSE)*pledged</f>
        <v>175</v>
      </c>
    </row>
    <row r="582" spans="1:21" ht="43.2" x14ac:dyDescent="0.55000000000000004">
      <c r="A582">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54"/>
        <v>3.3333333333333332E-4</v>
      </c>
      <c r="P582" s="16">
        <f t="shared" si="55"/>
        <v>1</v>
      </c>
      <c r="Q582" t="str">
        <f t="shared" si="58"/>
        <v>technology</v>
      </c>
      <c r="R582" t="str">
        <f t="shared" si="59"/>
        <v>web</v>
      </c>
      <c r="S582" s="4">
        <f t="shared" si="56"/>
        <v>42605.908182870371</v>
      </c>
      <c r="T582" s="4">
        <f t="shared" si="57"/>
        <v>42635.908182870371</v>
      </c>
      <c r="U582" s="5">
        <f>VLOOKUP(currency,Tables!$A$1:$C$14,3,FALSE)*pledged</f>
        <v>1</v>
      </c>
    </row>
    <row r="583" spans="1:21" ht="43.2" x14ac:dyDescent="0.55000000000000004">
      <c r="A58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54"/>
        <v>0</v>
      </c>
      <c r="P583" s="16">
        <f t="shared" si="55"/>
        <v>0</v>
      </c>
      <c r="Q583" t="str">
        <f t="shared" si="58"/>
        <v>technology</v>
      </c>
      <c r="R583" t="str">
        <f t="shared" si="59"/>
        <v>web</v>
      </c>
      <c r="S583" s="4">
        <f t="shared" si="56"/>
        <v>42188.012777777782</v>
      </c>
      <c r="T583" s="4">
        <f t="shared" si="57"/>
        <v>42218.012777777782</v>
      </c>
      <c r="U583" s="5">
        <f>VLOOKUP(currency,Tables!$A$1:$C$14,3,FALSE)*pledged</f>
        <v>0</v>
      </c>
    </row>
    <row r="584" spans="1:21" ht="43.2" x14ac:dyDescent="0.55000000000000004">
      <c r="A584">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54"/>
        <v>0</v>
      </c>
      <c r="P584" s="16">
        <f t="shared" si="55"/>
        <v>0</v>
      </c>
      <c r="Q584" t="str">
        <f t="shared" si="58"/>
        <v>technology</v>
      </c>
      <c r="R584" t="str">
        <f t="shared" si="59"/>
        <v>web</v>
      </c>
      <c r="S584" s="4">
        <f t="shared" si="56"/>
        <v>42055.739803240736</v>
      </c>
      <c r="T584" s="4">
        <f t="shared" si="57"/>
        <v>42078.75</v>
      </c>
      <c r="U584" s="5">
        <f>VLOOKUP(currency,Tables!$A$1:$C$14,3,FALSE)*pledged</f>
        <v>0</v>
      </c>
    </row>
    <row r="585" spans="1:21" ht="43.2" x14ac:dyDescent="0.55000000000000004">
      <c r="A585">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54"/>
        <v>1.1111111111111112E-4</v>
      </c>
      <c r="P585" s="16">
        <f t="shared" si="55"/>
        <v>1</v>
      </c>
      <c r="Q585" t="str">
        <f t="shared" si="58"/>
        <v>technology</v>
      </c>
      <c r="R585" t="str">
        <f t="shared" si="59"/>
        <v>web</v>
      </c>
      <c r="S585" s="4">
        <f t="shared" si="56"/>
        <v>42052.93850694444</v>
      </c>
      <c r="T585" s="4">
        <f t="shared" si="57"/>
        <v>42082.896840277783</v>
      </c>
      <c r="U585" s="5">
        <f>VLOOKUP(currency,Tables!$A$1:$C$14,3,FALSE)*pledged</f>
        <v>1</v>
      </c>
    </row>
    <row r="586" spans="1:21" ht="28.8" x14ac:dyDescent="0.55000000000000004">
      <c r="A586">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54"/>
        <v>0.01</v>
      </c>
      <c r="P586" s="16">
        <f t="shared" si="55"/>
        <v>5</v>
      </c>
      <c r="Q586" t="str">
        <f t="shared" si="58"/>
        <v>technology</v>
      </c>
      <c r="R586" t="str">
        <f t="shared" si="59"/>
        <v>web</v>
      </c>
      <c r="S586" s="4">
        <f t="shared" si="56"/>
        <v>42049.716620370367</v>
      </c>
      <c r="T586" s="4">
        <f t="shared" si="57"/>
        <v>42079.674953703703</v>
      </c>
      <c r="U586" s="5">
        <f>VLOOKUP(currency,Tables!$A$1:$C$14,3,FALSE)*pledged</f>
        <v>10</v>
      </c>
    </row>
    <row r="587" spans="1:21" ht="43.2" x14ac:dyDescent="0.55000000000000004">
      <c r="A587">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54"/>
        <v>0</v>
      </c>
      <c r="P587" s="16">
        <f t="shared" si="55"/>
        <v>0</v>
      </c>
      <c r="Q587" t="str">
        <f t="shared" si="58"/>
        <v>technology</v>
      </c>
      <c r="R587" t="str">
        <f t="shared" si="59"/>
        <v>web</v>
      </c>
      <c r="S587" s="4">
        <f t="shared" si="56"/>
        <v>42283.3909375</v>
      </c>
      <c r="T587" s="4">
        <f t="shared" si="57"/>
        <v>42339</v>
      </c>
      <c r="U587" s="5">
        <f>VLOOKUP(currency,Tables!$A$1:$C$14,3,FALSE)*pledged</f>
        <v>0</v>
      </c>
    </row>
    <row r="588" spans="1:21" ht="43.2" x14ac:dyDescent="0.55000000000000004">
      <c r="A588">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54"/>
        <v>5.5999999999999999E-3</v>
      </c>
      <c r="P588" s="16">
        <f t="shared" si="55"/>
        <v>14</v>
      </c>
      <c r="Q588" t="str">
        <f t="shared" si="58"/>
        <v>technology</v>
      </c>
      <c r="R588" t="str">
        <f t="shared" si="59"/>
        <v>web</v>
      </c>
      <c r="S588" s="4">
        <f t="shared" si="56"/>
        <v>42020.854247685187</v>
      </c>
      <c r="T588" s="4">
        <f t="shared" si="57"/>
        <v>42050.854247685187</v>
      </c>
      <c r="U588" s="5">
        <f>VLOOKUP(currency,Tables!$A$1:$C$14,3,FALSE)*pledged</f>
        <v>56</v>
      </c>
    </row>
    <row r="589" spans="1:21" ht="72" x14ac:dyDescent="0.55000000000000004">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16">
        <f t="shared" si="55"/>
        <v>389.28571428571428</v>
      </c>
      <c r="Q589" t="str">
        <f t="shared" si="58"/>
        <v>technology</v>
      </c>
      <c r="R589" t="str">
        <f t="shared" si="59"/>
        <v>web</v>
      </c>
      <c r="S589" s="4">
        <f t="shared" si="56"/>
        <v>42080.757326388892</v>
      </c>
      <c r="T589" s="4">
        <f t="shared" si="57"/>
        <v>42110.757326388892</v>
      </c>
      <c r="U589" s="5">
        <f>VLOOKUP(currency,Tables!$A$1:$C$14,3,FALSE)*pledged</f>
        <v>2071</v>
      </c>
    </row>
    <row r="590" spans="1:21" ht="43.2" x14ac:dyDescent="0.55000000000000004">
      <c r="A590">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54"/>
        <v>3.3444444444444443E-2</v>
      </c>
      <c r="P590" s="16">
        <f t="shared" si="55"/>
        <v>150.5</v>
      </c>
      <c r="Q590" t="str">
        <f t="shared" si="58"/>
        <v>technology</v>
      </c>
      <c r="R590" t="str">
        <f t="shared" si="59"/>
        <v>web</v>
      </c>
      <c r="S590" s="4">
        <f t="shared" si="56"/>
        <v>42631.769513888896</v>
      </c>
      <c r="T590" s="4">
        <f t="shared" si="57"/>
        <v>42691.811180555553</v>
      </c>
      <c r="U590" s="5">
        <f>VLOOKUP(currency,Tables!$A$1:$C$14,3,FALSE)*pledged</f>
        <v>355.18</v>
      </c>
    </row>
    <row r="591" spans="1:21" x14ac:dyDescent="0.55000000000000004">
      <c r="A591">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54"/>
        <v>1.3333333333333334E-4</v>
      </c>
      <c r="P591" s="16">
        <f t="shared" si="55"/>
        <v>1</v>
      </c>
      <c r="Q591" t="str">
        <f t="shared" si="58"/>
        <v>technology</v>
      </c>
      <c r="R591" t="str">
        <f t="shared" si="59"/>
        <v>web</v>
      </c>
      <c r="S591" s="4">
        <f t="shared" si="56"/>
        <v>42178.614571759259</v>
      </c>
      <c r="T591" s="4">
        <f t="shared" si="57"/>
        <v>42193.614571759259</v>
      </c>
      <c r="U591" s="5">
        <f>VLOOKUP(currency,Tables!$A$1:$C$14,3,FALSE)*pledged</f>
        <v>1</v>
      </c>
    </row>
    <row r="592" spans="1:21" ht="43.2" x14ac:dyDescent="0.55000000000000004">
      <c r="A592">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54"/>
        <v>4.4600000000000001E-2</v>
      </c>
      <c r="P592" s="16">
        <f t="shared" si="55"/>
        <v>24.777777777777779</v>
      </c>
      <c r="Q592" t="str">
        <f t="shared" si="58"/>
        <v>technology</v>
      </c>
      <c r="R592" t="str">
        <f t="shared" si="59"/>
        <v>web</v>
      </c>
      <c r="S592" s="4">
        <f t="shared" si="56"/>
        <v>42377.554756944446</v>
      </c>
      <c r="T592" s="4">
        <f t="shared" si="57"/>
        <v>42408.542361111111</v>
      </c>
      <c r="U592" s="5">
        <f>VLOOKUP(currency,Tables!$A$1:$C$14,3,FALSE)*pledged</f>
        <v>294.36</v>
      </c>
    </row>
    <row r="593" spans="1:21" ht="43.2" x14ac:dyDescent="0.55000000000000004">
      <c r="A59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16">
        <f t="shared" si="55"/>
        <v>30.5</v>
      </c>
      <c r="Q593" t="str">
        <f t="shared" si="58"/>
        <v>technology</v>
      </c>
      <c r="R593" t="str">
        <f t="shared" si="59"/>
        <v>web</v>
      </c>
      <c r="S593" s="4">
        <f t="shared" si="56"/>
        <v>42177.543171296296</v>
      </c>
      <c r="T593" s="4">
        <f t="shared" si="57"/>
        <v>42207.543171296296</v>
      </c>
      <c r="U593" s="5">
        <f>VLOOKUP(currency,Tables!$A$1:$C$14,3,FALSE)*pledged</f>
        <v>61</v>
      </c>
    </row>
    <row r="594" spans="1:21" ht="43.2" x14ac:dyDescent="0.55000000000000004">
      <c r="A594">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54"/>
        <v>3.3333333333333333E-2</v>
      </c>
      <c r="P594" s="16">
        <f t="shared" si="55"/>
        <v>250</v>
      </c>
      <c r="Q594" t="str">
        <f t="shared" si="58"/>
        <v>technology</v>
      </c>
      <c r="R594" t="str">
        <f t="shared" si="59"/>
        <v>web</v>
      </c>
      <c r="S594" s="4">
        <f t="shared" si="56"/>
        <v>41946.232175925928</v>
      </c>
      <c r="T594" s="4">
        <f t="shared" si="57"/>
        <v>41976.232175925921</v>
      </c>
      <c r="U594" s="5">
        <f>VLOOKUP(currency,Tables!$A$1:$C$14,3,FALSE)*pledged</f>
        <v>250</v>
      </c>
    </row>
    <row r="595" spans="1:21" ht="57.6" x14ac:dyDescent="0.55000000000000004">
      <c r="A595">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54"/>
        <v>0.23</v>
      </c>
      <c r="P595" s="16">
        <f t="shared" si="55"/>
        <v>16.428571428571427</v>
      </c>
      <c r="Q595" t="str">
        <f t="shared" si="58"/>
        <v>technology</v>
      </c>
      <c r="R595" t="str">
        <f t="shared" si="59"/>
        <v>web</v>
      </c>
      <c r="S595" s="4">
        <f t="shared" si="56"/>
        <v>42070.677604166667</v>
      </c>
      <c r="T595" s="4">
        <f t="shared" si="57"/>
        <v>42100.635937500003</v>
      </c>
      <c r="U595" s="5">
        <f>VLOOKUP(currency,Tables!$A$1:$C$14,3,FALSE)*pledged</f>
        <v>151.80000000000001</v>
      </c>
    </row>
    <row r="596" spans="1:21" ht="28.8" x14ac:dyDescent="0.55000000000000004">
      <c r="A596">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54"/>
        <v>1.0399999999999999E-3</v>
      </c>
      <c r="P596" s="16">
        <f t="shared" si="55"/>
        <v>13</v>
      </c>
      <c r="Q596" t="str">
        <f t="shared" si="58"/>
        <v>technology</v>
      </c>
      <c r="R596" t="str">
        <f t="shared" si="59"/>
        <v>web</v>
      </c>
      <c r="S596" s="4">
        <f t="shared" si="56"/>
        <v>42446.780162037037</v>
      </c>
      <c r="T596" s="4">
        <f t="shared" si="57"/>
        <v>42476.780162037037</v>
      </c>
      <c r="U596" s="5">
        <f>VLOOKUP(currency,Tables!$A$1:$C$14,3,FALSE)*pledged</f>
        <v>26</v>
      </c>
    </row>
    <row r="597" spans="1:21" ht="43.2" x14ac:dyDescent="0.55000000000000004">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16">
        <f t="shared" si="55"/>
        <v>53.25</v>
      </c>
      <c r="Q597" t="str">
        <f t="shared" si="58"/>
        <v>technology</v>
      </c>
      <c r="R597" t="str">
        <f t="shared" si="59"/>
        <v>web</v>
      </c>
      <c r="S597" s="4">
        <f t="shared" si="56"/>
        <v>42083.069884259254</v>
      </c>
      <c r="T597" s="4">
        <f t="shared" si="57"/>
        <v>42128.069884259254</v>
      </c>
      <c r="U597" s="5">
        <f>VLOOKUP(currency,Tables!$A$1:$C$14,3,FALSE)*pledged</f>
        <v>426</v>
      </c>
    </row>
    <row r="598" spans="1:21" ht="28.8" x14ac:dyDescent="0.55000000000000004">
      <c r="A598">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54"/>
        <v>2.9999999999999997E-4</v>
      </c>
      <c r="P598" s="16">
        <f t="shared" si="55"/>
        <v>3</v>
      </c>
      <c r="Q598" t="str">
        <f t="shared" si="58"/>
        <v>technology</v>
      </c>
      <c r="R598" t="str">
        <f t="shared" si="59"/>
        <v>web</v>
      </c>
      <c r="S598" s="4">
        <f t="shared" si="56"/>
        <v>42646.896898148145</v>
      </c>
      <c r="T598" s="4">
        <f t="shared" si="57"/>
        <v>42676.896898148145</v>
      </c>
      <c r="U598" s="5">
        <f>VLOOKUP(currency,Tables!$A$1:$C$14,3,FALSE)*pledged</f>
        <v>6</v>
      </c>
    </row>
    <row r="599" spans="1:21" ht="43.2" x14ac:dyDescent="0.55000000000000004">
      <c r="A599">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54"/>
        <v>2.6666666666666666E-3</v>
      </c>
      <c r="P599" s="16">
        <f t="shared" si="55"/>
        <v>10</v>
      </c>
      <c r="Q599" t="str">
        <f t="shared" si="58"/>
        <v>technology</v>
      </c>
      <c r="R599" t="str">
        <f t="shared" si="59"/>
        <v>web</v>
      </c>
      <c r="S599" s="4">
        <f t="shared" si="56"/>
        <v>42545.705266203702</v>
      </c>
      <c r="T599" s="4">
        <f t="shared" si="57"/>
        <v>42582.666666666672</v>
      </c>
      <c r="U599" s="5">
        <f>VLOOKUP(currency,Tables!$A$1:$C$14,3,FALSE)*pledged</f>
        <v>20</v>
      </c>
    </row>
    <row r="600" spans="1:21" ht="28.8" x14ac:dyDescent="0.55000000000000004">
      <c r="A600">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54"/>
        <v>0.34</v>
      </c>
      <c r="P600" s="16">
        <f t="shared" si="55"/>
        <v>121.42857142857143</v>
      </c>
      <c r="Q600" t="str">
        <f t="shared" si="58"/>
        <v>technology</v>
      </c>
      <c r="R600" t="str">
        <f t="shared" si="59"/>
        <v>web</v>
      </c>
      <c r="S600" s="4">
        <f t="shared" si="56"/>
        <v>41948.00209490741</v>
      </c>
      <c r="T600" s="4">
        <f t="shared" si="57"/>
        <v>41978.00209490741</v>
      </c>
      <c r="U600" s="5">
        <f>VLOOKUP(currency,Tables!$A$1:$C$14,3,FALSE)*pledged</f>
        <v>850</v>
      </c>
    </row>
    <row r="601" spans="1:21" ht="43.2" x14ac:dyDescent="0.55000000000000004">
      <c r="A601">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54"/>
        <v>6.2E-4</v>
      </c>
      <c r="P601" s="16">
        <f t="shared" si="55"/>
        <v>15.5</v>
      </c>
      <c r="Q601" t="str">
        <f t="shared" si="58"/>
        <v>technology</v>
      </c>
      <c r="R601" t="str">
        <f t="shared" si="59"/>
        <v>web</v>
      </c>
      <c r="S601" s="4">
        <f t="shared" si="56"/>
        <v>42047.812523148154</v>
      </c>
      <c r="T601" s="4">
        <f t="shared" si="57"/>
        <v>42071.636111111111</v>
      </c>
      <c r="U601" s="5">
        <f>VLOOKUP(currency,Tables!$A$1:$C$14,3,FALSE)*pledged</f>
        <v>31</v>
      </c>
    </row>
    <row r="602" spans="1:21" ht="28.8" x14ac:dyDescent="0.55000000000000004">
      <c r="A602">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54"/>
        <v>0.02</v>
      </c>
      <c r="P602" s="16">
        <f t="shared" si="55"/>
        <v>100</v>
      </c>
      <c r="Q602" t="str">
        <f t="shared" si="58"/>
        <v>technology</v>
      </c>
      <c r="R602" t="str">
        <f t="shared" si="59"/>
        <v>web</v>
      </c>
      <c r="S602" s="4">
        <f t="shared" si="56"/>
        <v>42073.798171296294</v>
      </c>
      <c r="T602" s="4">
        <f t="shared" si="57"/>
        <v>42133.798171296294</v>
      </c>
      <c r="U602" s="5">
        <f>VLOOKUP(currency,Tables!$A$1:$C$14,3,FALSE)*pledged</f>
        <v>100</v>
      </c>
    </row>
    <row r="603" spans="1:21" ht="43.2" x14ac:dyDescent="0.55000000000000004">
      <c r="A60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54"/>
        <v>1.4E-2</v>
      </c>
      <c r="P603" s="16">
        <f t="shared" si="55"/>
        <v>23.333333333333332</v>
      </c>
      <c r="Q603" t="str">
        <f t="shared" si="58"/>
        <v>technology</v>
      </c>
      <c r="R603" t="str">
        <f t="shared" si="59"/>
        <v>web</v>
      </c>
      <c r="S603" s="4">
        <f t="shared" si="56"/>
        <v>41969.858090277776</v>
      </c>
      <c r="T603" s="4">
        <f t="shared" si="57"/>
        <v>41999.858090277776</v>
      </c>
      <c r="U603" s="5">
        <f>VLOOKUP(currency,Tables!$A$1:$C$14,3,FALSE)*pledged</f>
        <v>106.4</v>
      </c>
    </row>
    <row r="604" spans="1:21" ht="43.2" x14ac:dyDescent="0.55000000000000004">
      <c r="A604">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54"/>
        <v>0</v>
      </c>
      <c r="P604" s="16">
        <f t="shared" si="55"/>
        <v>0</v>
      </c>
      <c r="Q604" t="str">
        <f t="shared" si="58"/>
        <v>technology</v>
      </c>
      <c r="R604" t="str">
        <f t="shared" si="59"/>
        <v>web</v>
      </c>
      <c r="S604" s="4">
        <f t="shared" si="56"/>
        <v>42143.79415509259</v>
      </c>
      <c r="T604" s="4">
        <f t="shared" si="57"/>
        <v>42173.79415509259</v>
      </c>
      <c r="U604" s="5">
        <f>VLOOKUP(currency,Tables!$A$1:$C$14,3,FALSE)*pledged</f>
        <v>0</v>
      </c>
    </row>
    <row r="605" spans="1:21" ht="43.2" x14ac:dyDescent="0.55000000000000004">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16">
        <f t="shared" si="55"/>
        <v>45.386153846153846</v>
      </c>
      <c r="Q605" t="str">
        <f t="shared" si="58"/>
        <v>technology</v>
      </c>
      <c r="R605" t="str">
        <f t="shared" si="59"/>
        <v>web</v>
      </c>
      <c r="S605" s="4">
        <f t="shared" si="56"/>
        <v>41835.639155092591</v>
      </c>
      <c r="T605" s="4">
        <f t="shared" si="57"/>
        <v>41865.639155092591</v>
      </c>
      <c r="U605" s="5">
        <f>VLOOKUP(currency,Tables!$A$1:$C$14,3,FALSE)*pledged</f>
        <v>590.02</v>
      </c>
    </row>
    <row r="606" spans="1:21" ht="43.2" x14ac:dyDescent="0.55000000000000004">
      <c r="A606">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54"/>
        <v>0</v>
      </c>
      <c r="P606" s="16">
        <f t="shared" si="55"/>
        <v>0</v>
      </c>
      <c r="Q606" t="str">
        <f t="shared" si="58"/>
        <v>technology</v>
      </c>
      <c r="R606" t="str">
        <f t="shared" si="59"/>
        <v>web</v>
      </c>
      <c r="S606" s="4">
        <f t="shared" si="56"/>
        <v>41849.035370370373</v>
      </c>
      <c r="T606" s="4">
        <f t="shared" si="57"/>
        <v>41879.035370370373</v>
      </c>
      <c r="U606" s="5">
        <f>VLOOKUP(currency,Tables!$A$1:$C$14,3,FALSE)*pledged</f>
        <v>0</v>
      </c>
    </row>
    <row r="607" spans="1:21" ht="28.8" x14ac:dyDescent="0.55000000000000004">
      <c r="A607">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54"/>
        <v>2.6200000000000001E-2</v>
      </c>
      <c r="P607" s="16">
        <f t="shared" si="55"/>
        <v>16.375</v>
      </c>
      <c r="Q607" t="str">
        <f t="shared" si="58"/>
        <v>technology</v>
      </c>
      <c r="R607" t="str">
        <f t="shared" si="59"/>
        <v>web</v>
      </c>
      <c r="S607" s="4">
        <f t="shared" si="56"/>
        <v>42194.357731481476</v>
      </c>
      <c r="T607" s="4">
        <f t="shared" si="57"/>
        <v>42239.357731481476</v>
      </c>
      <c r="U607" s="5">
        <f>VLOOKUP(currency,Tables!$A$1:$C$14,3,FALSE)*pledged</f>
        <v>131</v>
      </c>
    </row>
    <row r="608" spans="1:21" ht="43.2" x14ac:dyDescent="0.55000000000000004">
      <c r="A608">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54"/>
        <v>2E-3</v>
      </c>
      <c r="P608" s="16">
        <f t="shared" si="55"/>
        <v>10</v>
      </c>
      <c r="Q608" t="str">
        <f t="shared" si="58"/>
        <v>technology</v>
      </c>
      <c r="R608" t="str">
        <f t="shared" si="59"/>
        <v>web</v>
      </c>
      <c r="S608" s="4">
        <f t="shared" si="56"/>
        <v>42102.650567129633</v>
      </c>
      <c r="T608" s="4">
        <f t="shared" si="57"/>
        <v>42148.625</v>
      </c>
      <c r="U608" s="5">
        <f>VLOOKUP(currency,Tables!$A$1:$C$14,3,FALSE)*pledged</f>
        <v>11.799999999999999</v>
      </c>
    </row>
    <row r="609" spans="1:21" ht="43.2" x14ac:dyDescent="0.55000000000000004">
      <c r="A609">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54"/>
        <v>0</v>
      </c>
      <c r="P609" s="16">
        <f t="shared" si="55"/>
        <v>0</v>
      </c>
      <c r="Q609" t="str">
        <f t="shared" si="58"/>
        <v>technology</v>
      </c>
      <c r="R609" t="str">
        <f t="shared" si="59"/>
        <v>web</v>
      </c>
      <c r="S609" s="4">
        <f t="shared" si="56"/>
        <v>42300.825648148151</v>
      </c>
      <c r="T609" s="4">
        <f t="shared" si="57"/>
        <v>42330.867314814815</v>
      </c>
      <c r="U609" s="5">
        <f>VLOOKUP(currency,Tables!$A$1:$C$14,3,FALSE)*pledged</f>
        <v>0</v>
      </c>
    </row>
    <row r="610" spans="1:21" ht="43.2" x14ac:dyDescent="0.55000000000000004">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16">
        <f t="shared" si="55"/>
        <v>292.2</v>
      </c>
      <c r="Q610" t="str">
        <f t="shared" si="58"/>
        <v>technology</v>
      </c>
      <c r="R610" t="str">
        <f t="shared" si="59"/>
        <v>web</v>
      </c>
      <c r="S610" s="4">
        <f t="shared" si="56"/>
        <v>42140.921064814815</v>
      </c>
      <c r="T610" s="4">
        <f t="shared" si="57"/>
        <v>42170.921064814815</v>
      </c>
      <c r="U610" s="5">
        <f>VLOOKUP(currency,Tables!$A$1:$C$14,3,FALSE)*pledged</f>
        <v>1461</v>
      </c>
    </row>
    <row r="611" spans="1:21" ht="43.2" x14ac:dyDescent="0.55000000000000004">
      <c r="A611">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54"/>
        <v>6.41025641025641E-3</v>
      </c>
      <c r="P611" s="16">
        <f t="shared" si="55"/>
        <v>5</v>
      </c>
      <c r="Q611" t="str">
        <f t="shared" si="58"/>
        <v>technology</v>
      </c>
      <c r="R611" t="str">
        <f t="shared" si="59"/>
        <v>web</v>
      </c>
      <c r="S611" s="4">
        <f t="shared" si="56"/>
        <v>42307.034074074079</v>
      </c>
      <c r="T611" s="4">
        <f t="shared" si="57"/>
        <v>42337.075740740736</v>
      </c>
      <c r="U611" s="5">
        <f>VLOOKUP(currency,Tables!$A$1:$C$14,3,FALSE)*pledged</f>
        <v>6.6000000000000005</v>
      </c>
    </row>
    <row r="612" spans="1:21" ht="43.2" x14ac:dyDescent="0.55000000000000004">
      <c r="A612">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54"/>
        <v>0</v>
      </c>
      <c r="P612" s="16">
        <f t="shared" si="55"/>
        <v>0</v>
      </c>
      <c r="Q612" t="str">
        <f t="shared" si="58"/>
        <v>technology</v>
      </c>
      <c r="R612" t="str">
        <f t="shared" si="59"/>
        <v>web</v>
      </c>
      <c r="S612" s="4">
        <f t="shared" si="56"/>
        <v>42086.83085648148</v>
      </c>
      <c r="T612" s="4">
        <f t="shared" si="57"/>
        <v>42116.83085648148</v>
      </c>
      <c r="U612" s="5">
        <f>VLOOKUP(currency,Tables!$A$1:$C$14,3,FALSE)*pledged</f>
        <v>0</v>
      </c>
    </row>
    <row r="613" spans="1:21" ht="43.2" x14ac:dyDescent="0.55000000000000004">
      <c r="A61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54"/>
        <v>0</v>
      </c>
      <c r="P613" s="16">
        <f t="shared" si="55"/>
        <v>0</v>
      </c>
      <c r="Q613" t="str">
        <f t="shared" si="58"/>
        <v>technology</v>
      </c>
      <c r="R613" t="str">
        <f t="shared" si="59"/>
        <v>web</v>
      </c>
      <c r="S613" s="4">
        <f t="shared" si="56"/>
        <v>42328.560613425929</v>
      </c>
      <c r="T613" s="4">
        <f t="shared" si="57"/>
        <v>42388.560613425929</v>
      </c>
      <c r="U613" s="5">
        <f>VLOOKUP(currency,Tables!$A$1:$C$14,3,FALSE)*pledged</f>
        <v>0</v>
      </c>
    </row>
    <row r="614" spans="1:21" ht="28.8" x14ac:dyDescent="0.55000000000000004">
      <c r="A614">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54"/>
        <v>0</v>
      </c>
      <c r="P614" s="16">
        <f t="shared" si="55"/>
        <v>0</v>
      </c>
      <c r="Q614" t="str">
        <f t="shared" si="58"/>
        <v>technology</v>
      </c>
      <c r="R614" t="str">
        <f t="shared" si="59"/>
        <v>web</v>
      </c>
      <c r="S614" s="4">
        <f t="shared" si="56"/>
        <v>42585.031782407401</v>
      </c>
      <c r="T614" s="4">
        <f t="shared" si="57"/>
        <v>42615.031782407401</v>
      </c>
      <c r="U614" s="5">
        <f>VLOOKUP(currency,Tables!$A$1:$C$14,3,FALSE)*pledged</f>
        <v>0</v>
      </c>
    </row>
    <row r="615" spans="1:21" ht="43.2" x14ac:dyDescent="0.55000000000000004">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16">
        <f t="shared" si="55"/>
        <v>105.93388429752066</v>
      </c>
      <c r="Q615" t="str">
        <f t="shared" si="58"/>
        <v>technology</v>
      </c>
      <c r="R615" t="str">
        <f t="shared" si="59"/>
        <v>web</v>
      </c>
      <c r="S615" s="4">
        <f t="shared" si="56"/>
        <v>42247.496759259258</v>
      </c>
      <c r="T615" s="4">
        <f t="shared" si="57"/>
        <v>42278.207638888889</v>
      </c>
      <c r="U615" s="5">
        <f>VLOOKUP(currency,Tables!$A$1:$C$14,3,FALSE)*pledged</f>
        <v>12818</v>
      </c>
    </row>
    <row r="616" spans="1:21" ht="43.2" x14ac:dyDescent="0.55000000000000004">
      <c r="A616">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54"/>
        <v>0</v>
      </c>
      <c r="P616" s="16">
        <f t="shared" si="55"/>
        <v>0</v>
      </c>
      <c r="Q616" t="str">
        <f t="shared" si="58"/>
        <v>technology</v>
      </c>
      <c r="R616" t="str">
        <f t="shared" si="59"/>
        <v>web</v>
      </c>
      <c r="S616" s="4">
        <f t="shared" si="56"/>
        <v>42515.061805555553</v>
      </c>
      <c r="T616" s="4">
        <f t="shared" si="57"/>
        <v>42545.061805555553</v>
      </c>
      <c r="U616" s="5">
        <f>VLOOKUP(currency,Tables!$A$1:$C$14,3,FALSE)*pledged</f>
        <v>0</v>
      </c>
    </row>
    <row r="617" spans="1:21" ht="43.2" x14ac:dyDescent="0.55000000000000004">
      <c r="A617">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54"/>
        <v>0</v>
      </c>
      <c r="P617" s="16">
        <f t="shared" si="55"/>
        <v>0</v>
      </c>
      <c r="Q617" t="str">
        <f t="shared" si="58"/>
        <v>technology</v>
      </c>
      <c r="R617" t="str">
        <f t="shared" si="59"/>
        <v>web</v>
      </c>
      <c r="S617" s="4">
        <f t="shared" si="56"/>
        <v>42242.122210648144</v>
      </c>
      <c r="T617" s="4">
        <f t="shared" si="57"/>
        <v>42272.122210648144</v>
      </c>
      <c r="U617" s="5">
        <f>VLOOKUP(currency,Tables!$A$1:$C$14,3,FALSE)*pledged</f>
        <v>0</v>
      </c>
    </row>
    <row r="618" spans="1:21" ht="43.2" x14ac:dyDescent="0.55000000000000004">
      <c r="A618">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54"/>
        <v>0</v>
      </c>
      <c r="P618" s="16">
        <f t="shared" si="55"/>
        <v>0</v>
      </c>
      <c r="Q618" t="str">
        <f t="shared" si="58"/>
        <v>technology</v>
      </c>
      <c r="R618" t="str">
        <f t="shared" si="59"/>
        <v>web</v>
      </c>
      <c r="S618" s="4">
        <f t="shared" si="56"/>
        <v>42761.376238425932</v>
      </c>
      <c r="T618" s="4">
        <f t="shared" si="57"/>
        <v>42791.376238425932</v>
      </c>
      <c r="U618" s="5">
        <f>VLOOKUP(currency,Tables!$A$1:$C$14,3,FALSE)*pledged</f>
        <v>0</v>
      </c>
    </row>
    <row r="619" spans="1:21" ht="43.2" x14ac:dyDescent="0.55000000000000004">
      <c r="A619">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54"/>
        <v>0.03</v>
      </c>
      <c r="P619" s="16">
        <f t="shared" si="55"/>
        <v>20</v>
      </c>
      <c r="Q619" t="str">
        <f t="shared" si="58"/>
        <v>technology</v>
      </c>
      <c r="R619" t="str">
        <f t="shared" si="59"/>
        <v>web</v>
      </c>
      <c r="S619" s="4">
        <f t="shared" si="56"/>
        <v>42087.343090277776</v>
      </c>
      <c r="T619" s="4">
        <f t="shared" si="57"/>
        <v>42132.343090277776</v>
      </c>
      <c r="U619" s="5">
        <f>VLOOKUP(currency,Tables!$A$1:$C$14,3,FALSE)*pledged</f>
        <v>79.2</v>
      </c>
    </row>
    <row r="620" spans="1:21" ht="43.2" x14ac:dyDescent="0.55000000000000004">
      <c r="A620">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54"/>
        <v>0</v>
      </c>
      <c r="P620" s="16">
        <f t="shared" si="55"/>
        <v>0</v>
      </c>
      <c r="Q620" t="str">
        <f t="shared" si="58"/>
        <v>technology</v>
      </c>
      <c r="R620" t="str">
        <f t="shared" si="59"/>
        <v>web</v>
      </c>
      <c r="S620" s="4">
        <f t="shared" si="56"/>
        <v>42317.810219907406</v>
      </c>
      <c r="T620" s="4">
        <f t="shared" si="57"/>
        <v>42347.810219907406</v>
      </c>
      <c r="U620" s="5">
        <f>VLOOKUP(currency,Tables!$A$1:$C$14,3,FALSE)*pledged</f>
        <v>0</v>
      </c>
    </row>
    <row r="621" spans="1:21" ht="28.8" x14ac:dyDescent="0.55000000000000004">
      <c r="A621">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16">
        <f t="shared" si="55"/>
        <v>1</v>
      </c>
      <c r="Q621" t="str">
        <f t="shared" si="58"/>
        <v>technology</v>
      </c>
      <c r="R621" t="str">
        <f t="shared" si="59"/>
        <v>web</v>
      </c>
      <c r="S621" s="4">
        <f t="shared" si="56"/>
        <v>41908.650347222225</v>
      </c>
      <c r="T621" s="4">
        <f t="shared" si="57"/>
        <v>41968.692013888889</v>
      </c>
      <c r="U621" s="5">
        <f>VLOOKUP(currency,Tables!$A$1:$C$14,3,FALSE)*pledged</f>
        <v>1</v>
      </c>
    </row>
    <row r="622" spans="1:21" ht="43.2" x14ac:dyDescent="0.55000000000000004">
      <c r="A622">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54"/>
        <v>0.01</v>
      </c>
      <c r="P622" s="16">
        <f t="shared" si="55"/>
        <v>300</v>
      </c>
      <c r="Q622" t="str">
        <f t="shared" si="58"/>
        <v>technology</v>
      </c>
      <c r="R622" t="str">
        <f t="shared" si="59"/>
        <v>web</v>
      </c>
      <c r="S622" s="4">
        <f t="shared" si="56"/>
        <v>41831.716874999998</v>
      </c>
      <c r="T622" s="4">
        <f t="shared" si="57"/>
        <v>41876.716874999998</v>
      </c>
      <c r="U622" s="5">
        <f>VLOOKUP(currency,Tables!$A$1:$C$14,3,FALSE)*pledged</f>
        <v>228</v>
      </c>
    </row>
    <row r="623" spans="1:21" ht="43.2" x14ac:dyDescent="0.55000000000000004">
      <c r="A62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54"/>
        <v>1.044E-2</v>
      </c>
      <c r="P623" s="16">
        <f t="shared" si="55"/>
        <v>87</v>
      </c>
      <c r="Q623" t="str">
        <f t="shared" si="58"/>
        <v>technology</v>
      </c>
      <c r="R623" t="str">
        <f t="shared" si="59"/>
        <v>web</v>
      </c>
      <c r="S623" s="4">
        <f t="shared" si="56"/>
        <v>42528.987696759257</v>
      </c>
      <c r="T623" s="4">
        <f t="shared" si="57"/>
        <v>42558.987696759257</v>
      </c>
      <c r="U623" s="5">
        <f>VLOOKUP(currency,Tables!$A$1:$C$14,3,FALSE)*pledged</f>
        <v>261</v>
      </c>
    </row>
    <row r="624" spans="1:21" ht="43.2" x14ac:dyDescent="0.55000000000000004">
      <c r="A624">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54"/>
        <v>5.6833333333333333E-2</v>
      </c>
      <c r="P624" s="16">
        <f t="shared" si="55"/>
        <v>37.888888888888886</v>
      </c>
      <c r="Q624" t="str">
        <f t="shared" si="58"/>
        <v>technology</v>
      </c>
      <c r="R624" t="str">
        <f t="shared" si="59"/>
        <v>web</v>
      </c>
      <c r="S624" s="4">
        <f t="shared" si="56"/>
        <v>42532.774745370371</v>
      </c>
      <c r="T624" s="4">
        <f t="shared" si="57"/>
        <v>42552.774745370371</v>
      </c>
      <c r="U624" s="5">
        <f>VLOOKUP(currency,Tables!$A$1:$C$14,3,FALSE)*pledged</f>
        <v>341</v>
      </c>
    </row>
    <row r="625" spans="1:21" ht="43.2" x14ac:dyDescent="0.55000000000000004">
      <c r="A625">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54"/>
        <v>0</v>
      </c>
      <c r="P625" s="16">
        <f t="shared" si="55"/>
        <v>0</v>
      </c>
      <c r="Q625" t="str">
        <f t="shared" si="58"/>
        <v>technology</v>
      </c>
      <c r="R625" t="str">
        <f t="shared" si="59"/>
        <v>web</v>
      </c>
      <c r="S625" s="4">
        <f t="shared" si="56"/>
        <v>42122.009224537032</v>
      </c>
      <c r="T625" s="4">
        <f t="shared" si="57"/>
        <v>42152.009224537032</v>
      </c>
      <c r="U625" s="5">
        <f>VLOOKUP(currency,Tables!$A$1:$C$14,3,FALSE)*pledged</f>
        <v>0</v>
      </c>
    </row>
    <row r="626" spans="1:21" ht="43.2" x14ac:dyDescent="0.55000000000000004">
      <c r="A626">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54"/>
        <v>0</v>
      </c>
      <c r="P626" s="16">
        <f t="shared" si="55"/>
        <v>0</v>
      </c>
      <c r="Q626" t="str">
        <f t="shared" si="58"/>
        <v>technology</v>
      </c>
      <c r="R626" t="str">
        <f t="shared" si="59"/>
        <v>web</v>
      </c>
      <c r="S626" s="4">
        <f t="shared" si="56"/>
        <v>42108.988900462966</v>
      </c>
      <c r="T626" s="4">
        <f t="shared" si="57"/>
        <v>42138.988900462966</v>
      </c>
      <c r="U626" s="5">
        <f>VLOOKUP(currency,Tables!$A$1:$C$14,3,FALSE)*pledged</f>
        <v>0</v>
      </c>
    </row>
    <row r="627" spans="1:21" ht="43.2" x14ac:dyDescent="0.55000000000000004">
      <c r="A627">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54"/>
        <v>0</v>
      </c>
      <c r="P627" s="16">
        <f t="shared" si="55"/>
        <v>0</v>
      </c>
      <c r="Q627" t="str">
        <f t="shared" si="58"/>
        <v>technology</v>
      </c>
      <c r="R627" t="str">
        <f t="shared" si="59"/>
        <v>web</v>
      </c>
      <c r="S627" s="4">
        <f t="shared" si="56"/>
        <v>42790.895567129628</v>
      </c>
      <c r="T627" s="4">
        <f t="shared" si="57"/>
        <v>42820.853900462964</v>
      </c>
      <c r="U627" s="5">
        <f>VLOOKUP(currency,Tables!$A$1:$C$14,3,FALSE)*pledged</f>
        <v>0</v>
      </c>
    </row>
    <row r="628" spans="1:21" ht="43.2" x14ac:dyDescent="0.55000000000000004">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16">
        <f t="shared" si="55"/>
        <v>111.41025641025641</v>
      </c>
      <c r="Q628" t="str">
        <f t="shared" si="58"/>
        <v>technology</v>
      </c>
      <c r="R628" t="str">
        <f t="shared" si="59"/>
        <v>web</v>
      </c>
      <c r="S628" s="4">
        <f t="shared" si="56"/>
        <v>42198.559479166666</v>
      </c>
      <c r="T628" s="4">
        <f t="shared" si="57"/>
        <v>42231.556944444441</v>
      </c>
      <c r="U628" s="5">
        <f>VLOOKUP(currency,Tables!$A$1:$C$14,3,FALSE)*pledged</f>
        <v>4345</v>
      </c>
    </row>
    <row r="629" spans="1:21" ht="43.2" x14ac:dyDescent="0.55000000000000004">
      <c r="A629">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16">
        <f t="shared" si="55"/>
        <v>90</v>
      </c>
      <c r="Q629" t="str">
        <f t="shared" si="58"/>
        <v>technology</v>
      </c>
      <c r="R629" t="str">
        <f t="shared" si="59"/>
        <v>web</v>
      </c>
      <c r="S629" s="4">
        <f t="shared" si="56"/>
        <v>42384.306840277779</v>
      </c>
      <c r="T629" s="4">
        <f t="shared" si="57"/>
        <v>42443.958333333328</v>
      </c>
      <c r="U629" s="5">
        <f>VLOOKUP(currency,Tables!$A$1:$C$14,3,FALSE)*pledged</f>
        <v>9.9</v>
      </c>
    </row>
    <row r="630" spans="1:21" ht="43.2" x14ac:dyDescent="0.55000000000000004">
      <c r="A630">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54"/>
        <v>0</v>
      </c>
      <c r="P630" s="16">
        <f t="shared" si="55"/>
        <v>0</v>
      </c>
      <c r="Q630" t="str">
        <f t="shared" si="58"/>
        <v>technology</v>
      </c>
      <c r="R630" t="str">
        <f t="shared" si="59"/>
        <v>web</v>
      </c>
      <c r="S630" s="4">
        <f t="shared" si="56"/>
        <v>41803.692789351851</v>
      </c>
      <c r="T630" s="4">
        <f t="shared" si="57"/>
        <v>41833.692789351851</v>
      </c>
      <c r="U630" s="5">
        <f>VLOOKUP(currency,Tables!$A$1:$C$14,3,FALSE)*pledged</f>
        <v>0</v>
      </c>
    </row>
    <row r="631" spans="1:21" ht="43.2" x14ac:dyDescent="0.55000000000000004">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54"/>
        <v>1.75E-3</v>
      </c>
      <c r="P631" s="16">
        <f t="shared" si="55"/>
        <v>116.66666666666667</v>
      </c>
      <c r="Q631" t="str">
        <f t="shared" si="58"/>
        <v>technology</v>
      </c>
      <c r="R631" t="str">
        <f t="shared" si="59"/>
        <v>web</v>
      </c>
      <c r="S631" s="4">
        <f t="shared" si="56"/>
        <v>42474.637824074074</v>
      </c>
      <c r="T631" s="4">
        <f t="shared" si="57"/>
        <v>42504.637824074074</v>
      </c>
      <c r="U631" s="5">
        <f>VLOOKUP(currency,Tables!$A$1:$C$14,3,FALSE)*pledged</f>
        <v>255.5</v>
      </c>
    </row>
    <row r="632" spans="1:21" ht="43.2" x14ac:dyDescent="0.55000000000000004">
      <c r="A632">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54"/>
        <v>8.3340278356529708E-4</v>
      </c>
      <c r="P632" s="16">
        <f t="shared" si="55"/>
        <v>10</v>
      </c>
      <c r="Q632" t="str">
        <f t="shared" si="58"/>
        <v>technology</v>
      </c>
      <c r="R632" t="str">
        <f t="shared" si="59"/>
        <v>web</v>
      </c>
      <c r="S632" s="4">
        <f t="shared" si="56"/>
        <v>42223.619456018518</v>
      </c>
      <c r="T632" s="4">
        <f t="shared" si="57"/>
        <v>42253.215277777781</v>
      </c>
      <c r="U632" s="5">
        <f>VLOOKUP(currency,Tables!$A$1:$C$14,3,FALSE)*pledged</f>
        <v>10</v>
      </c>
    </row>
    <row r="633" spans="1:21" ht="28.8" x14ac:dyDescent="0.55000000000000004">
      <c r="A63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54"/>
        <v>1.38E-2</v>
      </c>
      <c r="P633" s="16">
        <f t="shared" si="55"/>
        <v>76.666666666666671</v>
      </c>
      <c r="Q633" t="str">
        <f t="shared" si="58"/>
        <v>technology</v>
      </c>
      <c r="R633" t="str">
        <f t="shared" si="59"/>
        <v>web</v>
      </c>
      <c r="S633" s="4">
        <f t="shared" si="56"/>
        <v>42489.772326388891</v>
      </c>
      <c r="T633" s="4">
        <f t="shared" si="57"/>
        <v>42518.772326388891</v>
      </c>
      <c r="U633" s="5">
        <f>VLOOKUP(currency,Tables!$A$1:$C$14,3,FALSE)*pledged</f>
        <v>524.4</v>
      </c>
    </row>
    <row r="634" spans="1:21" ht="28.8" x14ac:dyDescent="0.55000000000000004">
      <c r="A634">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54"/>
        <v>0</v>
      </c>
      <c r="P634" s="16">
        <f t="shared" si="55"/>
        <v>0</v>
      </c>
      <c r="Q634" t="str">
        <f t="shared" si="58"/>
        <v>technology</v>
      </c>
      <c r="R634" t="str">
        <f t="shared" si="59"/>
        <v>web</v>
      </c>
      <c r="S634" s="4">
        <f t="shared" si="56"/>
        <v>42303.659317129626</v>
      </c>
      <c r="T634" s="4">
        <f t="shared" si="57"/>
        <v>42333.700983796298</v>
      </c>
      <c r="U634" s="5">
        <f>VLOOKUP(currency,Tables!$A$1:$C$14,3,FALSE)*pledged</f>
        <v>0</v>
      </c>
    </row>
    <row r="635" spans="1:21" ht="43.2" x14ac:dyDescent="0.55000000000000004">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54"/>
        <v>0.1245</v>
      </c>
      <c r="P635" s="16">
        <f t="shared" si="55"/>
        <v>49.8</v>
      </c>
      <c r="Q635" t="str">
        <f t="shared" si="58"/>
        <v>technology</v>
      </c>
      <c r="R635" t="str">
        <f t="shared" si="59"/>
        <v>web</v>
      </c>
      <c r="S635" s="4">
        <f t="shared" si="56"/>
        <v>42507.29932870371</v>
      </c>
      <c r="T635" s="4">
        <f t="shared" si="57"/>
        <v>42538.958333333328</v>
      </c>
      <c r="U635" s="5">
        <f>VLOOKUP(currency,Tables!$A$1:$C$14,3,FALSE)*pledged</f>
        <v>1245</v>
      </c>
    </row>
    <row r="636" spans="1:21" ht="28.8" x14ac:dyDescent="0.55000000000000004">
      <c r="A636">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54"/>
        <v>2.0000000000000001E-4</v>
      </c>
      <c r="P636" s="16">
        <f t="shared" si="55"/>
        <v>1</v>
      </c>
      <c r="Q636" t="str">
        <f t="shared" si="58"/>
        <v>technology</v>
      </c>
      <c r="R636" t="str">
        <f t="shared" si="59"/>
        <v>web</v>
      </c>
      <c r="S636" s="4">
        <f t="shared" si="56"/>
        <v>42031.928576388891</v>
      </c>
      <c r="T636" s="4">
        <f t="shared" si="57"/>
        <v>42061.928576388891</v>
      </c>
      <c r="U636" s="5">
        <f>VLOOKUP(currency,Tables!$A$1:$C$14,3,FALSE)*pledged</f>
        <v>1</v>
      </c>
    </row>
    <row r="637" spans="1:21" ht="28.8" x14ac:dyDescent="0.55000000000000004">
      <c r="A637">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54"/>
        <v>8.0000000000000007E-5</v>
      </c>
      <c r="P637" s="16">
        <f t="shared" si="55"/>
        <v>2</v>
      </c>
      <c r="Q637" t="str">
        <f t="shared" si="58"/>
        <v>technology</v>
      </c>
      <c r="R637" t="str">
        <f t="shared" si="59"/>
        <v>web</v>
      </c>
      <c r="S637" s="4">
        <f t="shared" si="56"/>
        <v>42076.092152777783</v>
      </c>
      <c r="T637" s="4">
        <f t="shared" si="57"/>
        <v>42106.092152777783</v>
      </c>
      <c r="U637" s="5">
        <f>VLOOKUP(currency,Tables!$A$1:$C$14,3,FALSE)*pledged</f>
        <v>2</v>
      </c>
    </row>
    <row r="638" spans="1:21" ht="28.8" x14ac:dyDescent="0.55000000000000004">
      <c r="A638">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54"/>
        <v>2E-3</v>
      </c>
      <c r="P638" s="16">
        <f t="shared" si="55"/>
        <v>4</v>
      </c>
      <c r="Q638" t="str">
        <f t="shared" si="58"/>
        <v>technology</v>
      </c>
      <c r="R638" t="str">
        <f t="shared" si="59"/>
        <v>web</v>
      </c>
      <c r="S638" s="4">
        <f t="shared" si="56"/>
        <v>42131.455439814818</v>
      </c>
      <c r="T638" s="4">
        <f t="shared" si="57"/>
        <v>42161.44930555555</v>
      </c>
      <c r="U638" s="5">
        <f>VLOOKUP(currency,Tables!$A$1:$C$14,3,FALSE)*pledged</f>
        <v>5.28</v>
      </c>
    </row>
    <row r="639" spans="1:21" ht="43.2" x14ac:dyDescent="0.55000000000000004">
      <c r="A639">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54"/>
        <v>0</v>
      </c>
      <c r="P639" s="16">
        <f t="shared" si="55"/>
        <v>0</v>
      </c>
      <c r="Q639" t="str">
        <f t="shared" si="58"/>
        <v>technology</v>
      </c>
      <c r="R639" t="str">
        <f t="shared" si="59"/>
        <v>web</v>
      </c>
      <c r="S639" s="4">
        <f t="shared" si="56"/>
        <v>42762.962013888886</v>
      </c>
      <c r="T639" s="4">
        <f t="shared" si="57"/>
        <v>42791.961111111115</v>
      </c>
      <c r="U639" s="5">
        <f>VLOOKUP(currency,Tables!$A$1:$C$14,3,FALSE)*pledged</f>
        <v>0</v>
      </c>
    </row>
    <row r="640" spans="1:21" x14ac:dyDescent="0.55000000000000004">
      <c r="A640">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16">
        <f t="shared" si="55"/>
        <v>3</v>
      </c>
      <c r="Q640" t="str">
        <f t="shared" si="58"/>
        <v>technology</v>
      </c>
      <c r="R640" t="str">
        <f t="shared" si="59"/>
        <v>web</v>
      </c>
      <c r="S640" s="4">
        <f t="shared" si="56"/>
        <v>42759.593310185184</v>
      </c>
      <c r="T640" s="4">
        <f t="shared" si="57"/>
        <v>42819.55164351852</v>
      </c>
      <c r="U640" s="5">
        <f>VLOOKUP(currency,Tables!$A$1:$C$14,3,FALSE)*pledged</f>
        <v>21.24</v>
      </c>
    </row>
    <row r="641" spans="1:21" ht="28.8" x14ac:dyDescent="0.55000000000000004">
      <c r="A641">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16">
        <f t="shared" si="55"/>
        <v>1</v>
      </c>
      <c r="Q641" t="str">
        <f t="shared" si="58"/>
        <v>technology</v>
      </c>
      <c r="R641" t="str">
        <f t="shared" si="59"/>
        <v>web</v>
      </c>
      <c r="S641" s="4">
        <f t="shared" si="56"/>
        <v>41865.583275462966</v>
      </c>
      <c r="T641" s="4">
        <f t="shared" si="57"/>
        <v>41925.583275462966</v>
      </c>
      <c r="U641" s="5">
        <f>VLOOKUP(currency,Tables!$A$1:$C$14,3,FALSE)*pledged</f>
        <v>1</v>
      </c>
    </row>
    <row r="642" spans="1:21" ht="43.2" x14ac:dyDescent="0.55000000000000004">
      <c r="A642">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ref="O642:O705" si="60">pledged/goal</f>
        <v>1.4428571428571428</v>
      </c>
      <c r="P642" s="16">
        <f t="shared" ref="P642:P705" si="61">IF(pledged=0,0,pledged/backers_count)</f>
        <v>50.5</v>
      </c>
      <c r="Q642" t="str">
        <f t="shared" si="58"/>
        <v>technology</v>
      </c>
      <c r="R642" t="str">
        <f t="shared" si="59"/>
        <v>wearables</v>
      </c>
      <c r="S642" s="4">
        <f t="shared" ref="S642:S705" si="62">(((Unix_launched_date/60)/60)/24)+DATE(1970,1,1)</f>
        <v>42683.420312500006</v>
      </c>
      <c r="T642" s="4">
        <f t="shared" ref="T642:T705" si="63">(((Unix_deadline/60)/60)/24)+DATE(1970,1,1)</f>
        <v>42698.958333333328</v>
      </c>
      <c r="U642" s="5">
        <f>VLOOKUP(currency,Tables!$A$1:$C$14,3,FALSE)*pledged</f>
        <v>119.17999999999999</v>
      </c>
    </row>
    <row r="643" spans="1:21" ht="43.2" x14ac:dyDescent="0.55000000000000004">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si="60"/>
        <v>1.1916249999999999</v>
      </c>
      <c r="P643" s="16">
        <f t="shared" si="61"/>
        <v>151.31746031746033</v>
      </c>
      <c r="Q643" t="str">
        <f t="shared" ref="Q643:Q706" si="64">LEFT(N643,FIND("/",N643,1)-1)</f>
        <v>technology</v>
      </c>
      <c r="R643" t="str">
        <f t="shared" ref="R643:R706" si="65">RIGHT(N643,(LEN(N643)-FIND("/",N643,1)))</f>
        <v>wearables</v>
      </c>
      <c r="S643" s="4">
        <f t="shared" si="62"/>
        <v>42199.57</v>
      </c>
      <c r="T643" s="4">
        <f t="shared" si="63"/>
        <v>42229.57</v>
      </c>
      <c r="U643" s="5">
        <f>VLOOKUP(currency,Tables!$A$1:$C$14,3,FALSE)*pledged</f>
        <v>47665</v>
      </c>
    </row>
    <row r="644" spans="1:21" ht="43.2" x14ac:dyDescent="0.55000000000000004">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16">
        <f t="shared" si="61"/>
        <v>134.3592456301748</v>
      </c>
      <c r="Q644" t="str">
        <f t="shared" si="64"/>
        <v>technology</v>
      </c>
      <c r="R644" t="str">
        <f t="shared" si="65"/>
        <v>wearables</v>
      </c>
      <c r="S644" s="4">
        <f t="shared" si="62"/>
        <v>42199.651319444441</v>
      </c>
      <c r="T644" s="4">
        <f t="shared" si="63"/>
        <v>42235.651319444441</v>
      </c>
      <c r="U644" s="5">
        <f>VLOOKUP(currency,Tables!$A$1:$C$14,3,FALSE)*pledged</f>
        <v>344674.45999999996</v>
      </c>
    </row>
    <row r="645" spans="1:21" ht="28.8" x14ac:dyDescent="0.55000000000000004">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16">
        <f t="shared" si="61"/>
        <v>174.02631578947367</v>
      </c>
      <c r="Q645" t="str">
        <f t="shared" si="64"/>
        <v>technology</v>
      </c>
      <c r="R645" t="str">
        <f t="shared" si="65"/>
        <v>wearables</v>
      </c>
      <c r="S645" s="4">
        <f t="shared" si="62"/>
        <v>42100.642071759255</v>
      </c>
      <c r="T645" s="4">
        <f t="shared" si="63"/>
        <v>42155.642071759255</v>
      </c>
      <c r="U645" s="5">
        <f>VLOOKUP(currency,Tables!$A$1:$C$14,3,FALSE)*pledged</f>
        <v>26452</v>
      </c>
    </row>
    <row r="646" spans="1:21" ht="43.2" x14ac:dyDescent="0.55000000000000004">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16">
        <f t="shared" si="61"/>
        <v>73.486268364348675</v>
      </c>
      <c r="Q646" t="str">
        <f t="shared" si="64"/>
        <v>technology</v>
      </c>
      <c r="R646" t="str">
        <f t="shared" si="65"/>
        <v>wearables</v>
      </c>
      <c r="S646" s="4">
        <f t="shared" si="62"/>
        <v>41898.665960648148</v>
      </c>
      <c r="T646" s="4">
        <f t="shared" si="63"/>
        <v>41941.041666666664</v>
      </c>
      <c r="U646" s="5">
        <f>VLOOKUP(currency,Tables!$A$1:$C$14,3,FALSE)*pledged</f>
        <v>75029.48</v>
      </c>
    </row>
    <row r="647" spans="1:21" ht="28.8" x14ac:dyDescent="0.55000000000000004">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16">
        <f t="shared" si="61"/>
        <v>23.518987341772153</v>
      </c>
      <c r="Q647" t="str">
        <f t="shared" si="64"/>
        <v>technology</v>
      </c>
      <c r="R647" t="str">
        <f t="shared" si="65"/>
        <v>wearables</v>
      </c>
      <c r="S647" s="4">
        <f t="shared" si="62"/>
        <v>42564.026319444441</v>
      </c>
      <c r="T647" s="4">
        <f t="shared" si="63"/>
        <v>42594.026319444441</v>
      </c>
      <c r="U647" s="5">
        <f>VLOOKUP(currency,Tables!$A$1:$C$14,3,FALSE)*pledged</f>
        <v>5574</v>
      </c>
    </row>
    <row r="648" spans="1:21" ht="43.2" x14ac:dyDescent="0.55000000000000004">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16">
        <f t="shared" si="61"/>
        <v>39.074444444444445</v>
      </c>
      <c r="Q648" t="str">
        <f t="shared" si="64"/>
        <v>technology</v>
      </c>
      <c r="R648" t="str">
        <f t="shared" si="65"/>
        <v>wearables</v>
      </c>
      <c r="S648" s="4">
        <f t="shared" si="62"/>
        <v>41832.852627314816</v>
      </c>
      <c r="T648" s="4">
        <f t="shared" si="63"/>
        <v>41862.852627314816</v>
      </c>
      <c r="U648" s="5">
        <f>VLOOKUP(currency,Tables!$A$1:$C$14,3,FALSE)*pledged</f>
        <v>1055.01</v>
      </c>
    </row>
    <row r="649" spans="1:21" ht="43.2" x14ac:dyDescent="0.55000000000000004">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60"/>
        <v>1.0705</v>
      </c>
      <c r="P649" s="16">
        <f t="shared" si="61"/>
        <v>125.94117647058823</v>
      </c>
      <c r="Q649" t="str">
        <f t="shared" si="64"/>
        <v>technology</v>
      </c>
      <c r="R649" t="str">
        <f t="shared" si="65"/>
        <v>wearables</v>
      </c>
      <c r="S649" s="4">
        <f t="shared" si="62"/>
        <v>42416.767928240741</v>
      </c>
      <c r="T649" s="4">
        <f t="shared" si="63"/>
        <v>42446.726261574076</v>
      </c>
      <c r="U649" s="5">
        <f>VLOOKUP(currency,Tables!$A$1:$C$14,3,FALSE)*pledged</f>
        <v>1627.16</v>
      </c>
    </row>
    <row r="650" spans="1:21" ht="28.8" x14ac:dyDescent="0.55000000000000004">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16">
        <f t="shared" si="61"/>
        <v>1644</v>
      </c>
      <c r="Q650" t="str">
        <f t="shared" si="64"/>
        <v>technology</v>
      </c>
      <c r="R650" t="str">
        <f t="shared" si="65"/>
        <v>wearables</v>
      </c>
      <c r="S650" s="4">
        <f t="shared" si="62"/>
        <v>41891.693379629629</v>
      </c>
      <c r="T650" s="4">
        <f t="shared" si="63"/>
        <v>41926.693379629629</v>
      </c>
      <c r="U650" s="5">
        <f>VLOOKUP(currency,Tables!$A$1:$C$14,3,FALSE)*pledged</f>
        <v>44388</v>
      </c>
    </row>
    <row r="651" spans="1:21" ht="43.2" x14ac:dyDescent="0.55000000000000004">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60"/>
        <v>1.3996</v>
      </c>
      <c r="P651" s="16">
        <f t="shared" si="61"/>
        <v>42.670731707317074</v>
      </c>
      <c r="Q651" t="str">
        <f t="shared" si="64"/>
        <v>technology</v>
      </c>
      <c r="R651" t="str">
        <f t="shared" si="65"/>
        <v>wearables</v>
      </c>
      <c r="S651" s="4">
        <f t="shared" si="62"/>
        <v>41877.912187499998</v>
      </c>
      <c r="T651" s="4">
        <f t="shared" si="63"/>
        <v>41898.912187499998</v>
      </c>
      <c r="U651" s="5">
        <f>VLOOKUP(currency,Tables!$A$1:$C$14,3,FALSE)*pledged</f>
        <v>3499</v>
      </c>
    </row>
    <row r="652" spans="1:21" ht="43.2" x14ac:dyDescent="0.55000000000000004">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60"/>
        <v>1.1240000000000001</v>
      </c>
      <c r="P652" s="16">
        <f t="shared" si="61"/>
        <v>35.125</v>
      </c>
      <c r="Q652" t="str">
        <f t="shared" si="64"/>
        <v>technology</v>
      </c>
      <c r="R652" t="str">
        <f t="shared" si="65"/>
        <v>wearables</v>
      </c>
      <c r="S652" s="4">
        <f t="shared" si="62"/>
        <v>41932.036851851852</v>
      </c>
      <c r="T652" s="4">
        <f t="shared" si="63"/>
        <v>41992.078518518523</v>
      </c>
      <c r="U652" s="5">
        <f>VLOOKUP(currency,Tables!$A$1:$C$14,3,FALSE)*pledged</f>
        <v>1686</v>
      </c>
    </row>
    <row r="653" spans="1:21" ht="43.2" x14ac:dyDescent="0.55000000000000004">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60"/>
        <v>1.00528</v>
      </c>
      <c r="P653" s="16">
        <f t="shared" si="61"/>
        <v>239.35238095238094</v>
      </c>
      <c r="Q653" t="str">
        <f t="shared" si="64"/>
        <v>technology</v>
      </c>
      <c r="R653" t="str">
        <f t="shared" si="65"/>
        <v>wearables</v>
      </c>
      <c r="S653" s="4">
        <f t="shared" si="62"/>
        <v>41956.017488425925</v>
      </c>
      <c r="T653" s="4">
        <f t="shared" si="63"/>
        <v>41986.017488425925</v>
      </c>
      <c r="U653" s="5">
        <f>VLOOKUP(currency,Tables!$A$1:$C$14,3,FALSE)*pledged</f>
        <v>25132</v>
      </c>
    </row>
    <row r="654" spans="1:21" ht="43.2" x14ac:dyDescent="0.55000000000000004">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60"/>
        <v>1.0046666666666666</v>
      </c>
      <c r="P654" s="16">
        <f t="shared" si="61"/>
        <v>107.64285714285714</v>
      </c>
      <c r="Q654" t="str">
        <f t="shared" si="64"/>
        <v>technology</v>
      </c>
      <c r="R654" t="str">
        <f t="shared" si="65"/>
        <v>wearables</v>
      </c>
      <c r="S654" s="4">
        <f t="shared" si="62"/>
        <v>42675.690393518518</v>
      </c>
      <c r="T654" s="4">
        <f t="shared" si="63"/>
        <v>42705.732060185182</v>
      </c>
      <c r="U654" s="5">
        <f>VLOOKUP(currency,Tables!$A$1:$C$14,3,FALSE)*pledged</f>
        <v>3014</v>
      </c>
    </row>
    <row r="655" spans="1:21" ht="43.2" x14ac:dyDescent="0.55000000000000004">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16">
        <f t="shared" si="61"/>
        <v>95.830623306233065</v>
      </c>
      <c r="Q655" t="str">
        <f t="shared" si="64"/>
        <v>technology</v>
      </c>
      <c r="R655" t="str">
        <f t="shared" si="65"/>
        <v>wearables</v>
      </c>
      <c r="S655" s="4">
        <f t="shared" si="62"/>
        <v>42199.618518518517</v>
      </c>
      <c r="T655" s="4">
        <f t="shared" si="63"/>
        <v>42236.618518518517</v>
      </c>
      <c r="U655" s="5">
        <f>VLOOKUP(currency,Tables!$A$1:$C$14,3,FALSE)*pledged</f>
        <v>106084.5</v>
      </c>
    </row>
    <row r="656" spans="1:21" ht="43.2" x14ac:dyDescent="0.55000000000000004">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16">
        <f t="shared" si="61"/>
        <v>31.663376110562684</v>
      </c>
      <c r="Q656" t="str">
        <f t="shared" si="64"/>
        <v>technology</v>
      </c>
      <c r="R656" t="str">
        <f t="shared" si="65"/>
        <v>wearables</v>
      </c>
      <c r="S656" s="4">
        <f t="shared" si="62"/>
        <v>42163.957326388889</v>
      </c>
      <c r="T656" s="4">
        <f t="shared" si="63"/>
        <v>42193.957326388889</v>
      </c>
      <c r="U656" s="5">
        <f>VLOOKUP(currency,Tables!$A$1:$C$14,3,FALSE)*pledged</f>
        <v>32075</v>
      </c>
    </row>
    <row r="657" spans="1:21" ht="43.2" x14ac:dyDescent="0.55000000000000004">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16">
        <f t="shared" si="61"/>
        <v>42.886861313868614</v>
      </c>
      <c r="Q657" t="str">
        <f t="shared" si="64"/>
        <v>technology</v>
      </c>
      <c r="R657" t="str">
        <f t="shared" si="65"/>
        <v>wearables</v>
      </c>
      <c r="S657" s="4">
        <f t="shared" si="62"/>
        <v>42045.957314814819</v>
      </c>
      <c r="T657" s="4">
        <f t="shared" si="63"/>
        <v>42075.915648148148</v>
      </c>
      <c r="U657" s="5">
        <f>VLOOKUP(currency,Tables!$A$1:$C$14,3,FALSE)*pledged</f>
        <v>11751</v>
      </c>
    </row>
    <row r="658" spans="1:21" ht="43.2" x14ac:dyDescent="0.55000000000000004">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16">
        <f t="shared" si="61"/>
        <v>122.73563218390805</v>
      </c>
      <c r="Q658" t="str">
        <f t="shared" si="64"/>
        <v>technology</v>
      </c>
      <c r="R658" t="str">
        <f t="shared" si="65"/>
        <v>wearables</v>
      </c>
      <c r="S658" s="4">
        <f t="shared" si="62"/>
        <v>42417.804618055554</v>
      </c>
      <c r="T658" s="4">
        <f t="shared" si="63"/>
        <v>42477.762951388882</v>
      </c>
      <c r="U658" s="5">
        <f>VLOOKUP(currency,Tables!$A$1:$C$14,3,FALSE)*pledged</f>
        <v>10678</v>
      </c>
    </row>
    <row r="659" spans="1:21" ht="43.2" x14ac:dyDescent="0.55000000000000004">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16">
        <f t="shared" si="61"/>
        <v>190.45454545454547</v>
      </c>
      <c r="Q659" t="str">
        <f t="shared" si="64"/>
        <v>technology</v>
      </c>
      <c r="R659" t="str">
        <f t="shared" si="65"/>
        <v>wearables</v>
      </c>
      <c r="S659" s="4">
        <f t="shared" si="62"/>
        <v>42331.84574074074</v>
      </c>
      <c r="T659" s="4">
        <f t="shared" si="63"/>
        <v>42361.84574074074</v>
      </c>
      <c r="U659" s="5">
        <f>VLOOKUP(currency,Tables!$A$1:$C$14,3,FALSE)*pledged</f>
        <v>18855</v>
      </c>
    </row>
    <row r="660" spans="1:21" ht="43.2" x14ac:dyDescent="0.55000000000000004">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16">
        <f t="shared" si="61"/>
        <v>109.33695652173913</v>
      </c>
      <c r="Q660" t="str">
        <f t="shared" si="64"/>
        <v>technology</v>
      </c>
      <c r="R660" t="str">
        <f t="shared" si="65"/>
        <v>wearables</v>
      </c>
      <c r="S660" s="4">
        <f t="shared" si="62"/>
        <v>42179.160752314812</v>
      </c>
      <c r="T660" s="4">
        <f t="shared" si="63"/>
        <v>42211.75</v>
      </c>
      <c r="U660" s="5">
        <f>VLOOKUP(currency,Tables!$A$1:$C$14,3,FALSE)*pledged</f>
        <v>30177</v>
      </c>
    </row>
    <row r="661" spans="1:21" x14ac:dyDescent="0.55000000000000004">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60"/>
        <v>1.0056666666666667</v>
      </c>
      <c r="P661" s="16">
        <f t="shared" si="61"/>
        <v>143.66666666666666</v>
      </c>
      <c r="Q661" t="str">
        <f t="shared" si="64"/>
        <v>technology</v>
      </c>
      <c r="R661" t="str">
        <f t="shared" si="65"/>
        <v>wearables</v>
      </c>
      <c r="S661" s="4">
        <f t="shared" si="62"/>
        <v>42209.593692129631</v>
      </c>
      <c r="T661" s="4">
        <f t="shared" si="63"/>
        <v>42239.593692129631</v>
      </c>
      <c r="U661" s="5">
        <f>VLOOKUP(currency,Tables!$A$1:$C$14,3,FALSE)*pledged</f>
        <v>3017</v>
      </c>
    </row>
    <row r="662" spans="1:21" ht="43.2" x14ac:dyDescent="0.55000000000000004">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60"/>
        <v>3.058E-2</v>
      </c>
      <c r="P662" s="16">
        <f t="shared" si="61"/>
        <v>84.944444444444443</v>
      </c>
      <c r="Q662" t="str">
        <f t="shared" si="64"/>
        <v>technology</v>
      </c>
      <c r="R662" t="str">
        <f t="shared" si="65"/>
        <v>wearables</v>
      </c>
      <c r="S662" s="4">
        <f t="shared" si="62"/>
        <v>41922.741655092592</v>
      </c>
      <c r="T662" s="4">
        <f t="shared" si="63"/>
        <v>41952.783321759263</v>
      </c>
      <c r="U662" s="5">
        <f>VLOOKUP(currency,Tables!$A$1:$C$14,3,FALSE)*pledged</f>
        <v>1529</v>
      </c>
    </row>
    <row r="663" spans="1:21" ht="43.2" x14ac:dyDescent="0.55000000000000004">
      <c r="A66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60"/>
        <v>9.4999999999999998E-3</v>
      </c>
      <c r="P663" s="16">
        <f t="shared" si="61"/>
        <v>10.555555555555555</v>
      </c>
      <c r="Q663" t="str">
        <f t="shared" si="64"/>
        <v>technology</v>
      </c>
      <c r="R663" t="str">
        <f t="shared" si="65"/>
        <v>wearables</v>
      </c>
      <c r="S663" s="4">
        <f t="shared" si="62"/>
        <v>42636.645358796297</v>
      </c>
      <c r="T663" s="4">
        <f t="shared" si="63"/>
        <v>42666.645358796297</v>
      </c>
      <c r="U663" s="5">
        <f>VLOOKUP(currency,Tables!$A$1:$C$14,3,FALSE)*pledged</f>
        <v>95</v>
      </c>
    </row>
    <row r="664" spans="1:21" ht="43.2" x14ac:dyDescent="0.55000000000000004">
      <c r="A664">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16">
        <f t="shared" si="61"/>
        <v>39</v>
      </c>
      <c r="Q664" t="str">
        <f t="shared" si="64"/>
        <v>technology</v>
      </c>
      <c r="R664" t="str">
        <f t="shared" si="65"/>
        <v>wearables</v>
      </c>
      <c r="S664" s="4">
        <f t="shared" si="62"/>
        <v>41990.438043981485</v>
      </c>
      <c r="T664" s="4">
        <f t="shared" si="63"/>
        <v>42020.438043981485</v>
      </c>
      <c r="U664" s="5">
        <f>VLOOKUP(currency,Tables!$A$1:$C$14,3,FALSE)*pledged</f>
        <v>156</v>
      </c>
    </row>
    <row r="665" spans="1:21" ht="43.2" x14ac:dyDescent="0.55000000000000004">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16">
        <f t="shared" si="61"/>
        <v>100</v>
      </c>
      <c r="Q665" t="str">
        <f t="shared" si="64"/>
        <v>technology</v>
      </c>
      <c r="R665" t="str">
        <f t="shared" si="65"/>
        <v>wearables</v>
      </c>
      <c r="S665" s="4">
        <f t="shared" si="62"/>
        <v>42173.843240740738</v>
      </c>
      <c r="T665" s="4">
        <f t="shared" si="63"/>
        <v>42203.843240740738</v>
      </c>
      <c r="U665" s="5">
        <f>VLOOKUP(currency,Tables!$A$1:$C$14,3,FALSE)*pledged</f>
        <v>112</v>
      </c>
    </row>
    <row r="666" spans="1:21" ht="43.2" x14ac:dyDescent="0.55000000000000004">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16">
        <f t="shared" si="61"/>
        <v>31.172413793103448</v>
      </c>
      <c r="Q666" t="str">
        <f t="shared" si="64"/>
        <v>technology</v>
      </c>
      <c r="R666" t="str">
        <f t="shared" si="65"/>
        <v>wearables</v>
      </c>
      <c r="S666" s="4">
        <f t="shared" si="62"/>
        <v>42077.666377314818</v>
      </c>
      <c r="T666" s="4">
        <f t="shared" si="63"/>
        <v>42107.666377314818</v>
      </c>
      <c r="U666" s="5">
        <f>VLOOKUP(currency,Tables!$A$1:$C$14,3,FALSE)*pledged</f>
        <v>904</v>
      </c>
    </row>
    <row r="667" spans="1:21" ht="43.2" x14ac:dyDescent="0.55000000000000004">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16">
        <f t="shared" si="61"/>
        <v>155.33333333333334</v>
      </c>
      <c r="Q667" t="str">
        <f t="shared" si="64"/>
        <v>technology</v>
      </c>
      <c r="R667" t="str">
        <f t="shared" si="65"/>
        <v>wearables</v>
      </c>
      <c r="S667" s="4">
        <f t="shared" si="62"/>
        <v>42688.711354166662</v>
      </c>
      <c r="T667" s="4">
        <f t="shared" si="63"/>
        <v>42748.711354166662</v>
      </c>
      <c r="U667" s="5">
        <f>VLOOKUP(currency,Tables!$A$1:$C$14,3,FALSE)*pledged</f>
        <v>1864</v>
      </c>
    </row>
    <row r="668" spans="1:21" ht="43.2" x14ac:dyDescent="0.55000000000000004">
      <c r="A668">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60"/>
        <v>4.0000000000000003E-5</v>
      </c>
      <c r="P668" s="16">
        <f t="shared" si="61"/>
        <v>2</v>
      </c>
      <c r="Q668" t="str">
        <f t="shared" si="64"/>
        <v>technology</v>
      </c>
      <c r="R668" t="str">
        <f t="shared" si="65"/>
        <v>wearables</v>
      </c>
      <c r="S668" s="4">
        <f t="shared" si="62"/>
        <v>41838.832152777781</v>
      </c>
      <c r="T668" s="4">
        <f t="shared" si="63"/>
        <v>41868.832152777781</v>
      </c>
      <c r="U668" s="5">
        <f>VLOOKUP(currency,Tables!$A$1:$C$14,3,FALSE)*pledged</f>
        <v>8</v>
      </c>
    </row>
    <row r="669" spans="1:21" ht="43.2" x14ac:dyDescent="0.55000000000000004">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60"/>
        <v>0.1002</v>
      </c>
      <c r="P669" s="16">
        <f t="shared" si="61"/>
        <v>178.92857142857142</v>
      </c>
      <c r="Q669" t="str">
        <f t="shared" si="64"/>
        <v>technology</v>
      </c>
      <c r="R669" t="str">
        <f t="shared" si="65"/>
        <v>wearables</v>
      </c>
      <c r="S669" s="4">
        <f t="shared" si="62"/>
        <v>42632.373414351852</v>
      </c>
      <c r="T669" s="4">
        <f t="shared" si="63"/>
        <v>42672.373414351852</v>
      </c>
      <c r="U669" s="5">
        <f>VLOOKUP(currency,Tables!$A$1:$C$14,3,FALSE)*pledged</f>
        <v>5911.7999999999993</v>
      </c>
    </row>
    <row r="670" spans="1:21" ht="43.2" x14ac:dyDescent="0.55000000000000004">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16">
        <f t="shared" si="61"/>
        <v>27.36</v>
      </c>
      <c r="Q670" t="str">
        <f t="shared" si="64"/>
        <v>technology</v>
      </c>
      <c r="R670" t="str">
        <f t="shared" si="65"/>
        <v>wearables</v>
      </c>
      <c r="S670" s="4">
        <f t="shared" si="62"/>
        <v>42090.831273148149</v>
      </c>
      <c r="T670" s="4">
        <f t="shared" si="63"/>
        <v>42135.831273148149</v>
      </c>
      <c r="U670" s="5">
        <f>VLOOKUP(currency,Tables!$A$1:$C$14,3,FALSE)*pledged</f>
        <v>684</v>
      </c>
    </row>
    <row r="671" spans="1:21" ht="57.6" x14ac:dyDescent="0.55000000000000004">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16">
        <f t="shared" si="61"/>
        <v>1536.25</v>
      </c>
      <c r="Q671" t="str">
        <f t="shared" si="64"/>
        <v>technology</v>
      </c>
      <c r="R671" t="str">
        <f t="shared" si="65"/>
        <v>wearables</v>
      </c>
      <c r="S671" s="4">
        <f t="shared" si="62"/>
        <v>42527.625671296293</v>
      </c>
      <c r="T671" s="4">
        <f t="shared" si="63"/>
        <v>42557.625671296293</v>
      </c>
      <c r="U671" s="5">
        <f>VLOOKUP(currency,Tables!$A$1:$C$14,3,FALSE)*pledged</f>
        <v>4731.6499999999996</v>
      </c>
    </row>
    <row r="672" spans="1:21" ht="43.2" x14ac:dyDescent="0.55000000000000004">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16">
        <f t="shared" si="61"/>
        <v>84.99677419354839</v>
      </c>
      <c r="Q672" t="str">
        <f t="shared" si="64"/>
        <v>technology</v>
      </c>
      <c r="R672" t="str">
        <f t="shared" si="65"/>
        <v>wearables</v>
      </c>
      <c r="S672" s="4">
        <f t="shared" si="62"/>
        <v>42506.709722222222</v>
      </c>
      <c r="T672" s="4">
        <f t="shared" si="63"/>
        <v>42540.340277777781</v>
      </c>
      <c r="U672" s="5">
        <f>VLOOKUP(currency,Tables!$A$1:$C$14,3,FALSE)*pledged</f>
        <v>31091.82</v>
      </c>
    </row>
    <row r="673" spans="1:21" ht="43.2" x14ac:dyDescent="0.55000000000000004">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16">
        <f t="shared" si="61"/>
        <v>788.5333333333333</v>
      </c>
      <c r="Q673" t="str">
        <f t="shared" si="64"/>
        <v>technology</v>
      </c>
      <c r="R673" t="str">
        <f t="shared" si="65"/>
        <v>wearables</v>
      </c>
      <c r="S673" s="4">
        <f t="shared" si="62"/>
        <v>41984.692731481482</v>
      </c>
      <c r="T673" s="4">
        <f t="shared" si="63"/>
        <v>42018.166666666672</v>
      </c>
      <c r="U673" s="5">
        <f>VLOOKUP(currency,Tables!$A$1:$C$14,3,FALSE)*pledged</f>
        <v>11828</v>
      </c>
    </row>
    <row r="674" spans="1:21" ht="43.2" x14ac:dyDescent="0.55000000000000004">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60"/>
        <v>0.21628</v>
      </c>
      <c r="P674" s="16">
        <f t="shared" si="61"/>
        <v>50.29767441860465</v>
      </c>
      <c r="Q674" t="str">
        <f t="shared" si="64"/>
        <v>technology</v>
      </c>
      <c r="R674" t="str">
        <f t="shared" si="65"/>
        <v>wearables</v>
      </c>
      <c r="S674" s="4">
        <f t="shared" si="62"/>
        <v>41974.219490740739</v>
      </c>
      <c r="T674" s="4">
        <f t="shared" si="63"/>
        <v>42005.207638888889</v>
      </c>
      <c r="U674" s="5">
        <f>VLOOKUP(currency,Tables!$A$1:$C$14,3,FALSE)*pledged</f>
        <v>10814</v>
      </c>
    </row>
    <row r="675" spans="1:21" ht="43.2" x14ac:dyDescent="0.55000000000000004">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16">
        <f t="shared" si="61"/>
        <v>68.333333333333329</v>
      </c>
      <c r="Q675" t="str">
        <f t="shared" si="64"/>
        <v>technology</v>
      </c>
      <c r="R675" t="str">
        <f t="shared" si="65"/>
        <v>wearables</v>
      </c>
      <c r="S675" s="4">
        <f t="shared" si="62"/>
        <v>41838.840474537035</v>
      </c>
      <c r="T675" s="4">
        <f t="shared" si="63"/>
        <v>41883.840474537035</v>
      </c>
      <c r="U675" s="5">
        <f>VLOOKUP(currency,Tables!$A$1:$C$14,3,FALSE)*pledged</f>
        <v>205</v>
      </c>
    </row>
    <row r="676" spans="1:21" ht="28.8" x14ac:dyDescent="0.55000000000000004">
      <c r="A676">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60"/>
        <v>2.9999999999999997E-4</v>
      </c>
      <c r="P676" s="16">
        <f t="shared" si="61"/>
        <v>7.5</v>
      </c>
      <c r="Q676" t="str">
        <f t="shared" si="64"/>
        <v>technology</v>
      </c>
      <c r="R676" t="str">
        <f t="shared" si="65"/>
        <v>wearables</v>
      </c>
      <c r="S676" s="4">
        <f t="shared" si="62"/>
        <v>41803.116053240738</v>
      </c>
      <c r="T676" s="4">
        <f t="shared" si="63"/>
        <v>41863.116053240738</v>
      </c>
      <c r="U676" s="5">
        <f>VLOOKUP(currency,Tables!$A$1:$C$14,3,FALSE)*pledged</f>
        <v>15</v>
      </c>
    </row>
    <row r="677" spans="1:21" ht="43.2" x14ac:dyDescent="0.55000000000000004">
      <c r="A677">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60"/>
        <v>0.14849999999999999</v>
      </c>
      <c r="P677" s="16">
        <f t="shared" si="61"/>
        <v>34.269230769230766</v>
      </c>
      <c r="Q677" t="str">
        <f t="shared" si="64"/>
        <v>technology</v>
      </c>
      <c r="R677" t="str">
        <f t="shared" si="65"/>
        <v>wearables</v>
      </c>
      <c r="S677" s="4">
        <f t="shared" si="62"/>
        <v>41975.930601851855</v>
      </c>
      <c r="T677" s="4">
        <f t="shared" si="63"/>
        <v>42005.290972222225</v>
      </c>
      <c r="U677" s="5">
        <f>VLOOKUP(currency,Tables!$A$1:$C$14,3,FALSE)*pledged</f>
        <v>891</v>
      </c>
    </row>
    <row r="678" spans="1:21" ht="57.6" x14ac:dyDescent="0.55000000000000004">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16">
        <f t="shared" si="61"/>
        <v>61.291666666666664</v>
      </c>
      <c r="Q678" t="str">
        <f t="shared" si="64"/>
        <v>technology</v>
      </c>
      <c r="R678" t="str">
        <f t="shared" si="65"/>
        <v>wearables</v>
      </c>
      <c r="S678" s="4">
        <f t="shared" si="62"/>
        <v>42012.768298611118</v>
      </c>
      <c r="T678" s="4">
        <f t="shared" si="63"/>
        <v>42042.768298611118</v>
      </c>
      <c r="U678" s="5">
        <f>VLOOKUP(currency,Tables!$A$1:$C$14,3,FALSE)*pledged</f>
        <v>1117.96</v>
      </c>
    </row>
    <row r="679" spans="1:21" ht="43.2" x14ac:dyDescent="0.55000000000000004">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16">
        <f t="shared" si="61"/>
        <v>133.25</v>
      </c>
      <c r="Q679" t="str">
        <f t="shared" si="64"/>
        <v>technology</v>
      </c>
      <c r="R679" t="str">
        <f t="shared" si="65"/>
        <v>wearables</v>
      </c>
      <c r="S679" s="4">
        <f t="shared" si="62"/>
        <v>42504.403877314813</v>
      </c>
      <c r="T679" s="4">
        <f t="shared" si="63"/>
        <v>42549.403877314813</v>
      </c>
      <c r="U679" s="5">
        <f>VLOOKUP(currency,Tables!$A$1:$C$14,3,FALSE)*pledged</f>
        <v>15094.56</v>
      </c>
    </row>
    <row r="680" spans="1:21" ht="43.2" x14ac:dyDescent="0.55000000000000004">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16">
        <f t="shared" si="61"/>
        <v>65.17647058823529</v>
      </c>
      <c r="Q680" t="str">
        <f t="shared" si="64"/>
        <v>technology</v>
      </c>
      <c r="R680" t="str">
        <f t="shared" si="65"/>
        <v>wearables</v>
      </c>
      <c r="S680" s="4">
        <f t="shared" si="62"/>
        <v>42481.376597222217</v>
      </c>
      <c r="T680" s="4">
        <f t="shared" si="63"/>
        <v>42511.376597222217</v>
      </c>
      <c r="U680" s="5">
        <f>VLOOKUP(currency,Tables!$A$1:$C$14,3,FALSE)*pledged</f>
        <v>1108</v>
      </c>
    </row>
    <row r="681" spans="1:21" ht="43.2" x14ac:dyDescent="0.55000000000000004">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16">
        <f t="shared" si="61"/>
        <v>93.90425531914893</v>
      </c>
      <c r="Q681" t="str">
        <f t="shared" si="64"/>
        <v>technology</v>
      </c>
      <c r="R681" t="str">
        <f t="shared" si="65"/>
        <v>wearables</v>
      </c>
      <c r="S681" s="4">
        <f t="shared" si="62"/>
        <v>42556.695706018523</v>
      </c>
      <c r="T681" s="4">
        <f t="shared" si="63"/>
        <v>42616.695706018523</v>
      </c>
      <c r="U681" s="5">
        <f>VLOOKUP(currency,Tables!$A$1:$C$14,3,FALSE)*pledged</f>
        <v>8827</v>
      </c>
    </row>
    <row r="682" spans="1:21" ht="43.2" x14ac:dyDescent="0.55000000000000004">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16">
        <f t="shared" si="61"/>
        <v>150.65116279069767</v>
      </c>
      <c r="Q682" t="str">
        <f t="shared" si="64"/>
        <v>technology</v>
      </c>
      <c r="R682" t="str">
        <f t="shared" si="65"/>
        <v>wearables</v>
      </c>
      <c r="S682" s="4">
        <f t="shared" si="62"/>
        <v>41864.501516203702</v>
      </c>
      <c r="T682" s="4">
        <f t="shared" si="63"/>
        <v>41899.501516203702</v>
      </c>
      <c r="U682" s="5">
        <f>VLOOKUP(currency,Tables!$A$1:$C$14,3,FALSE)*pledged</f>
        <v>19434</v>
      </c>
    </row>
    <row r="683" spans="1:21" ht="43.2" x14ac:dyDescent="0.55000000000000004">
      <c r="A68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60"/>
        <v>4.0000000000000002E-4</v>
      </c>
      <c r="P683" s="16">
        <f t="shared" si="61"/>
        <v>1</v>
      </c>
      <c r="Q683" t="str">
        <f t="shared" si="64"/>
        <v>technology</v>
      </c>
      <c r="R683" t="str">
        <f t="shared" si="65"/>
        <v>wearables</v>
      </c>
      <c r="S683" s="4">
        <f t="shared" si="62"/>
        <v>42639.805601851855</v>
      </c>
      <c r="T683" s="4">
        <f t="shared" si="63"/>
        <v>42669.805601851855</v>
      </c>
      <c r="U683" s="5">
        <f>VLOOKUP(currency,Tables!$A$1:$C$14,3,FALSE)*pledged</f>
        <v>1</v>
      </c>
    </row>
    <row r="684" spans="1:21" ht="43.2" x14ac:dyDescent="0.55000000000000004">
      <c r="A684">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60"/>
        <v>1.06E-3</v>
      </c>
      <c r="P684" s="16">
        <f t="shared" si="61"/>
        <v>13.25</v>
      </c>
      <c r="Q684" t="str">
        <f t="shared" si="64"/>
        <v>technology</v>
      </c>
      <c r="R684" t="str">
        <f t="shared" si="65"/>
        <v>wearables</v>
      </c>
      <c r="S684" s="4">
        <f t="shared" si="62"/>
        <v>42778.765300925923</v>
      </c>
      <c r="T684" s="4">
        <f t="shared" si="63"/>
        <v>42808.723634259266</v>
      </c>
      <c r="U684" s="5">
        <f>VLOOKUP(currency,Tables!$A$1:$C$14,3,FALSE)*pledged</f>
        <v>53</v>
      </c>
    </row>
    <row r="685" spans="1:21" ht="43.2" x14ac:dyDescent="0.55000000000000004">
      <c r="A685">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16">
        <f t="shared" si="61"/>
        <v>99.333333333333329</v>
      </c>
      <c r="Q685" t="str">
        <f t="shared" si="64"/>
        <v>technology</v>
      </c>
      <c r="R685" t="str">
        <f t="shared" si="65"/>
        <v>wearables</v>
      </c>
      <c r="S685" s="4">
        <f t="shared" si="62"/>
        <v>42634.900046296301</v>
      </c>
      <c r="T685" s="4">
        <f t="shared" si="63"/>
        <v>42674.900046296301</v>
      </c>
      <c r="U685" s="5">
        <f>VLOOKUP(currency,Tables!$A$1:$C$14,3,FALSE)*pledged</f>
        <v>298</v>
      </c>
    </row>
    <row r="686" spans="1:21" ht="28.8" x14ac:dyDescent="0.55000000000000004">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16">
        <f t="shared" si="61"/>
        <v>177.39259259259259</v>
      </c>
      <c r="Q686" t="str">
        <f t="shared" si="64"/>
        <v>technology</v>
      </c>
      <c r="R686" t="str">
        <f t="shared" si="65"/>
        <v>wearables</v>
      </c>
      <c r="S686" s="4">
        <f t="shared" si="62"/>
        <v>41809.473275462966</v>
      </c>
      <c r="T686" s="4">
        <f t="shared" si="63"/>
        <v>41845.125</v>
      </c>
      <c r="U686" s="5">
        <f>VLOOKUP(currency,Tables!$A$1:$C$14,3,FALSE)*pledged</f>
        <v>23948</v>
      </c>
    </row>
    <row r="687" spans="1:21" ht="43.2" x14ac:dyDescent="0.55000000000000004">
      <c r="A687">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60"/>
        <v>0.27650000000000002</v>
      </c>
      <c r="P687" s="16">
        <f t="shared" si="61"/>
        <v>55.3</v>
      </c>
      <c r="Q687" t="str">
        <f t="shared" si="64"/>
        <v>technology</v>
      </c>
      <c r="R687" t="str">
        <f t="shared" si="65"/>
        <v>wearables</v>
      </c>
      <c r="S687" s="4">
        <f t="shared" si="62"/>
        <v>41971.866574074069</v>
      </c>
      <c r="T687" s="4">
        <f t="shared" si="63"/>
        <v>42016.866574074069</v>
      </c>
      <c r="U687" s="5">
        <f>VLOOKUP(currency,Tables!$A$1:$C$14,3,FALSE)*pledged</f>
        <v>553</v>
      </c>
    </row>
    <row r="688" spans="1:21" ht="57.6" x14ac:dyDescent="0.55000000000000004">
      <c r="A688">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60"/>
        <v>0</v>
      </c>
      <c r="P688" s="16">
        <f t="shared" si="61"/>
        <v>0</v>
      </c>
      <c r="Q688" t="str">
        <f t="shared" si="64"/>
        <v>technology</v>
      </c>
      <c r="R688" t="str">
        <f t="shared" si="65"/>
        <v>wearables</v>
      </c>
      <c r="S688" s="4">
        <f t="shared" si="62"/>
        <v>42189.673263888893</v>
      </c>
      <c r="T688" s="4">
        <f t="shared" si="63"/>
        <v>42219.673263888893</v>
      </c>
      <c r="U688" s="5">
        <f>VLOOKUP(currency,Tables!$A$1:$C$14,3,FALSE)*pledged</f>
        <v>0</v>
      </c>
    </row>
    <row r="689" spans="1:21" ht="43.2" x14ac:dyDescent="0.55000000000000004">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16">
        <f t="shared" si="61"/>
        <v>591.66666666666663</v>
      </c>
      <c r="Q689" t="str">
        <f t="shared" si="64"/>
        <v>technology</v>
      </c>
      <c r="R689" t="str">
        <f t="shared" si="65"/>
        <v>wearables</v>
      </c>
      <c r="S689" s="4">
        <f t="shared" si="62"/>
        <v>42711.750613425931</v>
      </c>
      <c r="T689" s="4">
        <f t="shared" si="63"/>
        <v>42771.750613425931</v>
      </c>
      <c r="U689" s="5">
        <f>VLOOKUP(currency,Tables!$A$1:$C$14,3,FALSE)*pledged</f>
        <v>163.30000000000001</v>
      </c>
    </row>
    <row r="690" spans="1:21" ht="43.2" x14ac:dyDescent="0.55000000000000004">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16">
        <f t="shared" si="61"/>
        <v>405.5</v>
      </c>
      <c r="Q690" t="str">
        <f t="shared" si="64"/>
        <v>technology</v>
      </c>
      <c r="R690" t="str">
        <f t="shared" si="65"/>
        <v>wearables</v>
      </c>
      <c r="S690" s="4">
        <f t="shared" si="62"/>
        <v>42262.104780092588</v>
      </c>
      <c r="T690" s="4">
        <f t="shared" si="63"/>
        <v>42292.104780092588</v>
      </c>
      <c r="U690" s="5">
        <f>VLOOKUP(currency,Tables!$A$1:$C$14,3,FALSE)*pledged</f>
        <v>14598</v>
      </c>
    </row>
    <row r="691" spans="1:21" ht="43.2" x14ac:dyDescent="0.55000000000000004">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16">
        <f t="shared" si="61"/>
        <v>343.14732142857144</v>
      </c>
      <c r="Q691" t="str">
        <f t="shared" si="64"/>
        <v>technology</v>
      </c>
      <c r="R691" t="str">
        <f t="shared" si="65"/>
        <v>wearables</v>
      </c>
      <c r="S691" s="4">
        <f t="shared" si="62"/>
        <v>42675.66778935185</v>
      </c>
      <c r="T691" s="4">
        <f t="shared" si="63"/>
        <v>42712.207638888889</v>
      </c>
      <c r="U691" s="5">
        <f>VLOOKUP(currency,Tables!$A$1:$C$14,3,FALSE)*pledged</f>
        <v>115297.5</v>
      </c>
    </row>
    <row r="692" spans="1:21" ht="28.8" x14ac:dyDescent="0.55000000000000004">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60"/>
        <v>0.1234</v>
      </c>
      <c r="P692" s="16">
        <f t="shared" si="61"/>
        <v>72.588235294117652</v>
      </c>
      <c r="Q692" t="str">
        <f t="shared" si="64"/>
        <v>technology</v>
      </c>
      <c r="R692" t="str">
        <f t="shared" si="65"/>
        <v>wearables</v>
      </c>
      <c r="S692" s="4">
        <f t="shared" si="62"/>
        <v>42579.634733796294</v>
      </c>
      <c r="T692" s="4">
        <f t="shared" si="63"/>
        <v>42622.25</v>
      </c>
      <c r="U692" s="5">
        <f>VLOOKUP(currency,Tables!$A$1:$C$14,3,FALSE)*pledged</f>
        <v>2468</v>
      </c>
    </row>
    <row r="693" spans="1:21" ht="43.2" x14ac:dyDescent="0.55000000000000004">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16">
        <f t="shared" si="61"/>
        <v>26</v>
      </c>
      <c r="Q693" t="str">
        <f t="shared" si="64"/>
        <v>technology</v>
      </c>
      <c r="R693" t="str">
        <f t="shared" si="65"/>
        <v>wearables</v>
      </c>
      <c r="S693" s="4">
        <f t="shared" si="62"/>
        <v>42158.028310185182</v>
      </c>
      <c r="T693" s="4">
        <f t="shared" si="63"/>
        <v>42186.028310185182</v>
      </c>
      <c r="U693" s="5">
        <f>VLOOKUP(currency,Tables!$A$1:$C$14,3,FALSE)*pledged</f>
        <v>260</v>
      </c>
    </row>
    <row r="694" spans="1:21" ht="43.2" x14ac:dyDescent="0.55000000000000004">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16">
        <f t="shared" si="61"/>
        <v>6.4975124378109452</v>
      </c>
      <c r="Q694" t="str">
        <f t="shared" si="64"/>
        <v>technology</v>
      </c>
      <c r="R694" t="str">
        <f t="shared" si="65"/>
        <v>wearables</v>
      </c>
      <c r="S694" s="4">
        <f t="shared" si="62"/>
        <v>42696.37572916667</v>
      </c>
      <c r="T694" s="4">
        <f t="shared" si="63"/>
        <v>42726.37572916667</v>
      </c>
      <c r="U694" s="5">
        <f>VLOOKUP(currency,Tables!$A$1:$C$14,3,FALSE)*pledged</f>
        <v>1723.92</v>
      </c>
    </row>
    <row r="695" spans="1:21" ht="28.8" x14ac:dyDescent="0.55000000000000004">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16">
        <f t="shared" si="61"/>
        <v>119.38513513513513</v>
      </c>
      <c r="Q695" t="str">
        <f t="shared" si="64"/>
        <v>technology</v>
      </c>
      <c r="R695" t="str">
        <f t="shared" si="65"/>
        <v>wearables</v>
      </c>
      <c r="S695" s="4">
        <f t="shared" si="62"/>
        <v>42094.808182870373</v>
      </c>
      <c r="T695" s="4">
        <f t="shared" si="63"/>
        <v>42124.808182870373</v>
      </c>
      <c r="U695" s="5">
        <f>VLOOKUP(currency,Tables!$A$1:$C$14,3,FALSE)*pledged</f>
        <v>35338</v>
      </c>
    </row>
    <row r="696" spans="1:21" ht="43.2" x14ac:dyDescent="0.55000000000000004">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16">
        <f t="shared" si="61"/>
        <v>84.285714285714292</v>
      </c>
      <c r="Q696" t="str">
        <f t="shared" si="64"/>
        <v>technology</v>
      </c>
      <c r="R696" t="str">
        <f t="shared" si="65"/>
        <v>wearables</v>
      </c>
      <c r="S696" s="4">
        <f t="shared" si="62"/>
        <v>42737.663877314815</v>
      </c>
      <c r="T696" s="4">
        <f t="shared" si="63"/>
        <v>42767.663877314815</v>
      </c>
      <c r="U696" s="5">
        <f>VLOOKUP(currency,Tables!$A$1:$C$14,3,FALSE)*pledged</f>
        <v>590</v>
      </c>
    </row>
    <row r="697" spans="1:21" ht="43.2" x14ac:dyDescent="0.55000000000000004">
      <c r="A697">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60"/>
        <v>1.06E-2</v>
      </c>
      <c r="P697" s="16">
        <f t="shared" si="61"/>
        <v>90.857142857142861</v>
      </c>
      <c r="Q697" t="str">
        <f t="shared" si="64"/>
        <v>technology</v>
      </c>
      <c r="R697" t="str">
        <f t="shared" si="65"/>
        <v>wearables</v>
      </c>
      <c r="S697" s="4">
        <f t="shared" si="62"/>
        <v>41913.521064814813</v>
      </c>
      <c r="T697" s="4">
        <f t="shared" si="63"/>
        <v>41943.521064814813</v>
      </c>
      <c r="U697" s="5">
        <f>VLOOKUP(currency,Tables!$A$1:$C$14,3,FALSE)*pledged</f>
        <v>636</v>
      </c>
    </row>
    <row r="698" spans="1:21" ht="28.8" x14ac:dyDescent="0.55000000000000004">
      <c r="A698">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60"/>
        <v>5.7142857142857145E-6</v>
      </c>
      <c r="P698" s="16">
        <f t="shared" si="61"/>
        <v>1</v>
      </c>
      <c r="Q698" t="str">
        <f t="shared" si="64"/>
        <v>technology</v>
      </c>
      <c r="R698" t="str">
        <f t="shared" si="65"/>
        <v>wearables</v>
      </c>
      <c r="S698" s="4">
        <f t="shared" si="62"/>
        <v>41815.927106481482</v>
      </c>
      <c r="T698" s="4">
        <f t="shared" si="63"/>
        <v>41845.927106481482</v>
      </c>
      <c r="U698" s="5">
        <f>VLOOKUP(currency,Tables!$A$1:$C$14,3,FALSE)*pledged</f>
        <v>1.18</v>
      </c>
    </row>
    <row r="699" spans="1:21" ht="43.2" x14ac:dyDescent="0.55000000000000004">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16">
        <f t="shared" si="61"/>
        <v>20.342105263157894</v>
      </c>
      <c r="Q699" t="str">
        <f t="shared" si="64"/>
        <v>technology</v>
      </c>
      <c r="R699" t="str">
        <f t="shared" si="65"/>
        <v>wearables</v>
      </c>
      <c r="S699" s="4">
        <f t="shared" si="62"/>
        <v>42388.523020833338</v>
      </c>
      <c r="T699" s="4">
        <f t="shared" si="63"/>
        <v>42403.523020833338</v>
      </c>
      <c r="U699" s="5">
        <f>VLOOKUP(currency,Tables!$A$1:$C$14,3,FALSE)*pledged</f>
        <v>2736.42</v>
      </c>
    </row>
    <row r="700" spans="1:21" ht="43.2" x14ac:dyDescent="0.55000000000000004">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16">
        <f t="shared" si="61"/>
        <v>530.68965517241384</v>
      </c>
      <c r="Q700" t="str">
        <f t="shared" si="64"/>
        <v>technology</v>
      </c>
      <c r="R700" t="str">
        <f t="shared" si="65"/>
        <v>wearables</v>
      </c>
      <c r="S700" s="4">
        <f t="shared" si="62"/>
        <v>41866.931076388886</v>
      </c>
      <c r="T700" s="4">
        <f t="shared" si="63"/>
        <v>41900.083333333336</v>
      </c>
      <c r="U700" s="5">
        <f>VLOOKUP(currency,Tables!$A$1:$C$14,3,FALSE)*pledged</f>
        <v>15390</v>
      </c>
    </row>
    <row r="701" spans="1:21" ht="43.2" x14ac:dyDescent="0.55000000000000004">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16">
        <f t="shared" si="61"/>
        <v>120.39184269662923</v>
      </c>
      <c r="Q701" t="str">
        <f t="shared" si="64"/>
        <v>technology</v>
      </c>
      <c r="R701" t="str">
        <f t="shared" si="65"/>
        <v>wearables</v>
      </c>
      <c r="S701" s="4">
        <f t="shared" si="62"/>
        <v>41563.485509259262</v>
      </c>
      <c r="T701" s="4">
        <f t="shared" si="63"/>
        <v>41600.666666666664</v>
      </c>
      <c r="U701" s="5">
        <f>VLOOKUP(currency,Tables!$A$1:$C$14,3,FALSE)*pledged</f>
        <v>107148.74</v>
      </c>
    </row>
    <row r="702" spans="1:21" ht="43.2" x14ac:dyDescent="0.55000000000000004">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16">
        <f t="shared" si="61"/>
        <v>13</v>
      </c>
      <c r="Q702" t="str">
        <f t="shared" si="64"/>
        <v>technology</v>
      </c>
      <c r="R702" t="str">
        <f t="shared" si="65"/>
        <v>wearables</v>
      </c>
      <c r="S702" s="4">
        <f t="shared" si="62"/>
        <v>42715.688437500001</v>
      </c>
      <c r="T702" s="4">
        <f t="shared" si="63"/>
        <v>42745.688437500001</v>
      </c>
      <c r="U702" s="5">
        <f>VLOOKUP(currency,Tables!$A$1:$C$14,3,FALSE)*pledged</f>
        <v>475.53999999999996</v>
      </c>
    </row>
    <row r="703" spans="1:21" ht="43.2" x14ac:dyDescent="0.55000000000000004">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16">
        <f t="shared" si="61"/>
        <v>291.33333333333331</v>
      </c>
      <c r="Q703" t="str">
        <f t="shared" si="64"/>
        <v>technology</v>
      </c>
      <c r="R703" t="str">
        <f t="shared" si="65"/>
        <v>wearables</v>
      </c>
      <c r="S703" s="4">
        <f t="shared" si="62"/>
        <v>41813.662962962961</v>
      </c>
      <c r="T703" s="4">
        <f t="shared" si="63"/>
        <v>41843.662962962961</v>
      </c>
      <c r="U703" s="5">
        <f>VLOOKUP(currency,Tables!$A$1:$C$14,3,FALSE)*pledged</f>
        <v>8075.76</v>
      </c>
    </row>
    <row r="704" spans="1:21" ht="43.2" x14ac:dyDescent="0.55000000000000004">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16">
        <f t="shared" si="61"/>
        <v>124.9191891891892</v>
      </c>
      <c r="Q704" t="str">
        <f t="shared" si="64"/>
        <v>technology</v>
      </c>
      <c r="R704" t="str">
        <f t="shared" si="65"/>
        <v>wearables</v>
      </c>
      <c r="S704" s="4">
        <f t="shared" si="62"/>
        <v>42668.726701388892</v>
      </c>
      <c r="T704" s="4">
        <f t="shared" si="63"/>
        <v>42698.768368055549</v>
      </c>
      <c r="U704" s="5">
        <f>VLOOKUP(currency,Tables!$A$1:$C$14,3,FALSE)*pledged</f>
        <v>4622.01</v>
      </c>
    </row>
    <row r="705" spans="1:21" ht="43.2" x14ac:dyDescent="0.55000000000000004">
      <c r="A705">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16">
        <f t="shared" si="61"/>
        <v>119.57142857142857</v>
      </c>
      <c r="Q705" t="str">
        <f t="shared" si="64"/>
        <v>technology</v>
      </c>
      <c r="R705" t="str">
        <f t="shared" si="65"/>
        <v>wearables</v>
      </c>
      <c r="S705" s="4">
        <f t="shared" si="62"/>
        <v>42711.950798611113</v>
      </c>
      <c r="T705" s="4">
        <f t="shared" si="63"/>
        <v>42766.98055555555</v>
      </c>
      <c r="U705" s="5">
        <f>VLOOKUP(currency,Tables!$A$1:$C$14,3,FALSE)*pledged</f>
        <v>837</v>
      </c>
    </row>
    <row r="706" spans="1:21" ht="43.2" x14ac:dyDescent="0.55000000000000004">
      <c r="A706">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ref="O706:O769" si="66">pledged/goal</f>
        <v>8.7454545454545458E-3</v>
      </c>
      <c r="P706" s="16">
        <f t="shared" ref="P706:P769" si="67">IF(pledged=0,0,pledged/backers_count)</f>
        <v>120.25</v>
      </c>
      <c r="Q706" t="str">
        <f t="shared" si="64"/>
        <v>technology</v>
      </c>
      <c r="R706" t="str">
        <f t="shared" si="65"/>
        <v>wearables</v>
      </c>
      <c r="S706" s="4">
        <f t="shared" ref="S706:S769" si="68">(((Unix_launched_date/60)/60)/24)+DATE(1970,1,1)</f>
        <v>42726.192916666667</v>
      </c>
      <c r="T706" s="4">
        <f t="shared" ref="T706:T769" si="69">(((Unix_deadline/60)/60)/24)+DATE(1970,1,1)</f>
        <v>42786.192916666667</v>
      </c>
      <c r="U706" s="5">
        <f>VLOOKUP(currency,Tables!$A$1:$C$14,3,FALSE)*pledged</f>
        <v>365.56</v>
      </c>
    </row>
    <row r="707" spans="1:21" ht="28.8" x14ac:dyDescent="0.55000000000000004">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si="66"/>
        <v>9.7699999999999992E-3</v>
      </c>
      <c r="P707" s="16">
        <f t="shared" si="67"/>
        <v>195.4</v>
      </c>
      <c r="Q707" t="str">
        <f t="shared" ref="Q707:Q770" si="70">LEFT(N707,FIND("/",N707,1)-1)</f>
        <v>technology</v>
      </c>
      <c r="R707" t="str">
        <f t="shared" ref="R707:R770" si="71">RIGHT(N707,(LEN(N707)-FIND("/",N707,1)))</f>
        <v>wearables</v>
      </c>
      <c r="S707" s="4">
        <f t="shared" si="68"/>
        <v>42726.491643518515</v>
      </c>
      <c r="T707" s="4">
        <f t="shared" si="69"/>
        <v>42756.491643518515</v>
      </c>
      <c r="U707" s="5">
        <f>VLOOKUP(currency,Tables!$A$1:$C$14,3,FALSE)*pledged</f>
        <v>1152.8599999999999</v>
      </c>
    </row>
    <row r="708" spans="1:21" ht="43.2" x14ac:dyDescent="0.55000000000000004">
      <c r="A708">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66"/>
        <v>0</v>
      </c>
      <c r="P708" s="16">
        <f t="shared" si="67"/>
        <v>0</v>
      </c>
      <c r="Q708" t="str">
        <f t="shared" si="70"/>
        <v>technology</v>
      </c>
      <c r="R708" t="str">
        <f t="shared" si="71"/>
        <v>wearables</v>
      </c>
      <c r="S708" s="4">
        <f t="shared" si="68"/>
        <v>42676.995173611111</v>
      </c>
      <c r="T708" s="4">
        <f t="shared" si="69"/>
        <v>42718.777083333334</v>
      </c>
      <c r="U708" s="5">
        <f>VLOOKUP(currency,Tables!$A$1:$C$14,3,FALSE)*pledged</f>
        <v>0</v>
      </c>
    </row>
    <row r="709" spans="1:21" ht="43.2" x14ac:dyDescent="0.55000000000000004">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16">
        <f t="shared" si="67"/>
        <v>117.69868421052631</v>
      </c>
      <c r="Q709" t="str">
        <f t="shared" si="70"/>
        <v>technology</v>
      </c>
      <c r="R709" t="str">
        <f t="shared" si="71"/>
        <v>wearables</v>
      </c>
      <c r="S709" s="4">
        <f t="shared" si="68"/>
        <v>42696.663506944446</v>
      </c>
      <c r="T709" s="4">
        <f t="shared" si="69"/>
        <v>42736.663506944446</v>
      </c>
      <c r="U709" s="5">
        <f>VLOOKUP(currency,Tables!$A$1:$C$14,3,FALSE)*pledged</f>
        <v>70845.191999999995</v>
      </c>
    </row>
    <row r="710" spans="1:21" ht="43.2" x14ac:dyDescent="0.55000000000000004">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16">
        <f t="shared" si="67"/>
        <v>23.948509485094849</v>
      </c>
      <c r="Q710" t="str">
        <f t="shared" si="70"/>
        <v>technology</v>
      </c>
      <c r="R710" t="str">
        <f t="shared" si="71"/>
        <v>wearables</v>
      </c>
      <c r="S710" s="4">
        <f t="shared" si="68"/>
        <v>41835.581018518518</v>
      </c>
      <c r="T710" s="4">
        <f t="shared" si="69"/>
        <v>41895.581018518518</v>
      </c>
      <c r="U710" s="5">
        <f>VLOOKUP(currency,Tables!$A$1:$C$14,3,FALSE)*pledged</f>
        <v>11664.84</v>
      </c>
    </row>
    <row r="711" spans="1:21" ht="28.8" x14ac:dyDescent="0.55000000000000004">
      <c r="A711">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66"/>
        <v>4.0666666666666663E-3</v>
      </c>
      <c r="P711" s="16">
        <f t="shared" si="67"/>
        <v>30.5</v>
      </c>
      <c r="Q711" t="str">
        <f t="shared" si="70"/>
        <v>technology</v>
      </c>
      <c r="R711" t="str">
        <f t="shared" si="71"/>
        <v>wearables</v>
      </c>
      <c r="S711" s="4">
        <f t="shared" si="68"/>
        <v>41948.041192129633</v>
      </c>
      <c r="T711" s="4">
        <f t="shared" si="69"/>
        <v>41978.041192129633</v>
      </c>
      <c r="U711" s="5">
        <f>VLOOKUP(currency,Tables!$A$1:$C$14,3,FALSE)*pledged</f>
        <v>61</v>
      </c>
    </row>
    <row r="712" spans="1:21" ht="28.8" x14ac:dyDescent="0.55000000000000004">
      <c r="A712">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66"/>
        <v>0</v>
      </c>
      <c r="P712" s="16">
        <f t="shared" si="67"/>
        <v>0</v>
      </c>
      <c r="Q712" t="str">
        <f t="shared" si="70"/>
        <v>technology</v>
      </c>
      <c r="R712" t="str">
        <f t="shared" si="71"/>
        <v>wearables</v>
      </c>
      <c r="S712" s="4">
        <f t="shared" si="68"/>
        <v>41837.984976851854</v>
      </c>
      <c r="T712" s="4">
        <f t="shared" si="69"/>
        <v>41871.030555555553</v>
      </c>
      <c r="U712" s="5">
        <f>VLOOKUP(currency,Tables!$A$1:$C$14,3,FALSE)*pledged</f>
        <v>0</v>
      </c>
    </row>
    <row r="713" spans="1:21" ht="43.2" x14ac:dyDescent="0.55000000000000004">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16">
        <f t="shared" si="67"/>
        <v>99.973372781065095</v>
      </c>
      <c r="Q713" t="str">
        <f t="shared" si="70"/>
        <v>technology</v>
      </c>
      <c r="R713" t="str">
        <f t="shared" si="71"/>
        <v>wearables</v>
      </c>
      <c r="S713" s="4">
        <f t="shared" si="68"/>
        <v>42678.459120370375</v>
      </c>
      <c r="T713" s="4">
        <f t="shared" si="69"/>
        <v>42718.500787037032</v>
      </c>
      <c r="U713" s="5">
        <f>VLOOKUP(currency,Tables!$A$1:$C$14,3,FALSE)*pledged</f>
        <v>39873.379999999997</v>
      </c>
    </row>
    <row r="714" spans="1:21" ht="43.2" x14ac:dyDescent="0.55000000000000004">
      <c r="A714">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16">
        <f t="shared" si="67"/>
        <v>26.25</v>
      </c>
      <c r="Q714" t="str">
        <f t="shared" si="70"/>
        <v>technology</v>
      </c>
      <c r="R714" t="str">
        <f t="shared" si="71"/>
        <v>wearables</v>
      </c>
      <c r="S714" s="4">
        <f t="shared" si="68"/>
        <v>42384.680925925932</v>
      </c>
      <c r="T714" s="4">
        <f t="shared" si="69"/>
        <v>42414.680925925932</v>
      </c>
      <c r="U714" s="5">
        <f>VLOOKUP(currency,Tables!$A$1:$C$14,3,FALSE)*pledged</f>
        <v>105</v>
      </c>
    </row>
    <row r="715" spans="1:21" ht="43.2" x14ac:dyDescent="0.55000000000000004">
      <c r="A715">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16">
        <f t="shared" si="67"/>
        <v>199</v>
      </c>
      <c r="Q715" t="str">
        <f t="shared" si="70"/>
        <v>technology</v>
      </c>
      <c r="R715" t="str">
        <f t="shared" si="71"/>
        <v>wearables</v>
      </c>
      <c r="S715" s="4">
        <f t="shared" si="68"/>
        <v>42496.529305555552</v>
      </c>
      <c r="T715" s="4">
        <f t="shared" si="69"/>
        <v>42526.529305555552</v>
      </c>
      <c r="U715" s="5">
        <f>VLOOKUP(currency,Tables!$A$1:$C$14,3,FALSE)*pledged</f>
        <v>234.82</v>
      </c>
    </row>
    <row r="716" spans="1:21" ht="43.2" x14ac:dyDescent="0.55000000000000004">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16">
        <f t="shared" si="67"/>
        <v>80.321428571428569</v>
      </c>
      <c r="Q716" t="str">
        <f t="shared" si="70"/>
        <v>technology</v>
      </c>
      <c r="R716" t="str">
        <f t="shared" si="71"/>
        <v>wearables</v>
      </c>
      <c r="S716" s="4">
        <f t="shared" si="68"/>
        <v>42734.787986111114</v>
      </c>
      <c r="T716" s="4">
        <f t="shared" si="69"/>
        <v>42794.787986111114</v>
      </c>
      <c r="U716" s="5">
        <f>VLOOKUP(currency,Tables!$A$1:$C$14,3,FALSE)*pledged</f>
        <v>2249</v>
      </c>
    </row>
    <row r="717" spans="1:21" ht="43.2" x14ac:dyDescent="0.55000000000000004">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16">
        <f t="shared" si="67"/>
        <v>115.75</v>
      </c>
      <c r="Q717" t="str">
        <f t="shared" si="70"/>
        <v>technology</v>
      </c>
      <c r="R717" t="str">
        <f t="shared" si="71"/>
        <v>wearables</v>
      </c>
      <c r="S717" s="4">
        <f t="shared" si="68"/>
        <v>42273.090740740736</v>
      </c>
      <c r="T717" s="4">
        <f t="shared" si="69"/>
        <v>42313.132407407407</v>
      </c>
      <c r="U717" s="5">
        <f>VLOOKUP(currency,Tables!$A$1:$C$14,3,FALSE)*pledged</f>
        <v>1389</v>
      </c>
    </row>
    <row r="718" spans="1:21" ht="43.2" x14ac:dyDescent="0.55000000000000004">
      <c r="A718">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66"/>
        <v>0.10214285714285715</v>
      </c>
      <c r="P718" s="16">
        <f t="shared" si="67"/>
        <v>44.6875</v>
      </c>
      <c r="Q718" t="str">
        <f t="shared" si="70"/>
        <v>technology</v>
      </c>
      <c r="R718" t="str">
        <f t="shared" si="71"/>
        <v>wearables</v>
      </c>
      <c r="S718" s="4">
        <f t="shared" si="68"/>
        <v>41940.658645833333</v>
      </c>
      <c r="T718" s="4">
        <f t="shared" si="69"/>
        <v>41974</v>
      </c>
      <c r="U718" s="5">
        <f>VLOOKUP(currency,Tables!$A$1:$C$14,3,FALSE)*pledged</f>
        <v>715</v>
      </c>
    </row>
    <row r="719" spans="1:21" x14ac:dyDescent="0.55000000000000004">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16">
        <f t="shared" si="67"/>
        <v>76.25</v>
      </c>
      <c r="Q719" t="str">
        <f t="shared" si="70"/>
        <v>technology</v>
      </c>
      <c r="R719" t="str">
        <f t="shared" si="71"/>
        <v>wearables</v>
      </c>
      <c r="S719" s="4">
        <f t="shared" si="68"/>
        <v>41857.854189814818</v>
      </c>
      <c r="T719" s="4">
        <f t="shared" si="69"/>
        <v>41887.854189814818</v>
      </c>
      <c r="U719" s="5">
        <f>VLOOKUP(currency,Tables!$A$1:$C$14,3,FALSE)*pledged</f>
        <v>305</v>
      </c>
    </row>
    <row r="720" spans="1:21" ht="43.2" x14ac:dyDescent="0.55000000000000004">
      <c r="A720">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66"/>
        <v>7.4999999999999997E-3</v>
      </c>
      <c r="P720" s="16">
        <f t="shared" si="67"/>
        <v>22.5</v>
      </c>
      <c r="Q720" t="str">
        <f t="shared" si="70"/>
        <v>technology</v>
      </c>
      <c r="R720" t="str">
        <f t="shared" si="71"/>
        <v>wearables</v>
      </c>
      <c r="S720" s="4">
        <f t="shared" si="68"/>
        <v>42752.845451388886</v>
      </c>
      <c r="T720" s="4">
        <f t="shared" si="69"/>
        <v>42784.249305555553</v>
      </c>
      <c r="U720" s="5">
        <f>VLOOKUP(currency,Tables!$A$1:$C$14,3,FALSE)*pledged</f>
        <v>90</v>
      </c>
    </row>
    <row r="721" spans="1:21" ht="43.2" x14ac:dyDescent="0.55000000000000004">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16">
        <f t="shared" si="67"/>
        <v>19.399999999999999</v>
      </c>
      <c r="Q721" t="str">
        <f t="shared" si="70"/>
        <v>technology</v>
      </c>
      <c r="R721" t="str">
        <f t="shared" si="71"/>
        <v>wearables</v>
      </c>
      <c r="S721" s="4">
        <f t="shared" si="68"/>
        <v>42409.040231481486</v>
      </c>
      <c r="T721" s="4">
        <f t="shared" si="69"/>
        <v>42423.040231481486</v>
      </c>
      <c r="U721" s="5">
        <f>VLOOKUP(currency,Tables!$A$1:$C$14,3,FALSE)*pledged</f>
        <v>194</v>
      </c>
    </row>
    <row r="722" spans="1:21" ht="43.2" x14ac:dyDescent="0.55000000000000004">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66"/>
        <v>1.4394736842105262</v>
      </c>
      <c r="P722" s="16">
        <f t="shared" si="67"/>
        <v>66.707317073170728</v>
      </c>
      <c r="Q722" t="str">
        <f t="shared" si="70"/>
        <v>publishing</v>
      </c>
      <c r="R722" t="str">
        <f t="shared" si="71"/>
        <v>nonfiction</v>
      </c>
      <c r="S722" s="4">
        <f t="shared" si="68"/>
        <v>40909.649201388893</v>
      </c>
      <c r="T722" s="4">
        <f t="shared" si="69"/>
        <v>40937.649201388893</v>
      </c>
      <c r="U722" s="5">
        <f>VLOOKUP(currency,Tables!$A$1:$C$14,3,FALSE)*pledged</f>
        <v>2735</v>
      </c>
    </row>
    <row r="723" spans="1:21" ht="43.2" x14ac:dyDescent="0.55000000000000004">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16">
        <f t="shared" si="67"/>
        <v>84.142857142857139</v>
      </c>
      <c r="Q723" t="str">
        <f t="shared" si="70"/>
        <v>publishing</v>
      </c>
      <c r="R723" t="str">
        <f t="shared" si="71"/>
        <v>nonfiction</v>
      </c>
      <c r="S723" s="4">
        <f t="shared" si="68"/>
        <v>41807.571840277778</v>
      </c>
      <c r="T723" s="4">
        <f t="shared" si="69"/>
        <v>41852.571840277778</v>
      </c>
      <c r="U723" s="5">
        <f>VLOOKUP(currency,Tables!$A$1:$C$14,3,FALSE)*pledged</f>
        <v>10013</v>
      </c>
    </row>
    <row r="724" spans="1:21" ht="43.2" x14ac:dyDescent="0.55000000000000004">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16">
        <f t="shared" si="67"/>
        <v>215.72549019607843</v>
      </c>
      <c r="Q724" t="str">
        <f t="shared" si="70"/>
        <v>publishing</v>
      </c>
      <c r="R724" t="str">
        <f t="shared" si="71"/>
        <v>nonfiction</v>
      </c>
      <c r="S724" s="4">
        <f t="shared" si="68"/>
        <v>40977.805300925924</v>
      </c>
      <c r="T724" s="4">
        <f t="shared" si="69"/>
        <v>41007.76363425926</v>
      </c>
      <c r="U724" s="5">
        <f>VLOOKUP(currency,Tables!$A$1:$C$14,3,FALSE)*pledged</f>
        <v>33006</v>
      </c>
    </row>
    <row r="725" spans="1:21" ht="28.8" x14ac:dyDescent="0.55000000000000004">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16">
        <f t="shared" si="67"/>
        <v>54.69</v>
      </c>
      <c r="Q725" t="str">
        <f t="shared" si="70"/>
        <v>publishing</v>
      </c>
      <c r="R725" t="str">
        <f t="shared" si="71"/>
        <v>nonfiction</v>
      </c>
      <c r="S725" s="4">
        <f t="shared" si="68"/>
        <v>42184.816539351858</v>
      </c>
      <c r="T725" s="4">
        <f t="shared" si="69"/>
        <v>42215.165972222225</v>
      </c>
      <c r="U725" s="5">
        <f>VLOOKUP(currency,Tables!$A$1:$C$14,3,FALSE)*pledged</f>
        <v>5469</v>
      </c>
    </row>
    <row r="726" spans="1:21" ht="43.2" x14ac:dyDescent="0.55000000000000004">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16">
        <f t="shared" si="67"/>
        <v>51.62944055944056</v>
      </c>
      <c r="Q726" t="str">
        <f t="shared" si="70"/>
        <v>publishing</v>
      </c>
      <c r="R726" t="str">
        <f t="shared" si="71"/>
        <v>nonfiction</v>
      </c>
      <c r="S726" s="4">
        <f t="shared" si="68"/>
        <v>40694.638460648144</v>
      </c>
      <c r="T726" s="4">
        <f t="shared" si="69"/>
        <v>40724.638460648144</v>
      </c>
      <c r="U726" s="5">
        <f>VLOOKUP(currency,Tables!$A$1:$C$14,3,FALSE)*pledged</f>
        <v>7383.01</v>
      </c>
    </row>
    <row r="727" spans="1:21" ht="43.2" x14ac:dyDescent="0.55000000000000004">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16">
        <f t="shared" si="67"/>
        <v>143.35714285714286</v>
      </c>
      <c r="Q727" t="str">
        <f t="shared" si="70"/>
        <v>publishing</v>
      </c>
      <c r="R727" t="str">
        <f t="shared" si="71"/>
        <v>nonfiction</v>
      </c>
      <c r="S727" s="4">
        <f t="shared" si="68"/>
        <v>42321.626296296294</v>
      </c>
      <c r="T727" s="4">
        <f t="shared" si="69"/>
        <v>42351.626296296294</v>
      </c>
      <c r="U727" s="5">
        <f>VLOOKUP(currency,Tables!$A$1:$C$14,3,FALSE)*pledged</f>
        <v>20070</v>
      </c>
    </row>
    <row r="728" spans="1:21" ht="43.2" x14ac:dyDescent="0.55000000000000004">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66"/>
        <v>1.014</v>
      </c>
      <c r="P728" s="16">
        <f t="shared" si="67"/>
        <v>72.428571428571431</v>
      </c>
      <c r="Q728" t="str">
        <f t="shared" si="70"/>
        <v>publishing</v>
      </c>
      <c r="R728" t="str">
        <f t="shared" si="71"/>
        <v>nonfiction</v>
      </c>
      <c r="S728" s="4">
        <f t="shared" si="68"/>
        <v>41346.042673611111</v>
      </c>
      <c r="T728" s="4">
        <f t="shared" si="69"/>
        <v>41376.042673611111</v>
      </c>
      <c r="U728" s="5">
        <f>VLOOKUP(currency,Tables!$A$1:$C$14,3,FALSE)*pledged</f>
        <v>2535</v>
      </c>
    </row>
    <row r="729" spans="1:21" ht="43.2" x14ac:dyDescent="0.55000000000000004">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16">
        <f t="shared" si="67"/>
        <v>36.530201342281877</v>
      </c>
      <c r="Q729" t="str">
        <f t="shared" si="70"/>
        <v>publishing</v>
      </c>
      <c r="R729" t="str">
        <f t="shared" si="71"/>
        <v>nonfiction</v>
      </c>
      <c r="S729" s="4">
        <f t="shared" si="68"/>
        <v>41247.020243055551</v>
      </c>
      <c r="T729" s="4">
        <f t="shared" si="69"/>
        <v>41288.888888888891</v>
      </c>
      <c r="U729" s="5">
        <f>VLOOKUP(currency,Tables!$A$1:$C$14,3,FALSE)*pledged</f>
        <v>5443</v>
      </c>
    </row>
    <row r="730" spans="1:21" ht="43.2" x14ac:dyDescent="0.55000000000000004">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66"/>
        <v>1.05566</v>
      </c>
      <c r="P730" s="16">
        <f t="shared" si="67"/>
        <v>60.903461538461535</v>
      </c>
      <c r="Q730" t="str">
        <f t="shared" si="70"/>
        <v>publishing</v>
      </c>
      <c r="R730" t="str">
        <f t="shared" si="71"/>
        <v>nonfiction</v>
      </c>
      <c r="S730" s="4">
        <f t="shared" si="68"/>
        <v>40731.837465277778</v>
      </c>
      <c r="T730" s="4">
        <f t="shared" si="69"/>
        <v>40776.837465277778</v>
      </c>
      <c r="U730" s="5">
        <f>VLOOKUP(currency,Tables!$A$1:$C$14,3,FALSE)*pledged</f>
        <v>7917.45</v>
      </c>
    </row>
    <row r="731" spans="1:21" ht="43.2" x14ac:dyDescent="0.55000000000000004">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66"/>
        <v>1.3065</v>
      </c>
      <c r="P731" s="16">
        <f t="shared" si="67"/>
        <v>43.55</v>
      </c>
      <c r="Q731" t="str">
        <f t="shared" si="70"/>
        <v>publishing</v>
      </c>
      <c r="R731" t="str">
        <f t="shared" si="71"/>
        <v>nonfiction</v>
      </c>
      <c r="S731" s="4">
        <f t="shared" si="68"/>
        <v>41111.185891203706</v>
      </c>
      <c r="T731" s="4">
        <f t="shared" si="69"/>
        <v>41171.185891203706</v>
      </c>
      <c r="U731" s="5">
        <f>VLOOKUP(currency,Tables!$A$1:$C$14,3,FALSE)*pledged</f>
        <v>5226</v>
      </c>
    </row>
    <row r="732" spans="1:21" ht="28.8" x14ac:dyDescent="0.55000000000000004">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16">
        <f t="shared" si="67"/>
        <v>99.766037735849054</v>
      </c>
      <c r="Q732" t="str">
        <f t="shared" si="70"/>
        <v>publishing</v>
      </c>
      <c r="R732" t="str">
        <f t="shared" si="71"/>
        <v>nonfiction</v>
      </c>
      <c r="S732" s="4">
        <f t="shared" si="68"/>
        <v>40854.745266203703</v>
      </c>
      <c r="T732" s="4">
        <f t="shared" si="69"/>
        <v>40884.745266203703</v>
      </c>
      <c r="U732" s="5">
        <f>VLOOKUP(currency,Tables!$A$1:$C$14,3,FALSE)*pledged</f>
        <v>26438</v>
      </c>
    </row>
    <row r="733" spans="1:21" ht="43.2" x14ac:dyDescent="0.55000000000000004">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66"/>
        <v>1.26</v>
      </c>
      <c r="P733" s="16">
        <f t="shared" si="67"/>
        <v>88.732394366197184</v>
      </c>
      <c r="Q733" t="str">
        <f t="shared" si="70"/>
        <v>publishing</v>
      </c>
      <c r="R733" t="str">
        <f t="shared" si="71"/>
        <v>nonfiction</v>
      </c>
      <c r="S733" s="4">
        <f t="shared" si="68"/>
        <v>40879.795682870368</v>
      </c>
      <c r="T733" s="4">
        <f t="shared" si="69"/>
        <v>40930.25</v>
      </c>
      <c r="U733" s="5">
        <f>VLOOKUP(currency,Tables!$A$1:$C$14,3,FALSE)*pledged</f>
        <v>6300</v>
      </c>
    </row>
    <row r="734" spans="1:21" ht="43.2" x14ac:dyDescent="0.55000000000000004">
      <c r="A734">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66"/>
        <v>1.6</v>
      </c>
      <c r="P734" s="16">
        <f t="shared" si="67"/>
        <v>4.9230769230769234</v>
      </c>
      <c r="Q734" t="str">
        <f t="shared" si="70"/>
        <v>publishing</v>
      </c>
      <c r="R734" t="str">
        <f t="shared" si="71"/>
        <v>nonfiction</v>
      </c>
      <c r="S734" s="4">
        <f t="shared" si="68"/>
        <v>41486.424317129626</v>
      </c>
      <c r="T734" s="4">
        <f t="shared" si="69"/>
        <v>41546.424317129626</v>
      </c>
      <c r="U734" s="5">
        <f>VLOOKUP(currency,Tables!$A$1:$C$14,3,FALSE)*pledged</f>
        <v>84.48</v>
      </c>
    </row>
    <row r="735" spans="1:21" ht="43.2" x14ac:dyDescent="0.55000000000000004">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16">
        <f t="shared" si="67"/>
        <v>17.822485207100591</v>
      </c>
      <c r="Q735" t="str">
        <f t="shared" si="70"/>
        <v>publishing</v>
      </c>
      <c r="R735" t="str">
        <f t="shared" si="71"/>
        <v>nonfiction</v>
      </c>
      <c r="S735" s="4">
        <f t="shared" si="68"/>
        <v>41598.420046296298</v>
      </c>
      <c r="T735" s="4">
        <f t="shared" si="69"/>
        <v>41628.420046296298</v>
      </c>
      <c r="U735" s="5">
        <f>VLOOKUP(currency,Tables!$A$1:$C$14,3,FALSE)*pledged</f>
        <v>3975.84</v>
      </c>
    </row>
    <row r="736" spans="1:21" ht="28.8" x14ac:dyDescent="0.55000000000000004">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16">
        <f t="shared" si="67"/>
        <v>187.19298245614036</v>
      </c>
      <c r="Q736" t="str">
        <f t="shared" si="70"/>
        <v>publishing</v>
      </c>
      <c r="R736" t="str">
        <f t="shared" si="71"/>
        <v>nonfiction</v>
      </c>
      <c r="S736" s="4">
        <f t="shared" si="68"/>
        <v>42102.164583333331</v>
      </c>
      <c r="T736" s="4">
        <f t="shared" si="69"/>
        <v>42133.208333333328</v>
      </c>
      <c r="U736" s="5">
        <f>VLOOKUP(currency,Tables!$A$1:$C$14,3,FALSE)*pledged</f>
        <v>8109.2</v>
      </c>
    </row>
    <row r="737" spans="1:21" ht="43.2" x14ac:dyDescent="0.55000000000000004">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16">
        <f t="shared" si="67"/>
        <v>234.80786026200875</v>
      </c>
      <c r="Q737" t="str">
        <f t="shared" si="70"/>
        <v>publishing</v>
      </c>
      <c r="R737" t="str">
        <f t="shared" si="71"/>
        <v>nonfiction</v>
      </c>
      <c r="S737" s="4">
        <f t="shared" si="68"/>
        <v>41946.029467592591</v>
      </c>
      <c r="T737" s="4">
        <f t="shared" si="69"/>
        <v>41977.027083333334</v>
      </c>
      <c r="U737" s="5">
        <f>VLOOKUP(currency,Tables!$A$1:$C$14,3,FALSE)*pledged</f>
        <v>53771</v>
      </c>
    </row>
    <row r="738" spans="1:21" ht="43.2" x14ac:dyDescent="0.55000000000000004">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16">
        <f t="shared" si="67"/>
        <v>105.04629629629629</v>
      </c>
      <c r="Q738" t="str">
        <f t="shared" si="70"/>
        <v>publishing</v>
      </c>
      <c r="R738" t="str">
        <f t="shared" si="71"/>
        <v>nonfiction</v>
      </c>
      <c r="S738" s="4">
        <f t="shared" si="68"/>
        <v>41579.734259259261</v>
      </c>
      <c r="T738" s="4">
        <f t="shared" si="69"/>
        <v>41599.207638888889</v>
      </c>
      <c r="U738" s="5">
        <f>VLOOKUP(currency,Tables!$A$1:$C$14,3,FALSE)*pledged</f>
        <v>11345</v>
      </c>
    </row>
    <row r="739" spans="1:21" ht="43.2" x14ac:dyDescent="0.55000000000000004">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66"/>
        <v>1.224</v>
      </c>
      <c r="P739" s="16">
        <f t="shared" si="67"/>
        <v>56.666666666666664</v>
      </c>
      <c r="Q739" t="str">
        <f t="shared" si="70"/>
        <v>publishing</v>
      </c>
      <c r="R739" t="str">
        <f t="shared" si="71"/>
        <v>nonfiction</v>
      </c>
      <c r="S739" s="4">
        <f t="shared" si="68"/>
        <v>41667.275312500002</v>
      </c>
      <c r="T739" s="4">
        <f t="shared" si="69"/>
        <v>41684.833333333336</v>
      </c>
      <c r="U739" s="5">
        <f>VLOOKUP(currency,Tables!$A$1:$C$14,3,FALSE)*pledged</f>
        <v>6120</v>
      </c>
    </row>
    <row r="740" spans="1:21" ht="28.8" x14ac:dyDescent="0.55000000000000004">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66"/>
        <v>1.0673333333333332</v>
      </c>
      <c r="P740" s="16">
        <f t="shared" si="67"/>
        <v>39.048780487804876</v>
      </c>
      <c r="Q740" t="str">
        <f t="shared" si="70"/>
        <v>publishing</v>
      </c>
      <c r="R740" t="str">
        <f t="shared" si="71"/>
        <v>nonfiction</v>
      </c>
      <c r="S740" s="4">
        <f t="shared" si="68"/>
        <v>41943.604097222218</v>
      </c>
      <c r="T740" s="4">
        <f t="shared" si="69"/>
        <v>41974.207638888889</v>
      </c>
      <c r="U740" s="5">
        <f>VLOOKUP(currency,Tables!$A$1:$C$14,3,FALSE)*pledged</f>
        <v>1601</v>
      </c>
    </row>
    <row r="741" spans="1:21" ht="43.2" x14ac:dyDescent="0.55000000000000004">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16">
        <f t="shared" si="67"/>
        <v>68.345323741007192</v>
      </c>
      <c r="Q741" t="str">
        <f t="shared" si="70"/>
        <v>publishing</v>
      </c>
      <c r="R741" t="str">
        <f t="shared" si="71"/>
        <v>nonfiction</v>
      </c>
      <c r="S741" s="4">
        <f t="shared" si="68"/>
        <v>41829.502650462964</v>
      </c>
      <c r="T741" s="4">
        <f t="shared" si="69"/>
        <v>41862.502650462964</v>
      </c>
      <c r="U741" s="5">
        <f>VLOOKUP(currency,Tables!$A$1:$C$14,3,FALSE)*pledged</f>
        <v>9500</v>
      </c>
    </row>
    <row r="742" spans="1:21" ht="43.2" x14ac:dyDescent="0.55000000000000004">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66"/>
        <v>1.0740000000000001</v>
      </c>
      <c r="P742" s="16">
        <f t="shared" si="67"/>
        <v>169.57894736842104</v>
      </c>
      <c r="Q742" t="str">
        <f t="shared" si="70"/>
        <v>publishing</v>
      </c>
      <c r="R742" t="str">
        <f t="shared" si="71"/>
        <v>nonfiction</v>
      </c>
      <c r="S742" s="4">
        <f t="shared" si="68"/>
        <v>42162.146782407406</v>
      </c>
      <c r="T742" s="4">
        <f t="shared" si="69"/>
        <v>42176.146782407406</v>
      </c>
      <c r="U742" s="5">
        <f>VLOOKUP(currency,Tables!$A$1:$C$14,3,FALSE)*pledged</f>
        <v>3222</v>
      </c>
    </row>
    <row r="743" spans="1:21" ht="28.8" x14ac:dyDescent="0.55000000000000004">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66"/>
        <v>1.0226</v>
      </c>
      <c r="P743" s="16">
        <f t="shared" si="67"/>
        <v>141.42340425531913</v>
      </c>
      <c r="Q743" t="str">
        <f t="shared" si="70"/>
        <v>publishing</v>
      </c>
      <c r="R743" t="str">
        <f t="shared" si="71"/>
        <v>nonfiction</v>
      </c>
      <c r="S743" s="4">
        <f t="shared" si="68"/>
        <v>41401.648217592592</v>
      </c>
      <c r="T743" s="4">
        <f t="shared" si="69"/>
        <v>41436.648217592592</v>
      </c>
      <c r="U743" s="5">
        <f>VLOOKUP(currency,Tables!$A$1:$C$14,3,FALSE)*pledged</f>
        <v>13293.8</v>
      </c>
    </row>
    <row r="744" spans="1:21" ht="43.2" x14ac:dyDescent="0.55000000000000004">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66"/>
        <v>1.1071428571428572</v>
      </c>
      <c r="P744" s="16">
        <f t="shared" si="67"/>
        <v>67.391304347826093</v>
      </c>
      <c r="Q744" t="str">
        <f t="shared" si="70"/>
        <v>publishing</v>
      </c>
      <c r="R744" t="str">
        <f t="shared" si="71"/>
        <v>nonfiction</v>
      </c>
      <c r="S744" s="4">
        <f t="shared" si="68"/>
        <v>41689.917962962965</v>
      </c>
      <c r="T744" s="4">
        <f t="shared" si="69"/>
        <v>41719.876296296294</v>
      </c>
      <c r="U744" s="5">
        <f>VLOOKUP(currency,Tables!$A$1:$C$14,3,FALSE)*pledged</f>
        <v>1550</v>
      </c>
    </row>
    <row r="745" spans="1:21" ht="43.2" x14ac:dyDescent="0.55000000000000004">
      <c r="A745">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66"/>
        <v>1.48</v>
      </c>
      <c r="P745" s="16">
        <f t="shared" si="67"/>
        <v>54.266666666666666</v>
      </c>
      <c r="Q745" t="str">
        <f t="shared" si="70"/>
        <v>publishing</v>
      </c>
      <c r="R745" t="str">
        <f t="shared" si="71"/>
        <v>nonfiction</v>
      </c>
      <c r="S745" s="4">
        <f t="shared" si="68"/>
        <v>40990.709317129629</v>
      </c>
      <c r="T745" s="4">
        <f t="shared" si="69"/>
        <v>41015.875</v>
      </c>
      <c r="U745" s="5">
        <f>VLOOKUP(currency,Tables!$A$1:$C$14,3,FALSE)*pledged</f>
        <v>814</v>
      </c>
    </row>
    <row r="746" spans="1:21" ht="28.8" x14ac:dyDescent="0.55000000000000004">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66"/>
        <v>1.0232000000000001</v>
      </c>
      <c r="P746" s="16">
        <f t="shared" si="67"/>
        <v>82.516129032258064</v>
      </c>
      <c r="Q746" t="str">
        <f t="shared" si="70"/>
        <v>publishing</v>
      </c>
      <c r="R746" t="str">
        <f t="shared" si="71"/>
        <v>nonfiction</v>
      </c>
      <c r="S746" s="4">
        <f t="shared" si="68"/>
        <v>41226.95721064815</v>
      </c>
      <c r="T746" s="4">
        <f t="shared" si="69"/>
        <v>41256.95721064815</v>
      </c>
      <c r="U746" s="5">
        <f>VLOOKUP(currency,Tables!$A$1:$C$14,3,FALSE)*pledged</f>
        <v>5116</v>
      </c>
    </row>
    <row r="747" spans="1:21" ht="43.2" x14ac:dyDescent="0.55000000000000004">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66"/>
        <v>1.7909909909909909</v>
      </c>
      <c r="P747" s="16">
        <f t="shared" si="67"/>
        <v>53.729729729729726</v>
      </c>
      <c r="Q747" t="str">
        <f t="shared" si="70"/>
        <v>publishing</v>
      </c>
      <c r="R747" t="str">
        <f t="shared" si="71"/>
        <v>nonfiction</v>
      </c>
      <c r="S747" s="4">
        <f t="shared" si="68"/>
        <v>41367.572280092594</v>
      </c>
      <c r="T747" s="4">
        <f t="shared" si="69"/>
        <v>41397.572280092594</v>
      </c>
      <c r="U747" s="5">
        <f>VLOOKUP(currency,Tables!$A$1:$C$14,3,FALSE)*pledged</f>
        <v>3976</v>
      </c>
    </row>
    <row r="748" spans="1:21" x14ac:dyDescent="0.55000000000000004">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66"/>
        <v>1.1108135252761968</v>
      </c>
      <c r="P748" s="16">
        <f t="shared" si="67"/>
        <v>34.206185567010309</v>
      </c>
      <c r="Q748" t="str">
        <f t="shared" si="70"/>
        <v>publishing</v>
      </c>
      <c r="R748" t="str">
        <f t="shared" si="71"/>
        <v>nonfiction</v>
      </c>
      <c r="S748" s="4">
        <f t="shared" si="68"/>
        <v>41157.042928240742</v>
      </c>
      <c r="T748" s="4">
        <f t="shared" si="69"/>
        <v>41175.165972222225</v>
      </c>
      <c r="U748" s="5">
        <f>VLOOKUP(currency,Tables!$A$1:$C$14,3,FALSE)*pledged</f>
        <v>3318</v>
      </c>
    </row>
    <row r="749" spans="1:21" ht="43.2" x14ac:dyDescent="0.55000000000000004">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66"/>
        <v>1.0004285714285714</v>
      </c>
      <c r="P749" s="16">
        <f t="shared" si="67"/>
        <v>127.32727272727273</v>
      </c>
      <c r="Q749" t="str">
        <f t="shared" si="70"/>
        <v>publishing</v>
      </c>
      <c r="R749" t="str">
        <f t="shared" si="71"/>
        <v>nonfiction</v>
      </c>
      <c r="S749" s="4">
        <f t="shared" si="68"/>
        <v>41988.548831018517</v>
      </c>
      <c r="T749" s="4">
        <f t="shared" si="69"/>
        <v>42019.454166666663</v>
      </c>
      <c r="U749" s="5">
        <f>VLOOKUP(currency,Tables!$A$1:$C$14,3,FALSE)*pledged</f>
        <v>8263.5399999999991</v>
      </c>
    </row>
    <row r="750" spans="1:21" ht="43.2" x14ac:dyDescent="0.55000000000000004">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66"/>
        <v>1.0024999999999999</v>
      </c>
      <c r="P750" s="16">
        <f t="shared" si="67"/>
        <v>45.56818181818182</v>
      </c>
      <c r="Q750" t="str">
        <f t="shared" si="70"/>
        <v>publishing</v>
      </c>
      <c r="R750" t="str">
        <f t="shared" si="71"/>
        <v>nonfiction</v>
      </c>
      <c r="S750" s="4">
        <f t="shared" si="68"/>
        <v>41831.846828703703</v>
      </c>
      <c r="T750" s="4">
        <f t="shared" si="69"/>
        <v>41861.846828703703</v>
      </c>
      <c r="U750" s="5">
        <f>VLOOKUP(currency,Tables!$A$1:$C$14,3,FALSE)*pledged</f>
        <v>2005</v>
      </c>
    </row>
    <row r="751" spans="1:21" ht="43.2" x14ac:dyDescent="0.55000000000000004">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16">
        <f t="shared" si="67"/>
        <v>95.963636363636368</v>
      </c>
      <c r="Q751" t="str">
        <f t="shared" si="70"/>
        <v>publishing</v>
      </c>
      <c r="R751" t="str">
        <f t="shared" si="71"/>
        <v>nonfiction</v>
      </c>
      <c r="S751" s="4">
        <f t="shared" si="68"/>
        <v>42733.94131944445</v>
      </c>
      <c r="T751" s="4">
        <f t="shared" si="69"/>
        <v>42763.94131944445</v>
      </c>
      <c r="U751" s="5">
        <f>VLOOKUP(currency,Tables!$A$1:$C$14,3,FALSE)*pledged</f>
        <v>10556</v>
      </c>
    </row>
    <row r="752" spans="1:21" ht="43.2" x14ac:dyDescent="0.55000000000000004">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66"/>
        <v>1.0258775877587758</v>
      </c>
      <c r="P752" s="16">
        <f t="shared" si="67"/>
        <v>77.271186440677965</v>
      </c>
      <c r="Q752" t="str">
        <f t="shared" si="70"/>
        <v>publishing</v>
      </c>
      <c r="R752" t="str">
        <f t="shared" si="71"/>
        <v>nonfiction</v>
      </c>
      <c r="S752" s="4">
        <f t="shared" si="68"/>
        <v>41299.878148148149</v>
      </c>
      <c r="T752" s="4">
        <f t="shared" si="69"/>
        <v>41329.878148148149</v>
      </c>
      <c r="U752" s="5">
        <f>VLOOKUP(currency,Tables!$A$1:$C$14,3,FALSE)*pledged</f>
        <v>4559</v>
      </c>
    </row>
    <row r="753" spans="1:21" ht="43.2" x14ac:dyDescent="0.55000000000000004">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66"/>
        <v>1.1850000000000001</v>
      </c>
      <c r="P753" s="16">
        <f t="shared" si="67"/>
        <v>57.338709677419352</v>
      </c>
      <c r="Q753" t="str">
        <f t="shared" si="70"/>
        <v>publishing</v>
      </c>
      <c r="R753" t="str">
        <f t="shared" si="71"/>
        <v>nonfiction</v>
      </c>
      <c r="S753" s="4">
        <f t="shared" si="68"/>
        <v>40713.630497685182</v>
      </c>
      <c r="T753" s="4">
        <f t="shared" si="69"/>
        <v>40759.630497685182</v>
      </c>
      <c r="U753" s="5">
        <f>VLOOKUP(currency,Tables!$A$1:$C$14,3,FALSE)*pledged</f>
        <v>3555</v>
      </c>
    </row>
    <row r="754" spans="1:21" ht="43.2" x14ac:dyDescent="0.55000000000000004">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66"/>
        <v>1.117</v>
      </c>
      <c r="P754" s="16">
        <f t="shared" si="67"/>
        <v>53.19047619047619</v>
      </c>
      <c r="Q754" t="str">
        <f t="shared" si="70"/>
        <v>publishing</v>
      </c>
      <c r="R754" t="str">
        <f t="shared" si="71"/>
        <v>nonfiction</v>
      </c>
      <c r="S754" s="4">
        <f t="shared" si="68"/>
        <v>42639.421493055561</v>
      </c>
      <c r="T754" s="4">
        <f t="shared" si="69"/>
        <v>42659.458333333328</v>
      </c>
      <c r="U754" s="5">
        <f>VLOOKUP(currency,Tables!$A$1:$C$14,3,FALSE)*pledged</f>
        <v>4077.0499999999997</v>
      </c>
    </row>
    <row r="755" spans="1:21" ht="43.2" x14ac:dyDescent="0.55000000000000004">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66"/>
        <v>1.28</v>
      </c>
      <c r="P755" s="16">
        <f t="shared" si="67"/>
        <v>492.30769230769232</v>
      </c>
      <c r="Q755" t="str">
        <f t="shared" si="70"/>
        <v>publishing</v>
      </c>
      <c r="R755" t="str">
        <f t="shared" si="71"/>
        <v>nonfiction</v>
      </c>
      <c r="S755" s="4">
        <f t="shared" si="68"/>
        <v>42019.590173611112</v>
      </c>
      <c r="T755" s="4">
        <f t="shared" si="69"/>
        <v>42049.590173611112</v>
      </c>
      <c r="U755" s="5">
        <f>VLOOKUP(currency,Tables!$A$1:$C$14,3,FALSE)*pledged</f>
        <v>12800</v>
      </c>
    </row>
    <row r="756" spans="1:21" ht="43.2" x14ac:dyDescent="0.55000000000000004">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66"/>
        <v>1.0375000000000001</v>
      </c>
      <c r="P756" s="16">
        <f t="shared" si="67"/>
        <v>42.346938775510203</v>
      </c>
      <c r="Q756" t="str">
        <f t="shared" si="70"/>
        <v>publishing</v>
      </c>
      <c r="R756" t="str">
        <f t="shared" si="71"/>
        <v>nonfiction</v>
      </c>
      <c r="S756" s="4">
        <f t="shared" si="68"/>
        <v>41249.749085648145</v>
      </c>
      <c r="T756" s="4">
        <f t="shared" si="69"/>
        <v>41279.749085648145</v>
      </c>
      <c r="U756" s="5">
        <f>VLOOKUP(currency,Tables!$A$1:$C$14,3,FALSE)*pledged</f>
        <v>2075</v>
      </c>
    </row>
    <row r="757" spans="1:21" ht="43.2" x14ac:dyDescent="0.55000000000000004">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16">
        <f t="shared" si="67"/>
        <v>37.466029411764708</v>
      </c>
      <c r="Q757" t="str">
        <f t="shared" si="70"/>
        <v>publishing</v>
      </c>
      <c r="R757" t="str">
        <f t="shared" si="71"/>
        <v>nonfiction</v>
      </c>
      <c r="S757" s="4">
        <f t="shared" si="68"/>
        <v>41383.605057870373</v>
      </c>
      <c r="T757" s="4">
        <f t="shared" si="69"/>
        <v>41414.02847222222</v>
      </c>
      <c r="U757" s="5">
        <f>VLOOKUP(currency,Tables!$A$1:$C$14,3,FALSE)*pledged</f>
        <v>2547.69</v>
      </c>
    </row>
    <row r="758" spans="1:21" ht="43.2" x14ac:dyDescent="0.55000000000000004">
      <c r="A758">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66"/>
        <v>1.177142857142857</v>
      </c>
      <c r="P758" s="16">
        <f t="shared" si="67"/>
        <v>37.454545454545453</v>
      </c>
      <c r="Q758" t="str">
        <f t="shared" si="70"/>
        <v>publishing</v>
      </c>
      <c r="R758" t="str">
        <f t="shared" si="71"/>
        <v>nonfiction</v>
      </c>
      <c r="S758" s="4">
        <f t="shared" si="68"/>
        <v>40590.766886574071</v>
      </c>
      <c r="T758" s="4">
        <f t="shared" si="69"/>
        <v>40651.725219907406</v>
      </c>
      <c r="U758" s="5">
        <f>VLOOKUP(currency,Tables!$A$1:$C$14,3,FALSE)*pledged</f>
        <v>824</v>
      </c>
    </row>
    <row r="759" spans="1:21" ht="43.2" x14ac:dyDescent="0.55000000000000004">
      <c r="A759">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66"/>
        <v>2.38</v>
      </c>
      <c r="P759" s="16">
        <f t="shared" si="67"/>
        <v>33.055555555555557</v>
      </c>
      <c r="Q759" t="str">
        <f t="shared" si="70"/>
        <v>publishing</v>
      </c>
      <c r="R759" t="str">
        <f t="shared" si="71"/>
        <v>nonfiction</v>
      </c>
      <c r="S759" s="4">
        <f t="shared" si="68"/>
        <v>41235.054560185185</v>
      </c>
      <c r="T759" s="4">
        <f t="shared" si="69"/>
        <v>41249.054560185185</v>
      </c>
      <c r="U759" s="5">
        <f>VLOOKUP(currency,Tables!$A$1:$C$14,3,FALSE)*pledged</f>
        <v>595</v>
      </c>
    </row>
    <row r="760" spans="1:21" ht="28.8" x14ac:dyDescent="0.55000000000000004">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66"/>
        <v>1.02</v>
      </c>
      <c r="P760" s="16">
        <f t="shared" si="67"/>
        <v>134.21052631578948</v>
      </c>
      <c r="Q760" t="str">
        <f t="shared" si="70"/>
        <v>publishing</v>
      </c>
      <c r="R760" t="str">
        <f t="shared" si="71"/>
        <v>nonfiction</v>
      </c>
      <c r="S760" s="4">
        <f t="shared" si="68"/>
        <v>40429.836435185185</v>
      </c>
      <c r="T760" s="4">
        <f t="shared" si="69"/>
        <v>40459.836435185185</v>
      </c>
      <c r="U760" s="5">
        <f>VLOOKUP(currency,Tables!$A$1:$C$14,3,FALSE)*pledged</f>
        <v>2550</v>
      </c>
    </row>
    <row r="761" spans="1:21" ht="43.2" x14ac:dyDescent="0.55000000000000004">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66"/>
        <v>1.0192000000000001</v>
      </c>
      <c r="P761" s="16">
        <f t="shared" si="67"/>
        <v>51.474747474747474</v>
      </c>
      <c r="Q761" t="str">
        <f t="shared" si="70"/>
        <v>publishing</v>
      </c>
      <c r="R761" t="str">
        <f t="shared" si="71"/>
        <v>nonfiction</v>
      </c>
      <c r="S761" s="4">
        <f t="shared" si="68"/>
        <v>41789.330312500002</v>
      </c>
      <c r="T761" s="4">
        <f t="shared" si="69"/>
        <v>41829.330312500002</v>
      </c>
      <c r="U761" s="5">
        <f>VLOOKUP(currency,Tables!$A$1:$C$14,3,FALSE)*pledged</f>
        <v>6726.72</v>
      </c>
    </row>
    <row r="762" spans="1:21" ht="43.2" x14ac:dyDescent="0.55000000000000004">
      <c r="A762">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66"/>
        <v>0</v>
      </c>
      <c r="P762" s="16">
        <f t="shared" si="67"/>
        <v>0</v>
      </c>
      <c r="Q762" t="str">
        <f t="shared" si="70"/>
        <v>publishing</v>
      </c>
      <c r="R762" t="str">
        <f t="shared" si="71"/>
        <v>fiction</v>
      </c>
      <c r="S762" s="4">
        <f t="shared" si="68"/>
        <v>42670.764039351852</v>
      </c>
      <c r="T762" s="4">
        <f t="shared" si="69"/>
        <v>42700.805706018517</v>
      </c>
      <c r="U762" s="5">
        <f>VLOOKUP(currency,Tables!$A$1:$C$14,3,FALSE)*pledged</f>
        <v>0</v>
      </c>
    </row>
    <row r="763" spans="1:21" ht="43.2" x14ac:dyDescent="0.55000000000000004">
      <c r="A76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66"/>
        <v>4.7E-2</v>
      </c>
      <c r="P763" s="16">
        <f t="shared" si="67"/>
        <v>39.166666666666664</v>
      </c>
      <c r="Q763" t="str">
        <f t="shared" si="70"/>
        <v>publishing</v>
      </c>
      <c r="R763" t="str">
        <f t="shared" si="71"/>
        <v>fiction</v>
      </c>
      <c r="S763" s="4">
        <f t="shared" si="68"/>
        <v>41642.751458333332</v>
      </c>
      <c r="T763" s="4">
        <f t="shared" si="69"/>
        <v>41672.751458333332</v>
      </c>
      <c r="U763" s="5">
        <f>VLOOKUP(currency,Tables!$A$1:$C$14,3,FALSE)*pledged</f>
        <v>235</v>
      </c>
    </row>
    <row r="764" spans="1:21" ht="43.2" x14ac:dyDescent="0.55000000000000004">
      <c r="A764">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66"/>
        <v>0</v>
      </c>
      <c r="P764" s="16">
        <f t="shared" si="67"/>
        <v>0</v>
      </c>
      <c r="Q764" t="str">
        <f t="shared" si="70"/>
        <v>publishing</v>
      </c>
      <c r="R764" t="str">
        <f t="shared" si="71"/>
        <v>fiction</v>
      </c>
      <c r="S764" s="4">
        <f t="shared" si="68"/>
        <v>42690.858449074076</v>
      </c>
      <c r="T764" s="4">
        <f t="shared" si="69"/>
        <v>42708.25</v>
      </c>
      <c r="U764" s="5">
        <f>VLOOKUP(currency,Tables!$A$1:$C$14,3,FALSE)*pledged</f>
        <v>0</v>
      </c>
    </row>
    <row r="765" spans="1:21" ht="43.2" x14ac:dyDescent="0.55000000000000004">
      <c r="A765">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66"/>
        <v>1.1655011655011655E-3</v>
      </c>
      <c r="P765" s="16">
        <f t="shared" si="67"/>
        <v>5</v>
      </c>
      <c r="Q765" t="str">
        <f t="shared" si="70"/>
        <v>publishing</v>
      </c>
      <c r="R765" t="str">
        <f t="shared" si="71"/>
        <v>fiction</v>
      </c>
      <c r="S765" s="4">
        <f t="shared" si="68"/>
        <v>41471.446851851848</v>
      </c>
      <c r="T765" s="4">
        <f t="shared" si="69"/>
        <v>41501.446851851848</v>
      </c>
      <c r="U765" s="5">
        <f>VLOOKUP(currency,Tables!$A$1:$C$14,3,FALSE)*pledged</f>
        <v>6.6000000000000005</v>
      </c>
    </row>
    <row r="766" spans="1:21" ht="43.2" x14ac:dyDescent="0.55000000000000004">
      <c r="A766">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66"/>
        <v>0</v>
      </c>
      <c r="P766" s="16">
        <f t="shared" si="67"/>
        <v>0</v>
      </c>
      <c r="Q766" t="str">
        <f t="shared" si="70"/>
        <v>publishing</v>
      </c>
      <c r="R766" t="str">
        <f t="shared" si="71"/>
        <v>fiction</v>
      </c>
      <c r="S766" s="4">
        <f t="shared" si="68"/>
        <v>42227.173159722224</v>
      </c>
      <c r="T766" s="4">
        <f t="shared" si="69"/>
        <v>42257.173159722224</v>
      </c>
      <c r="U766" s="5">
        <f>VLOOKUP(currency,Tables!$A$1:$C$14,3,FALSE)*pledged</f>
        <v>0</v>
      </c>
    </row>
    <row r="767" spans="1:21" ht="43.2" x14ac:dyDescent="0.55000000000000004">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16">
        <f t="shared" si="67"/>
        <v>57.295454545454547</v>
      </c>
      <c r="Q767" t="str">
        <f t="shared" si="70"/>
        <v>publishing</v>
      </c>
      <c r="R767" t="str">
        <f t="shared" si="71"/>
        <v>fiction</v>
      </c>
      <c r="S767" s="4">
        <f t="shared" si="68"/>
        <v>41901.542638888888</v>
      </c>
      <c r="T767" s="4">
        <f t="shared" si="69"/>
        <v>41931.542638888888</v>
      </c>
      <c r="U767" s="5">
        <f>VLOOKUP(currency,Tables!$A$1:$C$14,3,FALSE)*pledged</f>
        <v>2521</v>
      </c>
    </row>
    <row r="768" spans="1:21" ht="43.2" x14ac:dyDescent="0.55000000000000004">
      <c r="A768">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66"/>
        <v>0</v>
      </c>
      <c r="P768" s="16">
        <f t="shared" si="67"/>
        <v>0</v>
      </c>
      <c r="Q768" t="str">
        <f t="shared" si="70"/>
        <v>publishing</v>
      </c>
      <c r="R768" t="str">
        <f t="shared" si="71"/>
        <v>fiction</v>
      </c>
      <c r="S768" s="4">
        <f t="shared" si="68"/>
        <v>42021.783368055556</v>
      </c>
      <c r="T768" s="4">
        <f t="shared" si="69"/>
        <v>42051.783368055556</v>
      </c>
      <c r="U768" s="5">
        <f>VLOOKUP(currency,Tables!$A$1:$C$14,3,FALSE)*pledged</f>
        <v>0</v>
      </c>
    </row>
    <row r="769" spans="1:21" ht="57.6" x14ac:dyDescent="0.55000000000000004">
      <c r="A769">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66"/>
        <v>3.5400000000000001E-2</v>
      </c>
      <c r="P769" s="16">
        <f t="shared" si="67"/>
        <v>59</v>
      </c>
      <c r="Q769" t="str">
        <f t="shared" si="70"/>
        <v>publishing</v>
      </c>
      <c r="R769" t="str">
        <f t="shared" si="71"/>
        <v>fiction</v>
      </c>
      <c r="S769" s="4">
        <f t="shared" si="68"/>
        <v>42115.143634259264</v>
      </c>
      <c r="T769" s="4">
        <f t="shared" si="69"/>
        <v>42145.143634259264</v>
      </c>
      <c r="U769" s="5">
        <f>VLOOKUP(currency,Tables!$A$1:$C$14,3,FALSE)*pledged</f>
        <v>177</v>
      </c>
    </row>
    <row r="770" spans="1:21" ht="43.2" x14ac:dyDescent="0.55000000000000004">
      <c r="A770">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ref="O770:O833" si="72">pledged/goal</f>
        <v>0</v>
      </c>
      <c r="P770" s="16">
        <f t="shared" ref="P770:P833" si="73">IF(pledged=0,0,pledged/backers_count)</f>
        <v>0</v>
      </c>
      <c r="Q770" t="str">
        <f t="shared" si="70"/>
        <v>publishing</v>
      </c>
      <c r="R770" t="str">
        <f t="shared" si="71"/>
        <v>fiction</v>
      </c>
      <c r="S770" s="4">
        <f t="shared" ref="S770:S833" si="74">(((Unix_launched_date/60)/60)/24)+DATE(1970,1,1)</f>
        <v>41594.207060185188</v>
      </c>
      <c r="T770" s="4">
        <f t="shared" ref="T770:T833" si="75">(((Unix_deadline/60)/60)/24)+DATE(1970,1,1)</f>
        <v>41624.207060185188</v>
      </c>
      <c r="U770" s="5">
        <f>VLOOKUP(currency,Tables!$A$1:$C$14,3,FALSE)*pledged</f>
        <v>0</v>
      </c>
    </row>
    <row r="771" spans="1:21" ht="43.2" x14ac:dyDescent="0.55000000000000004">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si="72"/>
        <v>0.41399999999999998</v>
      </c>
      <c r="P771" s="16">
        <f t="shared" si="73"/>
        <v>31.846153846153847</v>
      </c>
      <c r="Q771" t="str">
        <f t="shared" ref="Q771:Q834" si="76">LEFT(N771,FIND("/",N771,1)-1)</f>
        <v>publishing</v>
      </c>
      <c r="R771" t="str">
        <f t="shared" ref="R771:R834" si="77">RIGHT(N771,(LEN(N771)-FIND("/",N771,1)))</f>
        <v>fiction</v>
      </c>
      <c r="S771" s="4">
        <f t="shared" si="74"/>
        <v>41604.996458333335</v>
      </c>
      <c r="T771" s="4">
        <f t="shared" si="75"/>
        <v>41634.996458333335</v>
      </c>
      <c r="U771" s="5">
        <f>VLOOKUP(currency,Tables!$A$1:$C$14,3,FALSE)*pledged</f>
        <v>1656</v>
      </c>
    </row>
    <row r="772" spans="1:21" ht="43.2" x14ac:dyDescent="0.55000000000000004">
      <c r="A772">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72"/>
        <v>0</v>
      </c>
      <c r="P772" s="16">
        <f t="shared" si="73"/>
        <v>0</v>
      </c>
      <c r="Q772" t="str">
        <f t="shared" si="76"/>
        <v>publishing</v>
      </c>
      <c r="R772" t="str">
        <f t="shared" si="77"/>
        <v>fiction</v>
      </c>
      <c r="S772" s="4">
        <f t="shared" si="74"/>
        <v>41289.999641203707</v>
      </c>
      <c r="T772" s="4">
        <f t="shared" si="75"/>
        <v>41329.999641203707</v>
      </c>
      <c r="U772" s="5">
        <f>VLOOKUP(currency,Tables!$A$1:$C$14,3,FALSE)*pledged</f>
        <v>0</v>
      </c>
    </row>
    <row r="773" spans="1:21" ht="43.2" x14ac:dyDescent="0.55000000000000004">
      <c r="A77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72"/>
        <v>2.631578947368421E-4</v>
      </c>
      <c r="P773" s="16">
        <f t="shared" si="73"/>
        <v>10</v>
      </c>
      <c r="Q773" t="str">
        <f t="shared" si="76"/>
        <v>publishing</v>
      </c>
      <c r="R773" t="str">
        <f t="shared" si="77"/>
        <v>fiction</v>
      </c>
      <c r="S773" s="4">
        <f t="shared" si="74"/>
        <v>42349.824097222227</v>
      </c>
      <c r="T773" s="4">
        <f t="shared" si="75"/>
        <v>42399.824097222227</v>
      </c>
      <c r="U773" s="5">
        <f>VLOOKUP(currency,Tables!$A$1:$C$14,3,FALSE)*pledged</f>
        <v>10</v>
      </c>
    </row>
    <row r="774" spans="1:21" ht="57.6" x14ac:dyDescent="0.55000000000000004">
      <c r="A774">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72"/>
        <v>3.3333333333333333E-2</v>
      </c>
      <c r="P774" s="16">
        <f t="shared" si="73"/>
        <v>50</v>
      </c>
      <c r="Q774" t="str">
        <f t="shared" si="76"/>
        <v>publishing</v>
      </c>
      <c r="R774" t="str">
        <f t="shared" si="77"/>
        <v>fiction</v>
      </c>
      <c r="S774" s="4">
        <f t="shared" si="74"/>
        <v>40068.056932870371</v>
      </c>
      <c r="T774" s="4">
        <f t="shared" si="75"/>
        <v>40118.165972222225</v>
      </c>
      <c r="U774" s="5">
        <f>VLOOKUP(currency,Tables!$A$1:$C$14,3,FALSE)*pledged</f>
        <v>50</v>
      </c>
    </row>
    <row r="775" spans="1:21" ht="43.2" x14ac:dyDescent="0.55000000000000004">
      <c r="A775">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72"/>
        <v>8.5129023676509714E-3</v>
      </c>
      <c r="P775" s="16">
        <f t="shared" si="73"/>
        <v>16</v>
      </c>
      <c r="Q775" t="str">
        <f t="shared" si="76"/>
        <v>publishing</v>
      </c>
      <c r="R775" t="str">
        <f t="shared" si="77"/>
        <v>fiction</v>
      </c>
      <c r="S775" s="4">
        <f t="shared" si="74"/>
        <v>42100.735937499994</v>
      </c>
      <c r="T775" s="4">
        <f t="shared" si="75"/>
        <v>42134.959027777775</v>
      </c>
      <c r="U775" s="5">
        <f>VLOOKUP(currency,Tables!$A$1:$C$14,3,FALSE)*pledged</f>
        <v>42.24</v>
      </c>
    </row>
    <row r="776" spans="1:21" ht="43.2" x14ac:dyDescent="0.55000000000000004">
      <c r="A776">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72"/>
        <v>0.70199999999999996</v>
      </c>
      <c r="P776" s="16">
        <f t="shared" si="73"/>
        <v>39</v>
      </c>
      <c r="Q776" t="str">
        <f t="shared" si="76"/>
        <v>publishing</v>
      </c>
      <c r="R776" t="str">
        <f t="shared" si="77"/>
        <v>fiction</v>
      </c>
      <c r="S776" s="4">
        <f t="shared" si="74"/>
        <v>41663.780300925922</v>
      </c>
      <c r="T776" s="4">
        <f t="shared" si="75"/>
        <v>41693.780300925922</v>
      </c>
      <c r="U776" s="5">
        <f>VLOOKUP(currency,Tables!$A$1:$C$14,3,FALSE)*pledged</f>
        <v>351</v>
      </c>
    </row>
    <row r="777" spans="1:21" ht="43.2" x14ac:dyDescent="0.55000000000000004">
      <c r="A777">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16">
        <f t="shared" si="73"/>
        <v>34</v>
      </c>
      <c r="Q777" t="str">
        <f t="shared" si="76"/>
        <v>publishing</v>
      </c>
      <c r="R777" t="str">
        <f t="shared" si="77"/>
        <v>fiction</v>
      </c>
      <c r="S777" s="4">
        <f t="shared" si="74"/>
        <v>40863.060127314813</v>
      </c>
      <c r="T777" s="4">
        <f t="shared" si="75"/>
        <v>40893.060127314813</v>
      </c>
      <c r="U777" s="5">
        <f>VLOOKUP(currency,Tables!$A$1:$C$14,3,FALSE)*pledged</f>
        <v>170</v>
      </c>
    </row>
    <row r="778" spans="1:21" ht="43.2" x14ac:dyDescent="0.55000000000000004">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16">
        <f t="shared" si="73"/>
        <v>63.122807017543863</v>
      </c>
      <c r="Q778" t="str">
        <f t="shared" si="76"/>
        <v>publishing</v>
      </c>
      <c r="R778" t="str">
        <f t="shared" si="77"/>
        <v>fiction</v>
      </c>
      <c r="S778" s="4">
        <f t="shared" si="74"/>
        <v>42250.685706018514</v>
      </c>
      <c r="T778" s="4">
        <f t="shared" si="75"/>
        <v>42288.208333333328</v>
      </c>
      <c r="U778" s="5">
        <f>VLOOKUP(currency,Tables!$A$1:$C$14,3,FALSE)*pledged</f>
        <v>3598</v>
      </c>
    </row>
    <row r="779" spans="1:21" ht="43.2" x14ac:dyDescent="0.55000000000000004">
      <c r="A779">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72"/>
        <v>7.0000000000000001E-3</v>
      </c>
      <c r="P779" s="16">
        <f t="shared" si="73"/>
        <v>7</v>
      </c>
      <c r="Q779" t="str">
        <f t="shared" si="76"/>
        <v>publishing</v>
      </c>
      <c r="R779" t="str">
        <f t="shared" si="77"/>
        <v>fiction</v>
      </c>
      <c r="S779" s="4">
        <f t="shared" si="74"/>
        <v>41456.981215277774</v>
      </c>
      <c r="T779" s="4">
        <f t="shared" si="75"/>
        <v>41486.981215277774</v>
      </c>
      <c r="U779" s="5">
        <f>VLOOKUP(currency,Tables!$A$1:$C$14,3,FALSE)*pledged</f>
        <v>21</v>
      </c>
    </row>
    <row r="780" spans="1:21" ht="43.2" x14ac:dyDescent="0.55000000000000004">
      <c r="A780">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72"/>
        <v>4.0000000000000001E-3</v>
      </c>
      <c r="P780" s="16">
        <f t="shared" si="73"/>
        <v>2</v>
      </c>
      <c r="Q780" t="str">
        <f t="shared" si="76"/>
        <v>publishing</v>
      </c>
      <c r="R780" t="str">
        <f t="shared" si="77"/>
        <v>fiction</v>
      </c>
      <c r="S780" s="4">
        <f t="shared" si="74"/>
        <v>41729.702314814815</v>
      </c>
      <c r="T780" s="4">
        <f t="shared" si="75"/>
        <v>41759.702314814815</v>
      </c>
      <c r="U780" s="5">
        <f>VLOOKUP(currency,Tables!$A$1:$C$14,3,FALSE)*pledged</f>
        <v>2</v>
      </c>
    </row>
    <row r="781" spans="1:21" ht="43.2" x14ac:dyDescent="0.55000000000000004">
      <c r="A781">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16">
        <f t="shared" si="73"/>
        <v>66.666666666666671</v>
      </c>
      <c r="Q781" t="str">
        <f t="shared" si="76"/>
        <v>publishing</v>
      </c>
      <c r="R781" t="str">
        <f t="shared" si="77"/>
        <v>fiction</v>
      </c>
      <c r="S781" s="4">
        <f t="shared" si="74"/>
        <v>40436.68408564815</v>
      </c>
      <c r="T781" s="4">
        <f t="shared" si="75"/>
        <v>40466.166666666664</v>
      </c>
      <c r="U781" s="5">
        <f>VLOOKUP(currency,Tables!$A$1:$C$14,3,FALSE)*pledged</f>
        <v>400</v>
      </c>
    </row>
    <row r="782" spans="1:21" ht="28.8" x14ac:dyDescent="0.55000000000000004">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72"/>
        <v>1.04</v>
      </c>
      <c r="P782" s="16">
        <f t="shared" si="73"/>
        <v>38.518518518518519</v>
      </c>
      <c r="Q782" t="str">
        <f t="shared" si="76"/>
        <v>music</v>
      </c>
      <c r="R782" t="str">
        <f t="shared" si="77"/>
        <v>rock</v>
      </c>
      <c r="S782" s="4">
        <f t="shared" si="74"/>
        <v>40636.673900462964</v>
      </c>
      <c r="T782" s="4">
        <f t="shared" si="75"/>
        <v>40666.673900462964</v>
      </c>
      <c r="U782" s="5">
        <f>VLOOKUP(currency,Tables!$A$1:$C$14,3,FALSE)*pledged</f>
        <v>1040</v>
      </c>
    </row>
    <row r="783" spans="1:21" ht="43.2" x14ac:dyDescent="0.55000000000000004">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72"/>
        <v>1.3315375</v>
      </c>
      <c r="P783" s="16">
        <f t="shared" si="73"/>
        <v>42.609200000000001</v>
      </c>
      <c r="Q783" t="str">
        <f t="shared" si="76"/>
        <v>music</v>
      </c>
      <c r="R783" t="str">
        <f t="shared" si="77"/>
        <v>rock</v>
      </c>
      <c r="S783" s="4">
        <f t="shared" si="74"/>
        <v>41403.000856481485</v>
      </c>
      <c r="T783" s="4">
        <f t="shared" si="75"/>
        <v>41433.000856481485</v>
      </c>
      <c r="U783" s="5">
        <f>VLOOKUP(currency,Tables!$A$1:$C$14,3,FALSE)*pledged</f>
        <v>1065.23</v>
      </c>
    </row>
    <row r="784" spans="1:21" ht="43.2" x14ac:dyDescent="0.55000000000000004">
      <c r="A784">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72"/>
        <v>1</v>
      </c>
      <c r="P784" s="16">
        <f t="shared" si="73"/>
        <v>50</v>
      </c>
      <c r="Q784" t="str">
        <f t="shared" si="76"/>
        <v>music</v>
      </c>
      <c r="R784" t="str">
        <f t="shared" si="77"/>
        <v>rock</v>
      </c>
      <c r="S784" s="4">
        <f t="shared" si="74"/>
        <v>41116.758125</v>
      </c>
      <c r="T784" s="4">
        <f t="shared" si="75"/>
        <v>41146.758125</v>
      </c>
      <c r="U784" s="5">
        <f>VLOOKUP(currency,Tables!$A$1:$C$14,3,FALSE)*pledged</f>
        <v>700</v>
      </c>
    </row>
    <row r="785" spans="1:21" ht="43.2" x14ac:dyDescent="0.55000000000000004">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72"/>
        <v>1.4813333333333334</v>
      </c>
      <c r="P785" s="16">
        <f t="shared" si="73"/>
        <v>63.485714285714288</v>
      </c>
      <c r="Q785" t="str">
        <f t="shared" si="76"/>
        <v>music</v>
      </c>
      <c r="R785" t="str">
        <f t="shared" si="77"/>
        <v>rock</v>
      </c>
      <c r="S785" s="4">
        <f t="shared" si="74"/>
        <v>40987.773715277777</v>
      </c>
      <c r="T785" s="4">
        <f t="shared" si="75"/>
        <v>41026.916666666664</v>
      </c>
      <c r="U785" s="5">
        <f>VLOOKUP(currency,Tables!$A$1:$C$14,3,FALSE)*pledged</f>
        <v>2222</v>
      </c>
    </row>
    <row r="786" spans="1:21" ht="43.2" x14ac:dyDescent="0.55000000000000004">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72"/>
        <v>1.0249999999999999</v>
      </c>
      <c r="P786" s="16">
        <f t="shared" si="73"/>
        <v>102.5</v>
      </c>
      <c r="Q786" t="str">
        <f t="shared" si="76"/>
        <v>music</v>
      </c>
      <c r="R786" t="str">
        <f t="shared" si="77"/>
        <v>rock</v>
      </c>
      <c r="S786" s="4">
        <f t="shared" si="74"/>
        <v>41675.149525462963</v>
      </c>
      <c r="T786" s="4">
        <f t="shared" si="75"/>
        <v>41715.107858796298</v>
      </c>
      <c r="U786" s="5">
        <f>VLOOKUP(currency,Tables!$A$1:$C$14,3,FALSE)*pledged</f>
        <v>1025</v>
      </c>
    </row>
    <row r="787" spans="1:21" ht="43.2" x14ac:dyDescent="0.55000000000000004">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72"/>
        <v>1.8062799999999999</v>
      </c>
      <c r="P787" s="16">
        <f t="shared" si="73"/>
        <v>31.142758620689655</v>
      </c>
      <c r="Q787" t="str">
        <f t="shared" si="76"/>
        <v>music</v>
      </c>
      <c r="R787" t="str">
        <f t="shared" si="77"/>
        <v>rock</v>
      </c>
      <c r="S787" s="4">
        <f t="shared" si="74"/>
        <v>41303.593923611108</v>
      </c>
      <c r="T787" s="4">
        <f t="shared" si="75"/>
        <v>41333.593923611108</v>
      </c>
      <c r="U787" s="5">
        <f>VLOOKUP(currency,Tables!$A$1:$C$14,3,FALSE)*pledged</f>
        <v>903.14</v>
      </c>
    </row>
    <row r="788" spans="1:21" ht="43.2" x14ac:dyDescent="0.55000000000000004">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72"/>
        <v>1.4279999999999999</v>
      </c>
      <c r="P788" s="16">
        <f t="shared" si="73"/>
        <v>162.27272727272728</v>
      </c>
      <c r="Q788" t="str">
        <f t="shared" si="76"/>
        <v>music</v>
      </c>
      <c r="R788" t="str">
        <f t="shared" si="77"/>
        <v>rock</v>
      </c>
      <c r="S788" s="4">
        <f t="shared" si="74"/>
        <v>40983.055949074071</v>
      </c>
      <c r="T788" s="4">
        <f t="shared" si="75"/>
        <v>41040.657638888886</v>
      </c>
      <c r="U788" s="5">
        <f>VLOOKUP(currency,Tables!$A$1:$C$14,3,FALSE)*pledged</f>
        <v>7140</v>
      </c>
    </row>
    <row r="789" spans="1:21" ht="43.2" x14ac:dyDescent="0.55000000000000004">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72"/>
        <v>1.1416666666666666</v>
      </c>
      <c r="P789" s="16">
        <f t="shared" si="73"/>
        <v>80.588235294117652</v>
      </c>
      <c r="Q789" t="str">
        <f t="shared" si="76"/>
        <v>music</v>
      </c>
      <c r="R789" t="str">
        <f t="shared" si="77"/>
        <v>rock</v>
      </c>
      <c r="S789" s="4">
        <f t="shared" si="74"/>
        <v>41549.627615740741</v>
      </c>
      <c r="T789" s="4">
        <f t="shared" si="75"/>
        <v>41579.627615740741</v>
      </c>
      <c r="U789" s="5">
        <f>VLOOKUP(currency,Tables!$A$1:$C$14,3,FALSE)*pledged</f>
        <v>1370</v>
      </c>
    </row>
    <row r="790" spans="1:21" ht="43.2" x14ac:dyDescent="0.55000000000000004">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72"/>
        <v>2.03505</v>
      </c>
      <c r="P790" s="16">
        <f t="shared" si="73"/>
        <v>59.85441176470588</v>
      </c>
      <c r="Q790" t="str">
        <f t="shared" si="76"/>
        <v>music</v>
      </c>
      <c r="R790" t="str">
        <f t="shared" si="77"/>
        <v>rock</v>
      </c>
      <c r="S790" s="4">
        <f t="shared" si="74"/>
        <v>41059.006805555553</v>
      </c>
      <c r="T790" s="4">
        <f t="shared" si="75"/>
        <v>41097.165972222225</v>
      </c>
      <c r="U790" s="5">
        <f>VLOOKUP(currency,Tables!$A$1:$C$14,3,FALSE)*pledged</f>
        <v>2035.05</v>
      </c>
    </row>
    <row r="791" spans="1:21" ht="43.2" x14ac:dyDescent="0.55000000000000004">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72"/>
        <v>1.0941176470588236</v>
      </c>
      <c r="P791" s="16">
        <f t="shared" si="73"/>
        <v>132.85714285714286</v>
      </c>
      <c r="Q791" t="str">
        <f t="shared" si="76"/>
        <v>music</v>
      </c>
      <c r="R791" t="str">
        <f t="shared" si="77"/>
        <v>rock</v>
      </c>
      <c r="S791" s="4">
        <f t="shared" si="74"/>
        <v>41277.186111111114</v>
      </c>
      <c r="T791" s="4">
        <f t="shared" si="75"/>
        <v>41295.332638888889</v>
      </c>
      <c r="U791" s="5">
        <f>VLOOKUP(currency,Tables!$A$1:$C$14,3,FALSE)*pledged</f>
        <v>1860</v>
      </c>
    </row>
    <row r="792" spans="1:21" ht="43.2" x14ac:dyDescent="0.55000000000000004">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72"/>
        <v>1.443746</v>
      </c>
      <c r="P792" s="16">
        <f t="shared" si="73"/>
        <v>92.547820512820508</v>
      </c>
      <c r="Q792" t="str">
        <f t="shared" si="76"/>
        <v>music</v>
      </c>
      <c r="R792" t="str">
        <f t="shared" si="77"/>
        <v>rock</v>
      </c>
      <c r="S792" s="4">
        <f t="shared" si="74"/>
        <v>41276.047905092593</v>
      </c>
      <c r="T792" s="4">
        <f t="shared" si="75"/>
        <v>41306.047905092593</v>
      </c>
      <c r="U792" s="5">
        <f>VLOOKUP(currency,Tables!$A$1:$C$14,3,FALSE)*pledged</f>
        <v>14437.46</v>
      </c>
    </row>
    <row r="793" spans="1:21" ht="43.2" x14ac:dyDescent="0.55000000000000004">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16">
        <f t="shared" si="73"/>
        <v>60.859375</v>
      </c>
      <c r="Q793" t="str">
        <f t="shared" si="76"/>
        <v>music</v>
      </c>
      <c r="R793" t="str">
        <f t="shared" si="77"/>
        <v>rock</v>
      </c>
      <c r="S793" s="4">
        <f t="shared" si="74"/>
        <v>41557.780624999999</v>
      </c>
      <c r="T793" s="4">
        <f t="shared" si="75"/>
        <v>41591.249305555553</v>
      </c>
      <c r="U793" s="5">
        <f>VLOOKUP(currency,Tables!$A$1:$C$14,3,FALSE)*pledged</f>
        <v>7790</v>
      </c>
    </row>
    <row r="794" spans="1:21" ht="28.8" x14ac:dyDescent="0.55000000000000004">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16">
        <f t="shared" si="73"/>
        <v>41.851833333333339</v>
      </c>
      <c r="Q794" t="str">
        <f t="shared" si="76"/>
        <v>music</v>
      </c>
      <c r="R794" t="str">
        <f t="shared" si="77"/>
        <v>rock</v>
      </c>
      <c r="S794" s="4">
        <f t="shared" si="74"/>
        <v>41555.873645833337</v>
      </c>
      <c r="T794" s="4">
        <f t="shared" si="75"/>
        <v>41585.915312500001</v>
      </c>
      <c r="U794" s="5">
        <f>VLOOKUP(currency,Tables!$A$1:$C$14,3,FALSE)*pledged</f>
        <v>2511.11</v>
      </c>
    </row>
    <row r="795" spans="1:21" ht="43.2" x14ac:dyDescent="0.55000000000000004">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16">
        <f t="shared" si="73"/>
        <v>88.325937499999995</v>
      </c>
      <c r="Q795" t="str">
        <f t="shared" si="76"/>
        <v>music</v>
      </c>
      <c r="R795" t="str">
        <f t="shared" si="77"/>
        <v>rock</v>
      </c>
      <c r="S795" s="4">
        <f t="shared" si="74"/>
        <v>41442.741249999999</v>
      </c>
      <c r="T795" s="4">
        <f t="shared" si="75"/>
        <v>41458.207638888889</v>
      </c>
      <c r="U795" s="5">
        <f>VLOOKUP(currency,Tables!$A$1:$C$14,3,FALSE)*pledged</f>
        <v>2826.43</v>
      </c>
    </row>
    <row r="796" spans="1:21" ht="43.2" x14ac:dyDescent="0.55000000000000004">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72"/>
        <v>1.0531250000000001</v>
      </c>
      <c r="P796" s="16">
        <f t="shared" si="73"/>
        <v>158.96226415094338</v>
      </c>
      <c r="Q796" t="str">
        <f t="shared" si="76"/>
        <v>music</v>
      </c>
      <c r="R796" t="str">
        <f t="shared" si="77"/>
        <v>rock</v>
      </c>
      <c r="S796" s="4">
        <f t="shared" si="74"/>
        <v>40736.115011574075</v>
      </c>
      <c r="T796" s="4">
        <f t="shared" si="75"/>
        <v>40791.712500000001</v>
      </c>
      <c r="U796" s="5">
        <f>VLOOKUP(currency,Tables!$A$1:$C$14,3,FALSE)*pledged</f>
        <v>8425</v>
      </c>
    </row>
    <row r="797" spans="1:21" ht="43.2" x14ac:dyDescent="0.55000000000000004">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16">
        <f t="shared" si="73"/>
        <v>85.054347826086953</v>
      </c>
      <c r="Q797" t="str">
        <f t="shared" si="76"/>
        <v>music</v>
      </c>
      <c r="R797" t="str">
        <f t="shared" si="77"/>
        <v>rock</v>
      </c>
      <c r="S797" s="4">
        <f t="shared" si="74"/>
        <v>40963.613032407404</v>
      </c>
      <c r="T797" s="4">
        <f t="shared" si="75"/>
        <v>41006.207638888889</v>
      </c>
      <c r="U797" s="5">
        <f>VLOOKUP(currency,Tables!$A$1:$C$14,3,FALSE)*pledged</f>
        <v>15650</v>
      </c>
    </row>
    <row r="798" spans="1:21" ht="57.6" x14ac:dyDescent="0.55000000000000004">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16">
        <f t="shared" si="73"/>
        <v>112.61111111111111</v>
      </c>
      <c r="Q798" t="str">
        <f t="shared" si="76"/>
        <v>music</v>
      </c>
      <c r="R798" t="str">
        <f t="shared" si="77"/>
        <v>rock</v>
      </c>
      <c r="S798" s="4">
        <f t="shared" si="74"/>
        <v>41502.882928240739</v>
      </c>
      <c r="T798" s="4">
        <f t="shared" si="75"/>
        <v>41532.881944444445</v>
      </c>
      <c r="U798" s="5">
        <f>VLOOKUP(currency,Tables!$A$1:$C$14,3,FALSE)*pledged</f>
        <v>10135</v>
      </c>
    </row>
    <row r="799" spans="1:21" ht="43.2" x14ac:dyDescent="0.55000000000000004">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72"/>
        <v>1.0753333333333333</v>
      </c>
      <c r="P799" s="16">
        <f t="shared" si="73"/>
        <v>45.436619718309856</v>
      </c>
      <c r="Q799" t="str">
        <f t="shared" si="76"/>
        <v>music</v>
      </c>
      <c r="R799" t="str">
        <f t="shared" si="77"/>
        <v>rock</v>
      </c>
      <c r="S799" s="4">
        <f t="shared" si="74"/>
        <v>40996.994074074071</v>
      </c>
      <c r="T799" s="4">
        <f t="shared" si="75"/>
        <v>41028.166666666664</v>
      </c>
      <c r="U799" s="5">
        <f>VLOOKUP(currency,Tables!$A$1:$C$14,3,FALSE)*pledged</f>
        <v>3226</v>
      </c>
    </row>
    <row r="800" spans="1:21" ht="43.2" x14ac:dyDescent="0.55000000000000004">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72"/>
        <v>1.1488571428571428</v>
      </c>
      <c r="P800" s="16">
        <f t="shared" si="73"/>
        <v>46.218390804597703</v>
      </c>
      <c r="Q800" t="str">
        <f t="shared" si="76"/>
        <v>music</v>
      </c>
      <c r="R800" t="str">
        <f t="shared" si="77"/>
        <v>rock</v>
      </c>
      <c r="S800" s="4">
        <f t="shared" si="74"/>
        <v>41882.590127314819</v>
      </c>
      <c r="T800" s="4">
        <f t="shared" si="75"/>
        <v>41912.590127314819</v>
      </c>
      <c r="U800" s="5">
        <f>VLOOKUP(currency,Tables!$A$1:$C$14,3,FALSE)*pledged</f>
        <v>4021</v>
      </c>
    </row>
    <row r="801" spans="1:21" ht="43.2" x14ac:dyDescent="0.55000000000000004">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72"/>
        <v>1.0002</v>
      </c>
      <c r="P801" s="16">
        <f t="shared" si="73"/>
        <v>178.60714285714286</v>
      </c>
      <c r="Q801" t="str">
        <f t="shared" si="76"/>
        <v>music</v>
      </c>
      <c r="R801" t="str">
        <f t="shared" si="77"/>
        <v>rock</v>
      </c>
      <c r="S801" s="4">
        <f t="shared" si="74"/>
        <v>40996.667199074072</v>
      </c>
      <c r="T801" s="4">
        <f t="shared" si="75"/>
        <v>41026.667199074072</v>
      </c>
      <c r="U801" s="5">
        <f>VLOOKUP(currency,Tables!$A$1:$C$14,3,FALSE)*pledged</f>
        <v>5001</v>
      </c>
    </row>
    <row r="802" spans="1:21" ht="43.2" x14ac:dyDescent="0.55000000000000004">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72"/>
        <v>1.5213333333333334</v>
      </c>
      <c r="P802" s="16">
        <f t="shared" si="73"/>
        <v>40.75</v>
      </c>
      <c r="Q802" t="str">
        <f t="shared" si="76"/>
        <v>music</v>
      </c>
      <c r="R802" t="str">
        <f t="shared" si="77"/>
        <v>rock</v>
      </c>
      <c r="S802" s="4">
        <f t="shared" si="74"/>
        <v>41863.433495370373</v>
      </c>
      <c r="T802" s="4">
        <f t="shared" si="75"/>
        <v>41893.433495370373</v>
      </c>
      <c r="U802" s="5">
        <f>VLOOKUP(currency,Tables!$A$1:$C$14,3,FALSE)*pledged</f>
        <v>3012.2400000000002</v>
      </c>
    </row>
    <row r="803" spans="1:21" ht="43.2" x14ac:dyDescent="0.55000000000000004">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16">
        <f t="shared" si="73"/>
        <v>43.733921568627444</v>
      </c>
      <c r="Q803" t="str">
        <f t="shared" si="76"/>
        <v>music</v>
      </c>
      <c r="R803" t="str">
        <f t="shared" si="77"/>
        <v>rock</v>
      </c>
      <c r="S803" s="4">
        <f t="shared" si="74"/>
        <v>40695.795370370368</v>
      </c>
      <c r="T803" s="4">
        <f t="shared" si="75"/>
        <v>40725.795370370368</v>
      </c>
      <c r="U803" s="5">
        <f>VLOOKUP(currency,Tables!$A$1:$C$14,3,FALSE)*pledged</f>
        <v>2230.4299999999998</v>
      </c>
    </row>
    <row r="804" spans="1:21" ht="43.2" x14ac:dyDescent="0.55000000000000004">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72"/>
        <v>1.0133333333333334</v>
      </c>
      <c r="P804" s="16">
        <f t="shared" si="73"/>
        <v>81.066666666666663</v>
      </c>
      <c r="Q804" t="str">
        <f t="shared" si="76"/>
        <v>music</v>
      </c>
      <c r="R804" t="str">
        <f t="shared" si="77"/>
        <v>rock</v>
      </c>
      <c r="S804" s="4">
        <f t="shared" si="74"/>
        <v>41123.022268518522</v>
      </c>
      <c r="T804" s="4">
        <f t="shared" si="75"/>
        <v>41169.170138888891</v>
      </c>
      <c r="U804" s="5">
        <f>VLOOKUP(currency,Tables!$A$1:$C$14,3,FALSE)*pledged</f>
        <v>6080</v>
      </c>
    </row>
    <row r="805" spans="1:21" ht="43.2" x14ac:dyDescent="0.55000000000000004">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72"/>
        <v>1.232608695652174</v>
      </c>
      <c r="P805" s="16">
        <f t="shared" si="73"/>
        <v>74.60526315789474</v>
      </c>
      <c r="Q805" t="str">
        <f t="shared" si="76"/>
        <v>music</v>
      </c>
      <c r="R805" t="str">
        <f t="shared" si="77"/>
        <v>rock</v>
      </c>
      <c r="S805" s="4">
        <f t="shared" si="74"/>
        <v>40665.949976851851</v>
      </c>
      <c r="T805" s="4">
        <f t="shared" si="75"/>
        <v>40692.041666666664</v>
      </c>
      <c r="U805" s="5">
        <f>VLOOKUP(currency,Tables!$A$1:$C$14,3,FALSE)*pledged</f>
        <v>2835</v>
      </c>
    </row>
    <row r="806" spans="1:21" ht="43.2" x14ac:dyDescent="0.55000000000000004">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72"/>
        <v>1</v>
      </c>
      <c r="P806" s="16">
        <f t="shared" si="73"/>
        <v>305.55555555555554</v>
      </c>
      <c r="Q806" t="str">
        <f t="shared" si="76"/>
        <v>music</v>
      </c>
      <c r="R806" t="str">
        <f t="shared" si="77"/>
        <v>rock</v>
      </c>
      <c r="S806" s="4">
        <f t="shared" si="74"/>
        <v>40730.105625000004</v>
      </c>
      <c r="T806" s="4">
        <f t="shared" si="75"/>
        <v>40747.165972222225</v>
      </c>
      <c r="U806" s="5">
        <f>VLOOKUP(currency,Tables!$A$1:$C$14,3,FALSE)*pledged</f>
        <v>5500</v>
      </c>
    </row>
    <row r="807" spans="1:21" ht="43.2" x14ac:dyDescent="0.55000000000000004">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72"/>
        <v>1.05</v>
      </c>
      <c r="P807" s="16">
        <f t="shared" si="73"/>
        <v>58.333333333333336</v>
      </c>
      <c r="Q807" t="str">
        <f t="shared" si="76"/>
        <v>music</v>
      </c>
      <c r="R807" t="str">
        <f t="shared" si="77"/>
        <v>rock</v>
      </c>
      <c r="S807" s="4">
        <f t="shared" si="74"/>
        <v>40690.823055555556</v>
      </c>
      <c r="T807" s="4">
        <f t="shared" si="75"/>
        <v>40740.958333333336</v>
      </c>
      <c r="U807" s="5">
        <f>VLOOKUP(currency,Tables!$A$1:$C$14,3,FALSE)*pledged</f>
        <v>3150</v>
      </c>
    </row>
    <row r="808" spans="1:21" x14ac:dyDescent="0.55000000000000004">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72"/>
        <v>1.0443750000000001</v>
      </c>
      <c r="P808" s="16">
        <f t="shared" si="73"/>
        <v>117.67605633802818</v>
      </c>
      <c r="Q808" t="str">
        <f t="shared" si="76"/>
        <v>music</v>
      </c>
      <c r="R808" t="str">
        <f t="shared" si="77"/>
        <v>rock</v>
      </c>
      <c r="S808" s="4">
        <f t="shared" si="74"/>
        <v>40763.691423611112</v>
      </c>
      <c r="T808" s="4">
        <f t="shared" si="75"/>
        <v>40793.691423611112</v>
      </c>
      <c r="U808" s="5">
        <f>VLOOKUP(currency,Tables!$A$1:$C$14,3,FALSE)*pledged</f>
        <v>8355</v>
      </c>
    </row>
    <row r="809" spans="1:21" ht="28.8" x14ac:dyDescent="0.55000000000000004">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72"/>
        <v>1.05125</v>
      </c>
      <c r="P809" s="16">
        <f t="shared" si="73"/>
        <v>73.771929824561397</v>
      </c>
      <c r="Q809" t="str">
        <f t="shared" si="76"/>
        <v>music</v>
      </c>
      <c r="R809" t="str">
        <f t="shared" si="77"/>
        <v>rock</v>
      </c>
      <c r="S809" s="4">
        <f t="shared" si="74"/>
        <v>42759.628599537042</v>
      </c>
      <c r="T809" s="4">
        <f t="shared" si="75"/>
        <v>42795.083333333328</v>
      </c>
      <c r="U809" s="5">
        <f>VLOOKUP(currency,Tables!$A$1:$C$14,3,FALSE)*pledged</f>
        <v>4205</v>
      </c>
    </row>
    <row r="810" spans="1:21" ht="43.2" x14ac:dyDescent="0.55000000000000004">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72"/>
        <v>1</v>
      </c>
      <c r="P810" s="16">
        <f t="shared" si="73"/>
        <v>104.65116279069767</v>
      </c>
      <c r="Q810" t="str">
        <f t="shared" si="76"/>
        <v>music</v>
      </c>
      <c r="R810" t="str">
        <f t="shared" si="77"/>
        <v>rock</v>
      </c>
      <c r="S810" s="4">
        <f t="shared" si="74"/>
        <v>41962.100532407407</v>
      </c>
      <c r="T810" s="4">
        <f t="shared" si="75"/>
        <v>41995.207638888889</v>
      </c>
      <c r="U810" s="5">
        <f>VLOOKUP(currency,Tables!$A$1:$C$14,3,FALSE)*pledged</f>
        <v>3420</v>
      </c>
    </row>
    <row r="811" spans="1:21" ht="43.2" x14ac:dyDescent="0.55000000000000004">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72"/>
        <v>1.03775</v>
      </c>
      <c r="P811" s="16">
        <f t="shared" si="73"/>
        <v>79.82692307692308</v>
      </c>
      <c r="Q811" t="str">
        <f t="shared" si="76"/>
        <v>music</v>
      </c>
      <c r="R811" t="str">
        <f t="shared" si="77"/>
        <v>rock</v>
      </c>
      <c r="S811" s="4">
        <f t="shared" si="74"/>
        <v>41628.833680555559</v>
      </c>
      <c r="T811" s="4">
        <f t="shared" si="75"/>
        <v>41658.833680555559</v>
      </c>
      <c r="U811" s="5">
        <f>VLOOKUP(currency,Tables!$A$1:$C$14,3,FALSE)*pledged</f>
        <v>4151</v>
      </c>
    </row>
    <row r="812" spans="1:21" ht="43.2" x14ac:dyDescent="0.55000000000000004">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72"/>
        <v>1.05</v>
      </c>
      <c r="P812" s="16">
        <f t="shared" si="73"/>
        <v>58.333333333333336</v>
      </c>
      <c r="Q812" t="str">
        <f t="shared" si="76"/>
        <v>music</v>
      </c>
      <c r="R812" t="str">
        <f t="shared" si="77"/>
        <v>rock</v>
      </c>
      <c r="S812" s="4">
        <f t="shared" si="74"/>
        <v>41123.056273148148</v>
      </c>
      <c r="T812" s="4">
        <f t="shared" si="75"/>
        <v>41153.056273148148</v>
      </c>
      <c r="U812" s="5">
        <f>VLOOKUP(currency,Tables!$A$1:$C$14,3,FALSE)*pledged</f>
        <v>1575</v>
      </c>
    </row>
    <row r="813" spans="1:21" ht="28.8" x14ac:dyDescent="0.55000000000000004">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72"/>
        <v>1.04</v>
      </c>
      <c r="P813" s="16">
        <f t="shared" si="73"/>
        <v>86.666666666666671</v>
      </c>
      <c r="Q813" t="str">
        <f t="shared" si="76"/>
        <v>music</v>
      </c>
      <c r="R813" t="str">
        <f t="shared" si="77"/>
        <v>rock</v>
      </c>
      <c r="S813" s="4">
        <f t="shared" si="74"/>
        <v>41443.643541666665</v>
      </c>
      <c r="T813" s="4">
        <f t="shared" si="75"/>
        <v>41465.702777777777</v>
      </c>
      <c r="U813" s="5">
        <f>VLOOKUP(currency,Tables!$A$1:$C$14,3,FALSE)*pledged</f>
        <v>1040</v>
      </c>
    </row>
    <row r="814" spans="1:21" ht="43.2" x14ac:dyDescent="0.55000000000000004">
      <c r="A814">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72"/>
        <v>1.5183333333333333</v>
      </c>
      <c r="P814" s="16">
        <f t="shared" si="73"/>
        <v>27.606060606060606</v>
      </c>
      <c r="Q814" t="str">
        <f t="shared" si="76"/>
        <v>music</v>
      </c>
      <c r="R814" t="str">
        <f t="shared" si="77"/>
        <v>rock</v>
      </c>
      <c r="S814" s="4">
        <f t="shared" si="74"/>
        <v>41282.017962962964</v>
      </c>
      <c r="T814" s="4">
        <f t="shared" si="75"/>
        <v>41334.581944444442</v>
      </c>
      <c r="U814" s="5">
        <f>VLOOKUP(currency,Tables!$A$1:$C$14,3,FALSE)*pledged</f>
        <v>911</v>
      </c>
    </row>
    <row r="815" spans="1:21" ht="28.8" x14ac:dyDescent="0.55000000000000004">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72"/>
        <v>1.59996</v>
      </c>
      <c r="P815" s="16">
        <f t="shared" si="73"/>
        <v>24.999375000000001</v>
      </c>
      <c r="Q815" t="str">
        <f t="shared" si="76"/>
        <v>music</v>
      </c>
      <c r="R815" t="str">
        <f t="shared" si="77"/>
        <v>rock</v>
      </c>
      <c r="S815" s="4">
        <f t="shared" si="74"/>
        <v>41080.960243055553</v>
      </c>
      <c r="T815" s="4">
        <f t="shared" si="75"/>
        <v>41110.960243055553</v>
      </c>
      <c r="U815" s="5">
        <f>VLOOKUP(currency,Tables!$A$1:$C$14,3,FALSE)*pledged</f>
        <v>2399.94</v>
      </c>
    </row>
    <row r="816" spans="1:21" ht="43.2" x14ac:dyDescent="0.55000000000000004">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72"/>
        <v>1.2729999999999999</v>
      </c>
      <c r="P816" s="16">
        <f t="shared" si="73"/>
        <v>45.464285714285715</v>
      </c>
      <c r="Q816" t="str">
        <f t="shared" si="76"/>
        <v>music</v>
      </c>
      <c r="R816" t="str">
        <f t="shared" si="77"/>
        <v>rock</v>
      </c>
      <c r="S816" s="4">
        <f t="shared" si="74"/>
        <v>40679.743067129632</v>
      </c>
      <c r="T816" s="4">
        <f t="shared" si="75"/>
        <v>40694.75277777778</v>
      </c>
      <c r="U816" s="5">
        <f>VLOOKUP(currency,Tables!$A$1:$C$14,3,FALSE)*pledged</f>
        <v>1273</v>
      </c>
    </row>
    <row r="817" spans="1:21" ht="28.8" x14ac:dyDescent="0.55000000000000004">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72"/>
        <v>1.07</v>
      </c>
      <c r="P817" s="16">
        <f t="shared" si="73"/>
        <v>99.534883720930239</v>
      </c>
      <c r="Q817" t="str">
        <f t="shared" si="76"/>
        <v>music</v>
      </c>
      <c r="R817" t="str">
        <f t="shared" si="77"/>
        <v>rock</v>
      </c>
      <c r="S817" s="4">
        <f t="shared" si="74"/>
        <v>41914.917858796296</v>
      </c>
      <c r="T817" s="4">
        <f t="shared" si="75"/>
        <v>41944.917858796296</v>
      </c>
      <c r="U817" s="5">
        <f>VLOOKUP(currency,Tables!$A$1:$C$14,3,FALSE)*pledged</f>
        <v>4280</v>
      </c>
    </row>
    <row r="818" spans="1:21" ht="28.8" x14ac:dyDescent="0.55000000000000004">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16">
        <f t="shared" si="73"/>
        <v>39.31</v>
      </c>
      <c r="Q818" t="str">
        <f t="shared" si="76"/>
        <v>music</v>
      </c>
      <c r="R818" t="str">
        <f t="shared" si="77"/>
        <v>rock</v>
      </c>
      <c r="S818" s="4">
        <f t="shared" si="74"/>
        <v>41341.870868055557</v>
      </c>
      <c r="T818" s="4">
        <f t="shared" si="75"/>
        <v>41373.270833333336</v>
      </c>
      <c r="U818" s="5">
        <f>VLOOKUP(currency,Tables!$A$1:$C$14,3,FALSE)*pledged</f>
        <v>8058.55</v>
      </c>
    </row>
    <row r="819" spans="1:21" ht="43.2" x14ac:dyDescent="0.55000000000000004">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16">
        <f t="shared" si="73"/>
        <v>89.419999999999987</v>
      </c>
      <c r="Q819" t="str">
        <f t="shared" si="76"/>
        <v>music</v>
      </c>
      <c r="R819" t="str">
        <f t="shared" si="77"/>
        <v>rock</v>
      </c>
      <c r="S819" s="4">
        <f t="shared" si="74"/>
        <v>40925.599664351852</v>
      </c>
      <c r="T819" s="4">
        <f t="shared" si="75"/>
        <v>40979.207638888889</v>
      </c>
      <c r="U819" s="5">
        <f>VLOOKUP(currency,Tables!$A$1:$C$14,3,FALSE)*pledged</f>
        <v>2056.66</v>
      </c>
    </row>
    <row r="820" spans="1:21" ht="43.2" x14ac:dyDescent="0.55000000000000004">
      <c r="A820">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72"/>
        <v>1.5571428571428572</v>
      </c>
      <c r="P820" s="16">
        <f t="shared" si="73"/>
        <v>28.684210526315791</v>
      </c>
      <c r="Q820" t="str">
        <f t="shared" si="76"/>
        <v>music</v>
      </c>
      <c r="R820" t="str">
        <f t="shared" si="77"/>
        <v>rock</v>
      </c>
      <c r="S820" s="4">
        <f t="shared" si="74"/>
        <v>41120.882881944446</v>
      </c>
      <c r="T820" s="4">
        <f t="shared" si="75"/>
        <v>41128.709027777775</v>
      </c>
      <c r="U820" s="5">
        <f>VLOOKUP(currency,Tables!$A$1:$C$14,3,FALSE)*pledged</f>
        <v>545</v>
      </c>
    </row>
    <row r="821" spans="1:21" ht="28.8" x14ac:dyDescent="0.55000000000000004">
      <c r="A821">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72"/>
        <v>1.0874999999999999</v>
      </c>
      <c r="P821" s="16">
        <f t="shared" si="73"/>
        <v>31.071428571428573</v>
      </c>
      <c r="Q821" t="str">
        <f t="shared" si="76"/>
        <v>music</v>
      </c>
      <c r="R821" t="str">
        <f t="shared" si="77"/>
        <v>rock</v>
      </c>
      <c r="S821" s="4">
        <f t="shared" si="74"/>
        <v>41619.998310185183</v>
      </c>
      <c r="T821" s="4">
        <f t="shared" si="75"/>
        <v>41629.197222222225</v>
      </c>
      <c r="U821" s="5">
        <f>VLOOKUP(currency,Tables!$A$1:$C$14,3,FALSE)*pledged</f>
        <v>435</v>
      </c>
    </row>
    <row r="822" spans="1:21" ht="43.2" x14ac:dyDescent="0.55000000000000004">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72"/>
        <v>1.3405</v>
      </c>
      <c r="P822" s="16">
        <f t="shared" si="73"/>
        <v>70.55263157894737</v>
      </c>
      <c r="Q822" t="str">
        <f t="shared" si="76"/>
        <v>music</v>
      </c>
      <c r="R822" t="str">
        <f t="shared" si="77"/>
        <v>rock</v>
      </c>
      <c r="S822" s="4">
        <f t="shared" si="74"/>
        <v>41768.841921296298</v>
      </c>
      <c r="T822" s="4">
        <f t="shared" si="75"/>
        <v>41799.208333333336</v>
      </c>
      <c r="U822" s="5">
        <f>VLOOKUP(currency,Tables!$A$1:$C$14,3,FALSE)*pledged</f>
        <v>2681</v>
      </c>
    </row>
    <row r="823" spans="1:21" ht="43.2" x14ac:dyDescent="0.55000000000000004">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72"/>
        <v>1</v>
      </c>
      <c r="P823" s="16">
        <f t="shared" si="73"/>
        <v>224.12820512820514</v>
      </c>
      <c r="Q823" t="str">
        <f t="shared" si="76"/>
        <v>music</v>
      </c>
      <c r="R823" t="str">
        <f t="shared" si="77"/>
        <v>rock</v>
      </c>
      <c r="S823" s="4">
        <f t="shared" si="74"/>
        <v>42093.922048611115</v>
      </c>
      <c r="T823" s="4">
        <f t="shared" si="75"/>
        <v>42128.167361111111</v>
      </c>
      <c r="U823" s="5">
        <f>VLOOKUP(currency,Tables!$A$1:$C$14,3,FALSE)*pledged</f>
        <v>17482</v>
      </c>
    </row>
    <row r="824" spans="1:21" ht="28.8" x14ac:dyDescent="0.55000000000000004">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72"/>
        <v>1.1916666666666667</v>
      </c>
      <c r="P824" s="16">
        <f t="shared" si="73"/>
        <v>51.811594202898547</v>
      </c>
      <c r="Q824" t="str">
        <f t="shared" si="76"/>
        <v>music</v>
      </c>
      <c r="R824" t="str">
        <f t="shared" si="77"/>
        <v>rock</v>
      </c>
      <c r="S824" s="4">
        <f t="shared" si="74"/>
        <v>41157.947337962964</v>
      </c>
      <c r="T824" s="4">
        <f t="shared" si="75"/>
        <v>41187.947337962964</v>
      </c>
      <c r="U824" s="5">
        <f>VLOOKUP(currency,Tables!$A$1:$C$14,3,FALSE)*pledged</f>
        <v>3575</v>
      </c>
    </row>
    <row r="825" spans="1:21" ht="43.2" x14ac:dyDescent="0.55000000000000004">
      <c r="A825">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72"/>
        <v>1.7949999999999999</v>
      </c>
      <c r="P825" s="16">
        <f t="shared" si="73"/>
        <v>43.515151515151516</v>
      </c>
      <c r="Q825" t="str">
        <f t="shared" si="76"/>
        <v>music</v>
      </c>
      <c r="R825" t="str">
        <f t="shared" si="77"/>
        <v>rock</v>
      </c>
      <c r="S825" s="4">
        <f t="shared" si="74"/>
        <v>42055.972824074073</v>
      </c>
      <c r="T825" s="4">
        <f t="shared" si="75"/>
        <v>42085.931157407409</v>
      </c>
      <c r="U825" s="5">
        <f>VLOOKUP(currency,Tables!$A$1:$C$14,3,FALSE)*pledged</f>
        <v>1436</v>
      </c>
    </row>
    <row r="826" spans="1:21" ht="43.2" x14ac:dyDescent="0.55000000000000004">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16">
        <f t="shared" si="73"/>
        <v>39.816666666666663</v>
      </c>
      <c r="Q826" t="str">
        <f t="shared" si="76"/>
        <v>music</v>
      </c>
      <c r="R826" t="str">
        <f t="shared" si="77"/>
        <v>rock</v>
      </c>
      <c r="S826" s="4">
        <f t="shared" si="74"/>
        <v>40250.242106481484</v>
      </c>
      <c r="T826" s="4">
        <f t="shared" si="75"/>
        <v>40286.290972222225</v>
      </c>
      <c r="U826" s="5">
        <f>VLOOKUP(currency,Tables!$A$1:$C$14,3,FALSE)*pledged</f>
        <v>2150.1</v>
      </c>
    </row>
    <row r="827" spans="1:21" ht="28.8" x14ac:dyDescent="0.55000000000000004">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16">
        <f t="shared" si="73"/>
        <v>126.8080808080808</v>
      </c>
      <c r="Q827" t="str">
        <f t="shared" si="76"/>
        <v>music</v>
      </c>
      <c r="R827" t="str">
        <f t="shared" si="77"/>
        <v>rock</v>
      </c>
      <c r="S827" s="4">
        <f t="shared" si="74"/>
        <v>41186.306527777779</v>
      </c>
      <c r="T827" s="4">
        <f t="shared" si="75"/>
        <v>41211.306527777779</v>
      </c>
      <c r="U827" s="5">
        <f>VLOOKUP(currency,Tables!$A$1:$C$14,3,FALSE)*pledged</f>
        <v>12554</v>
      </c>
    </row>
    <row r="828" spans="1:21" ht="43.2" x14ac:dyDescent="0.55000000000000004">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72"/>
        <v>1.0145454545454546</v>
      </c>
      <c r="P828" s="16">
        <f t="shared" si="73"/>
        <v>113.87755102040816</v>
      </c>
      <c r="Q828" t="str">
        <f t="shared" si="76"/>
        <v>music</v>
      </c>
      <c r="R828" t="str">
        <f t="shared" si="77"/>
        <v>rock</v>
      </c>
      <c r="S828" s="4">
        <f t="shared" si="74"/>
        <v>40973.038541666669</v>
      </c>
      <c r="T828" s="4">
        <f t="shared" si="75"/>
        <v>40993.996874999997</v>
      </c>
      <c r="U828" s="5">
        <f>VLOOKUP(currency,Tables!$A$1:$C$14,3,FALSE)*pledged</f>
        <v>5580</v>
      </c>
    </row>
    <row r="829" spans="1:21" ht="43.2" x14ac:dyDescent="0.55000000000000004">
      <c r="A829">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72"/>
        <v>1.0333333333333334</v>
      </c>
      <c r="P829" s="16">
        <f t="shared" si="73"/>
        <v>28.181818181818183</v>
      </c>
      <c r="Q829" t="str">
        <f t="shared" si="76"/>
        <v>music</v>
      </c>
      <c r="R829" t="str">
        <f t="shared" si="77"/>
        <v>rock</v>
      </c>
      <c r="S829" s="4">
        <f t="shared" si="74"/>
        <v>40927.473460648151</v>
      </c>
      <c r="T829" s="4">
        <f t="shared" si="75"/>
        <v>40953.825694444444</v>
      </c>
      <c r="U829" s="5">
        <f>VLOOKUP(currency,Tables!$A$1:$C$14,3,FALSE)*pledged</f>
        <v>310</v>
      </c>
    </row>
    <row r="830" spans="1:21" ht="43.2" x14ac:dyDescent="0.55000000000000004">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72"/>
        <v>1.07</v>
      </c>
      <c r="P830" s="16">
        <f t="shared" si="73"/>
        <v>36.60526315789474</v>
      </c>
      <c r="Q830" t="str">
        <f t="shared" si="76"/>
        <v>music</v>
      </c>
      <c r="R830" t="str">
        <f t="shared" si="77"/>
        <v>rock</v>
      </c>
      <c r="S830" s="4">
        <f t="shared" si="74"/>
        <v>41073.050717592596</v>
      </c>
      <c r="T830" s="4">
        <f t="shared" si="75"/>
        <v>41085.683333333334</v>
      </c>
      <c r="U830" s="5">
        <f>VLOOKUP(currency,Tables!$A$1:$C$14,3,FALSE)*pledged</f>
        <v>1391</v>
      </c>
    </row>
    <row r="831" spans="1:21" ht="43.2" x14ac:dyDescent="0.55000000000000004">
      <c r="A831">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72"/>
        <v>1.04</v>
      </c>
      <c r="P831" s="16">
        <f t="shared" si="73"/>
        <v>32.5</v>
      </c>
      <c r="Q831" t="str">
        <f t="shared" si="76"/>
        <v>music</v>
      </c>
      <c r="R831" t="str">
        <f t="shared" si="77"/>
        <v>rock</v>
      </c>
      <c r="S831" s="4">
        <f t="shared" si="74"/>
        <v>42504.801388888889</v>
      </c>
      <c r="T831" s="4">
        <f t="shared" si="75"/>
        <v>42564.801388888889</v>
      </c>
      <c r="U831" s="5">
        <f>VLOOKUP(currency,Tables!$A$1:$C$14,3,FALSE)*pledged</f>
        <v>686.4</v>
      </c>
    </row>
    <row r="832" spans="1:21" ht="43.2" x14ac:dyDescent="0.55000000000000004">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72"/>
        <v>1.0783333333333334</v>
      </c>
      <c r="P832" s="16">
        <f t="shared" si="73"/>
        <v>60.65625</v>
      </c>
      <c r="Q832" t="str">
        <f t="shared" si="76"/>
        <v>music</v>
      </c>
      <c r="R832" t="str">
        <f t="shared" si="77"/>
        <v>rock</v>
      </c>
      <c r="S832" s="4">
        <f t="shared" si="74"/>
        <v>41325.525752314818</v>
      </c>
      <c r="T832" s="4">
        <f t="shared" si="75"/>
        <v>41355.484085648146</v>
      </c>
      <c r="U832" s="5">
        <f>VLOOKUP(currency,Tables!$A$1:$C$14,3,FALSE)*pledged</f>
        <v>1941</v>
      </c>
    </row>
    <row r="833" spans="1:21" ht="28.8" x14ac:dyDescent="0.55000000000000004">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72"/>
        <v>2.3333333333333335</v>
      </c>
      <c r="P833" s="16">
        <f t="shared" si="73"/>
        <v>175</v>
      </c>
      <c r="Q833" t="str">
        <f t="shared" si="76"/>
        <v>music</v>
      </c>
      <c r="R833" t="str">
        <f t="shared" si="77"/>
        <v>rock</v>
      </c>
      <c r="S833" s="4">
        <f t="shared" si="74"/>
        <v>40996.646921296298</v>
      </c>
      <c r="T833" s="4">
        <f t="shared" si="75"/>
        <v>41026.646921296298</v>
      </c>
      <c r="U833" s="5">
        <f>VLOOKUP(currency,Tables!$A$1:$C$14,3,FALSE)*pledged</f>
        <v>3500</v>
      </c>
    </row>
    <row r="834" spans="1:21" ht="43.2" x14ac:dyDescent="0.55000000000000004">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ref="O834:O897" si="78">pledged/goal</f>
        <v>1.0060706666666666</v>
      </c>
      <c r="P834" s="16">
        <f t="shared" ref="P834:P897" si="79">IF(pledged=0,0,pledged/backers_count)</f>
        <v>97.993896103896105</v>
      </c>
      <c r="Q834" t="str">
        <f t="shared" si="76"/>
        <v>music</v>
      </c>
      <c r="R834" t="str">
        <f t="shared" si="77"/>
        <v>rock</v>
      </c>
      <c r="S834" s="4">
        <f t="shared" ref="S834:S897" si="80">(((Unix_launched_date/60)/60)/24)+DATE(1970,1,1)</f>
        <v>40869.675173611111</v>
      </c>
      <c r="T834" s="4">
        <f t="shared" ref="T834:T897" si="81">(((Unix_deadline/60)/60)/24)+DATE(1970,1,1)</f>
        <v>40929.342361111114</v>
      </c>
      <c r="U834" s="5">
        <f>VLOOKUP(currency,Tables!$A$1:$C$14,3,FALSE)*pledged</f>
        <v>15091.06</v>
      </c>
    </row>
    <row r="835" spans="1:21" x14ac:dyDescent="0.55000000000000004">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si="78"/>
        <v>1.0166666666666666</v>
      </c>
      <c r="P835" s="16">
        <f t="shared" si="79"/>
        <v>148.78048780487805</v>
      </c>
      <c r="Q835" t="str">
        <f t="shared" ref="Q835:Q898" si="82">LEFT(N835,FIND("/",N835,1)-1)</f>
        <v>music</v>
      </c>
      <c r="R835" t="str">
        <f t="shared" ref="R835:R898" si="83">RIGHT(N835,(LEN(N835)-FIND("/",N835,1)))</f>
        <v>rock</v>
      </c>
      <c r="S835" s="4">
        <f t="shared" si="80"/>
        <v>41718.878182870372</v>
      </c>
      <c r="T835" s="4">
        <f t="shared" si="81"/>
        <v>41748.878182870372</v>
      </c>
      <c r="U835" s="5">
        <f>VLOOKUP(currency,Tables!$A$1:$C$14,3,FALSE)*pledged</f>
        <v>6100</v>
      </c>
    </row>
    <row r="836" spans="1:21" ht="43.2" x14ac:dyDescent="0.55000000000000004">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78"/>
        <v>1.3101818181818181</v>
      </c>
      <c r="P836" s="16">
        <f t="shared" si="79"/>
        <v>96.08</v>
      </c>
      <c r="Q836" t="str">
        <f t="shared" si="82"/>
        <v>music</v>
      </c>
      <c r="R836" t="str">
        <f t="shared" si="83"/>
        <v>rock</v>
      </c>
      <c r="S836" s="4">
        <f t="shared" si="80"/>
        <v>41422.822824074072</v>
      </c>
      <c r="T836" s="4">
        <f t="shared" si="81"/>
        <v>41456.165972222225</v>
      </c>
      <c r="U836" s="5">
        <f>VLOOKUP(currency,Tables!$A$1:$C$14,3,FALSE)*pledged</f>
        <v>7206</v>
      </c>
    </row>
    <row r="837" spans="1:21" ht="43.2" x14ac:dyDescent="0.55000000000000004">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78"/>
        <v>1.1725000000000001</v>
      </c>
      <c r="P837" s="16">
        <f t="shared" si="79"/>
        <v>58.625</v>
      </c>
      <c r="Q837" t="str">
        <f t="shared" si="82"/>
        <v>music</v>
      </c>
      <c r="R837" t="str">
        <f t="shared" si="83"/>
        <v>rock</v>
      </c>
      <c r="S837" s="4">
        <f t="shared" si="80"/>
        <v>41005.45784722222</v>
      </c>
      <c r="T837" s="4">
        <f t="shared" si="81"/>
        <v>41048.125</v>
      </c>
      <c r="U837" s="5">
        <f>VLOOKUP(currency,Tables!$A$1:$C$14,3,FALSE)*pledged</f>
        <v>2345</v>
      </c>
    </row>
    <row r="838" spans="1:21" x14ac:dyDescent="0.55000000000000004">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16">
        <f t="shared" si="79"/>
        <v>109.70695652173914</v>
      </c>
      <c r="Q838" t="str">
        <f t="shared" si="82"/>
        <v>music</v>
      </c>
      <c r="R838" t="str">
        <f t="shared" si="83"/>
        <v>rock</v>
      </c>
      <c r="S838" s="4">
        <f t="shared" si="80"/>
        <v>41524.056921296295</v>
      </c>
      <c r="T838" s="4">
        <f t="shared" si="81"/>
        <v>41554.056921296295</v>
      </c>
      <c r="U838" s="5">
        <f>VLOOKUP(currency,Tables!$A$1:$C$14,3,FALSE)*pledged</f>
        <v>5046.5200000000004</v>
      </c>
    </row>
    <row r="839" spans="1:21" ht="28.8" x14ac:dyDescent="0.55000000000000004">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78"/>
        <v>1.218</v>
      </c>
      <c r="P839" s="16">
        <f t="shared" si="79"/>
        <v>49.112903225806448</v>
      </c>
      <c r="Q839" t="str">
        <f t="shared" si="82"/>
        <v>music</v>
      </c>
      <c r="R839" t="str">
        <f t="shared" si="83"/>
        <v>rock</v>
      </c>
      <c r="S839" s="4">
        <f t="shared" si="80"/>
        <v>41730.998402777775</v>
      </c>
      <c r="T839" s="4">
        <f t="shared" si="81"/>
        <v>41760.998402777775</v>
      </c>
      <c r="U839" s="5">
        <f>VLOOKUP(currency,Tables!$A$1:$C$14,3,FALSE)*pledged</f>
        <v>3045</v>
      </c>
    </row>
    <row r="840" spans="1:21" ht="43.2" x14ac:dyDescent="0.55000000000000004">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78"/>
        <v>1.454</v>
      </c>
      <c r="P840" s="16">
        <f t="shared" si="79"/>
        <v>47.672131147540981</v>
      </c>
      <c r="Q840" t="str">
        <f t="shared" si="82"/>
        <v>music</v>
      </c>
      <c r="R840" t="str">
        <f t="shared" si="83"/>
        <v>rock</v>
      </c>
      <c r="S840" s="4">
        <f t="shared" si="80"/>
        <v>40895.897974537038</v>
      </c>
      <c r="T840" s="4">
        <f t="shared" si="81"/>
        <v>40925.897974537038</v>
      </c>
      <c r="U840" s="5">
        <f>VLOOKUP(currency,Tables!$A$1:$C$14,3,FALSE)*pledged</f>
        <v>2908</v>
      </c>
    </row>
    <row r="841" spans="1:21" ht="43.2" x14ac:dyDescent="0.55000000000000004">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78"/>
        <v>1.166166</v>
      </c>
      <c r="P841" s="16">
        <f t="shared" si="79"/>
        <v>60.737812499999997</v>
      </c>
      <c r="Q841" t="str">
        <f t="shared" si="82"/>
        <v>music</v>
      </c>
      <c r="R841" t="str">
        <f t="shared" si="83"/>
        <v>rock</v>
      </c>
      <c r="S841" s="4">
        <f t="shared" si="80"/>
        <v>41144.763379629629</v>
      </c>
      <c r="T841" s="4">
        <f t="shared" si="81"/>
        <v>41174.763379629629</v>
      </c>
      <c r="U841" s="5">
        <f>VLOOKUP(currency,Tables!$A$1:$C$14,3,FALSE)*pledged</f>
        <v>5830.83</v>
      </c>
    </row>
    <row r="842" spans="1:21" ht="43.2" x14ac:dyDescent="0.55000000000000004">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16">
        <f t="shared" si="79"/>
        <v>63.37715789473684</v>
      </c>
      <c r="Q842" t="str">
        <f t="shared" si="82"/>
        <v>music</v>
      </c>
      <c r="R842" t="str">
        <f t="shared" si="83"/>
        <v>metal</v>
      </c>
      <c r="S842" s="4">
        <f t="shared" si="80"/>
        <v>42607.226701388892</v>
      </c>
      <c r="T842" s="4">
        <f t="shared" si="81"/>
        <v>42637.226701388892</v>
      </c>
      <c r="U842" s="5">
        <f>VLOOKUP(currency,Tables!$A$1:$C$14,3,FALSE)*pledged</f>
        <v>12041.66</v>
      </c>
    </row>
    <row r="843" spans="1:21" ht="43.2" x14ac:dyDescent="0.55000000000000004">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78"/>
        <v>1.0132000000000001</v>
      </c>
      <c r="P843" s="16">
        <f t="shared" si="79"/>
        <v>53.893617021276597</v>
      </c>
      <c r="Q843" t="str">
        <f t="shared" si="82"/>
        <v>music</v>
      </c>
      <c r="R843" t="str">
        <f t="shared" si="83"/>
        <v>metal</v>
      </c>
      <c r="S843" s="4">
        <f t="shared" si="80"/>
        <v>41923.838692129626</v>
      </c>
      <c r="T843" s="4">
        <f t="shared" si="81"/>
        <v>41953.88035879629</v>
      </c>
      <c r="U843" s="5">
        <f>VLOOKUP(currency,Tables!$A$1:$C$14,3,FALSE)*pledged</f>
        <v>5066</v>
      </c>
    </row>
    <row r="844" spans="1:21" ht="43.2" x14ac:dyDescent="0.55000000000000004">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78"/>
        <v>1.0431999999999999</v>
      </c>
      <c r="P844" s="16">
        <f t="shared" si="79"/>
        <v>66.871794871794876</v>
      </c>
      <c r="Q844" t="str">
        <f t="shared" si="82"/>
        <v>music</v>
      </c>
      <c r="R844" t="str">
        <f t="shared" si="83"/>
        <v>metal</v>
      </c>
      <c r="S844" s="4">
        <f t="shared" si="80"/>
        <v>41526.592395833337</v>
      </c>
      <c r="T844" s="4">
        <f t="shared" si="81"/>
        <v>41561.165972222225</v>
      </c>
      <c r="U844" s="5">
        <f>VLOOKUP(currency,Tables!$A$1:$C$14,3,FALSE)*pledged</f>
        <v>1982.08</v>
      </c>
    </row>
    <row r="845" spans="1:21" ht="43.2" x14ac:dyDescent="0.55000000000000004">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16">
        <f t="shared" si="79"/>
        <v>63.102362204724407</v>
      </c>
      <c r="Q845" t="str">
        <f t="shared" si="82"/>
        <v>music</v>
      </c>
      <c r="R845" t="str">
        <f t="shared" si="83"/>
        <v>metal</v>
      </c>
      <c r="S845" s="4">
        <f t="shared" si="80"/>
        <v>42695.257870370369</v>
      </c>
      <c r="T845" s="4">
        <f t="shared" si="81"/>
        <v>42712.333333333328</v>
      </c>
      <c r="U845" s="5">
        <f>VLOOKUP(currency,Tables!$A$1:$C$14,3,FALSE)*pledged</f>
        <v>8014</v>
      </c>
    </row>
    <row r="846" spans="1:21" ht="43.2" x14ac:dyDescent="0.55000000000000004">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16">
        <f t="shared" si="79"/>
        <v>36.628930817610062</v>
      </c>
      <c r="Q846" t="str">
        <f t="shared" si="82"/>
        <v>music</v>
      </c>
      <c r="R846" t="str">
        <f t="shared" si="83"/>
        <v>metal</v>
      </c>
      <c r="S846" s="4">
        <f t="shared" si="80"/>
        <v>41905.684629629628</v>
      </c>
      <c r="T846" s="4">
        <f t="shared" si="81"/>
        <v>41944.207638888889</v>
      </c>
      <c r="U846" s="5">
        <f>VLOOKUP(currency,Tables!$A$1:$C$14,3,FALSE)*pledged</f>
        <v>5824</v>
      </c>
    </row>
    <row r="847" spans="1:21" ht="43.2" x14ac:dyDescent="0.55000000000000004">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78"/>
        <v>1.203802</v>
      </c>
      <c r="P847" s="16">
        <f t="shared" si="79"/>
        <v>34.005706214689269</v>
      </c>
      <c r="Q847" t="str">
        <f t="shared" si="82"/>
        <v>music</v>
      </c>
      <c r="R847" t="str">
        <f t="shared" si="83"/>
        <v>metal</v>
      </c>
      <c r="S847" s="4">
        <f t="shared" si="80"/>
        <v>42578.205972222218</v>
      </c>
      <c r="T847" s="4">
        <f t="shared" si="81"/>
        <v>42618.165972222225</v>
      </c>
      <c r="U847" s="5">
        <f>VLOOKUP(currency,Tables!$A$1:$C$14,3,FALSE)*pledged</f>
        <v>6019.01</v>
      </c>
    </row>
    <row r="848" spans="1:21" ht="43.2" x14ac:dyDescent="0.55000000000000004">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16">
        <f t="shared" si="79"/>
        <v>28.553404255319148</v>
      </c>
      <c r="Q848" t="str">
        <f t="shared" si="82"/>
        <v>music</v>
      </c>
      <c r="R848" t="str">
        <f t="shared" si="83"/>
        <v>metal</v>
      </c>
      <c r="S848" s="4">
        <f t="shared" si="80"/>
        <v>41694.391840277778</v>
      </c>
      <c r="T848" s="4">
        <f t="shared" si="81"/>
        <v>41708.583333333336</v>
      </c>
      <c r="U848" s="5">
        <f>VLOOKUP(currency,Tables!$A$1:$C$14,3,FALSE)*pledged</f>
        <v>1771.4532000000002</v>
      </c>
    </row>
    <row r="849" spans="1:21" ht="28.8" x14ac:dyDescent="0.55000000000000004">
      <c r="A849">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78"/>
        <v>1</v>
      </c>
      <c r="P849" s="16">
        <f t="shared" si="79"/>
        <v>10</v>
      </c>
      <c r="Q849" t="str">
        <f t="shared" si="82"/>
        <v>music</v>
      </c>
      <c r="R849" t="str">
        <f t="shared" si="83"/>
        <v>metal</v>
      </c>
      <c r="S849" s="4">
        <f t="shared" si="80"/>
        <v>42165.79833333334</v>
      </c>
      <c r="T849" s="4">
        <f t="shared" si="81"/>
        <v>42195.79833333334</v>
      </c>
      <c r="U849" s="5">
        <f>VLOOKUP(currency,Tables!$A$1:$C$14,3,FALSE)*pledged</f>
        <v>10</v>
      </c>
    </row>
    <row r="850" spans="1:21" ht="43.2" x14ac:dyDescent="0.55000000000000004">
      <c r="A850">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78"/>
        <v>1</v>
      </c>
      <c r="P850" s="16">
        <f t="shared" si="79"/>
        <v>18.75</v>
      </c>
      <c r="Q850" t="str">
        <f t="shared" si="82"/>
        <v>music</v>
      </c>
      <c r="R850" t="str">
        <f t="shared" si="83"/>
        <v>metal</v>
      </c>
      <c r="S850" s="4">
        <f t="shared" si="80"/>
        <v>42078.792048611111</v>
      </c>
      <c r="T850" s="4">
        <f t="shared" si="81"/>
        <v>42108.792048611111</v>
      </c>
      <c r="U850" s="5">
        <f>VLOOKUP(currency,Tables!$A$1:$C$14,3,FALSE)*pledged</f>
        <v>300</v>
      </c>
    </row>
    <row r="851" spans="1:21" ht="57.6" x14ac:dyDescent="0.55000000000000004">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16">
        <f t="shared" si="79"/>
        <v>41.704347826086959</v>
      </c>
      <c r="Q851" t="str">
        <f t="shared" si="82"/>
        <v>music</v>
      </c>
      <c r="R851" t="str">
        <f t="shared" si="83"/>
        <v>metal</v>
      </c>
      <c r="S851" s="4">
        <f t="shared" si="80"/>
        <v>42051.148888888885</v>
      </c>
      <c r="T851" s="4">
        <f t="shared" si="81"/>
        <v>42079.107222222221</v>
      </c>
      <c r="U851" s="5">
        <f>VLOOKUP(currency,Tables!$A$1:$C$14,3,FALSE)*pledged</f>
        <v>4796</v>
      </c>
    </row>
    <row r="852" spans="1:21" ht="43.2" x14ac:dyDescent="0.55000000000000004">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78"/>
        <v>1.55175</v>
      </c>
      <c r="P852" s="16">
        <f t="shared" si="79"/>
        <v>46.669172932330824</v>
      </c>
      <c r="Q852" t="str">
        <f t="shared" si="82"/>
        <v>music</v>
      </c>
      <c r="R852" t="str">
        <f t="shared" si="83"/>
        <v>metal</v>
      </c>
      <c r="S852" s="4">
        <f t="shared" si="80"/>
        <v>42452.827743055561</v>
      </c>
      <c r="T852" s="4">
        <f t="shared" si="81"/>
        <v>42485.207638888889</v>
      </c>
      <c r="U852" s="5">
        <f>VLOOKUP(currency,Tables!$A$1:$C$14,3,FALSE)*pledged</f>
        <v>6207</v>
      </c>
    </row>
    <row r="853" spans="1:21" ht="43.2" x14ac:dyDescent="0.55000000000000004">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78"/>
        <v>1.3045</v>
      </c>
      <c r="P853" s="16">
        <f t="shared" si="79"/>
        <v>37.271428571428572</v>
      </c>
      <c r="Q853" t="str">
        <f t="shared" si="82"/>
        <v>music</v>
      </c>
      <c r="R853" t="str">
        <f t="shared" si="83"/>
        <v>metal</v>
      </c>
      <c r="S853" s="4">
        <f t="shared" si="80"/>
        <v>42522.880243055552</v>
      </c>
      <c r="T853" s="4">
        <f t="shared" si="81"/>
        <v>42582.822916666672</v>
      </c>
      <c r="U853" s="5">
        <f>VLOOKUP(currency,Tables!$A$1:$C$14,3,FALSE)*pledged</f>
        <v>3078.62</v>
      </c>
    </row>
    <row r="854" spans="1:21" ht="28.8" x14ac:dyDescent="0.55000000000000004">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78"/>
        <v>1.0497142857142858</v>
      </c>
      <c r="P854" s="16">
        <f t="shared" si="79"/>
        <v>59.258064516129032</v>
      </c>
      <c r="Q854" t="str">
        <f t="shared" si="82"/>
        <v>music</v>
      </c>
      <c r="R854" t="str">
        <f t="shared" si="83"/>
        <v>metal</v>
      </c>
      <c r="S854" s="4">
        <f t="shared" si="80"/>
        <v>42656.805497685185</v>
      </c>
      <c r="T854" s="4">
        <f t="shared" si="81"/>
        <v>42667.875</v>
      </c>
      <c r="U854" s="5">
        <f>VLOOKUP(currency,Tables!$A$1:$C$14,3,FALSE)*pledged</f>
        <v>3674</v>
      </c>
    </row>
    <row r="855" spans="1:21" ht="43.2" x14ac:dyDescent="0.55000000000000004">
      <c r="A855">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78"/>
        <v>1</v>
      </c>
      <c r="P855" s="16">
        <f t="shared" si="79"/>
        <v>30</v>
      </c>
      <c r="Q855" t="str">
        <f t="shared" si="82"/>
        <v>music</v>
      </c>
      <c r="R855" t="str">
        <f t="shared" si="83"/>
        <v>metal</v>
      </c>
      <c r="S855" s="4">
        <f t="shared" si="80"/>
        <v>42021.832280092596</v>
      </c>
      <c r="T855" s="4">
        <f t="shared" si="81"/>
        <v>42051.832280092596</v>
      </c>
      <c r="U855" s="5">
        <f>VLOOKUP(currency,Tables!$A$1:$C$14,3,FALSE)*pledged</f>
        <v>300</v>
      </c>
    </row>
    <row r="856" spans="1:21" ht="43.2" x14ac:dyDescent="0.55000000000000004">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16">
        <f t="shared" si="79"/>
        <v>65.8623246492986</v>
      </c>
      <c r="Q856" t="str">
        <f t="shared" si="82"/>
        <v>music</v>
      </c>
      <c r="R856" t="str">
        <f t="shared" si="83"/>
        <v>metal</v>
      </c>
      <c r="S856" s="4">
        <f t="shared" si="80"/>
        <v>42702.212337962963</v>
      </c>
      <c r="T856" s="4">
        <f t="shared" si="81"/>
        <v>42732.212337962963</v>
      </c>
      <c r="U856" s="5">
        <f>VLOOKUP(currency,Tables!$A$1:$C$14,3,FALSE)*pledged</f>
        <v>32865.300000000003</v>
      </c>
    </row>
    <row r="857" spans="1:21" ht="28.8" x14ac:dyDescent="0.55000000000000004">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78"/>
        <v>1.0344827586206897</v>
      </c>
      <c r="P857" s="16">
        <f t="shared" si="79"/>
        <v>31.914893617021278</v>
      </c>
      <c r="Q857" t="str">
        <f t="shared" si="82"/>
        <v>music</v>
      </c>
      <c r="R857" t="str">
        <f t="shared" si="83"/>
        <v>metal</v>
      </c>
      <c r="S857" s="4">
        <f t="shared" si="80"/>
        <v>42545.125196759262</v>
      </c>
      <c r="T857" s="4">
        <f t="shared" si="81"/>
        <v>42575.125196759262</v>
      </c>
      <c r="U857" s="5">
        <f>VLOOKUP(currency,Tables!$A$1:$C$14,3,FALSE)*pledged</f>
        <v>1500</v>
      </c>
    </row>
    <row r="858" spans="1:21" ht="43.2" x14ac:dyDescent="0.55000000000000004">
      <c r="A858">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78"/>
        <v>2.1800000000000002</v>
      </c>
      <c r="P858" s="16">
        <f t="shared" si="79"/>
        <v>19.464285714285715</v>
      </c>
      <c r="Q858" t="str">
        <f t="shared" si="82"/>
        <v>music</v>
      </c>
      <c r="R858" t="str">
        <f t="shared" si="83"/>
        <v>metal</v>
      </c>
      <c r="S858" s="4">
        <f t="shared" si="80"/>
        <v>42609.311990740738</v>
      </c>
      <c r="T858" s="4">
        <f t="shared" si="81"/>
        <v>42668.791666666672</v>
      </c>
      <c r="U858" s="5">
        <f>VLOOKUP(currency,Tables!$A$1:$C$14,3,FALSE)*pledged</f>
        <v>643.1</v>
      </c>
    </row>
    <row r="859" spans="1:21" ht="28.8" x14ac:dyDescent="0.55000000000000004">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78"/>
        <v>1</v>
      </c>
      <c r="P859" s="16">
        <f t="shared" si="79"/>
        <v>50</v>
      </c>
      <c r="Q859" t="str">
        <f t="shared" si="82"/>
        <v>music</v>
      </c>
      <c r="R859" t="str">
        <f t="shared" si="83"/>
        <v>metal</v>
      </c>
      <c r="S859" s="4">
        <f t="shared" si="80"/>
        <v>42291.581377314811</v>
      </c>
      <c r="T859" s="4">
        <f t="shared" si="81"/>
        <v>42333.623043981483</v>
      </c>
      <c r="U859" s="5">
        <f>VLOOKUP(currency,Tables!$A$1:$C$14,3,FALSE)*pledged</f>
        <v>1416</v>
      </c>
    </row>
    <row r="860" spans="1:21" ht="43.2" x14ac:dyDescent="0.55000000000000004">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16">
        <f t="shared" si="79"/>
        <v>22.737763157894737</v>
      </c>
      <c r="Q860" t="str">
        <f t="shared" si="82"/>
        <v>music</v>
      </c>
      <c r="R860" t="str">
        <f t="shared" si="83"/>
        <v>metal</v>
      </c>
      <c r="S860" s="4">
        <f t="shared" si="80"/>
        <v>42079.745578703703</v>
      </c>
      <c r="T860" s="4">
        <f t="shared" si="81"/>
        <v>42109.957638888889</v>
      </c>
      <c r="U860" s="5">
        <f>VLOOKUP(currency,Tables!$A$1:$C$14,3,FALSE)*pledged</f>
        <v>2281.0524</v>
      </c>
    </row>
    <row r="861" spans="1:21" ht="43.2" x14ac:dyDescent="0.55000000000000004">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78"/>
        <v>1.0467500000000001</v>
      </c>
      <c r="P861" s="16">
        <f t="shared" si="79"/>
        <v>42.724489795918366</v>
      </c>
      <c r="Q861" t="str">
        <f t="shared" si="82"/>
        <v>music</v>
      </c>
      <c r="R861" t="str">
        <f t="shared" si="83"/>
        <v>metal</v>
      </c>
      <c r="S861" s="4">
        <f t="shared" si="80"/>
        <v>42128.820231481484</v>
      </c>
      <c r="T861" s="4">
        <f t="shared" si="81"/>
        <v>42159</v>
      </c>
      <c r="U861" s="5">
        <f>VLOOKUP(currency,Tables!$A$1:$C$14,3,FALSE)*pledged</f>
        <v>4187</v>
      </c>
    </row>
    <row r="862" spans="1:21" ht="43.2" x14ac:dyDescent="0.55000000000000004">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16">
        <f t="shared" si="79"/>
        <v>52.916666666666664</v>
      </c>
      <c r="Q862" t="str">
        <f t="shared" si="82"/>
        <v>music</v>
      </c>
      <c r="R862" t="str">
        <f t="shared" si="83"/>
        <v>jazz</v>
      </c>
      <c r="S862" s="4">
        <f t="shared" si="80"/>
        <v>41570.482789351852</v>
      </c>
      <c r="T862" s="4">
        <f t="shared" si="81"/>
        <v>41600.524456018517</v>
      </c>
      <c r="U862" s="5">
        <f>VLOOKUP(currency,Tables!$A$1:$C$14,3,FALSE)*pledged</f>
        <v>2540</v>
      </c>
    </row>
    <row r="863" spans="1:21" ht="43.2" x14ac:dyDescent="0.55000000000000004">
      <c r="A86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78"/>
        <v>2.2444444444444444E-2</v>
      </c>
      <c r="P863" s="16">
        <f t="shared" si="79"/>
        <v>50.5</v>
      </c>
      <c r="Q863" t="str">
        <f t="shared" si="82"/>
        <v>music</v>
      </c>
      <c r="R863" t="str">
        <f t="shared" si="83"/>
        <v>jazz</v>
      </c>
      <c r="S863" s="4">
        <f t="shared" si="80"/>
        <v>42599.965324074074</v>
      </c>
      <c r="T863" s="4">
        <f t="shared" si="81"/>
        <v>42629.965324074074</v>
      </c>
      <c r="U863" s="5">
        <f>VLOOKUP(currency,Tables!$A$1:$C$14,3,FALSE)*pledged</f>
        <v>101</v>
      </c>
    </row>
    <row r="864" spans="1:21" ht="43.2" x14ac:dyDescent="0.55000000000000004">
      <c r="A864">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16">
        <f t="shared" si="79"/>
        <v>42.5</v>
      </c>
      <c r="Q864" t="str">
        <f t="shared" si="82"/>
        <v>music</v>
      </c>
      <c r="R864" t="str">
        <f t="shared" si="83"/>
        <v>jazz</v>
      </c>
      <c r="S864" s="4">
        <f t="shared" si="80"/>
        <v>41559.5549537037</v>
      </c>
      <c r="T864" s="4">
        <f t="shared" si="81"/>
        <v>41589.596620370372</v>
      </c>
      <c r="U864" s="5">
        <f>VLOOKUP(currency,Tables!$A$1:$C$14,3,FALSE)*pledged</f>
        <v>224.4</v>
      </c>
    </row>
    <row r="865" spans="1:21" ht="43.2" x14ac:dyDescent="0.55000000000000004">
      <c r="A865">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78"/>
        <v>4.4999999999999998E-2</v>
      </c>
      <c r="P865" s="16">
        <f t="shared" si="79"/>
        <v>18</v>
      </c>
      <c r="Q865" t="str">
        <f t="shared" si="82"/>
        <v>music</v>
      </c>
      <c r="R865" t="str">
        <f t="shared" si="83"/>
        <v>jazz</v>
      </c>
      <c r="S865" s="4">
        <f t="shared" si="80"/>
        <v>40921.117662037039</v>
      </c>
      <c r="T865" s="4">
        <f t="shared" si="81"/>
        <v>40951.117662037039</v>
      </c>
      <c r="U865" s="5">
        <f>VLOOKUP(currency,Tables!$A$1:$C$14,3,FALSE)*pledged</f>
        <v>90</v>
      </c>
    </row>
    <row r="866" spans="1:21" ht="43.2" x14ac:dyDescent="0.55000000000000004">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16">
        <f t="shared" si="79"/>
        <v>34.177215189873415</v>
      </c>
      <c r="Q866" t="str">
        <f t="shared" si="82"/>
        <v>music</v>
      </c>
      <c r="R866" t="str">
        <f t="shared" si="83"/>
        <v>jazz</v>
      </c>
      <c r="S866" s="4">
        <f t="shared" si="80"/>
        <v>41541.106921296298</v>
      </c>
      <c r="T866" s="4">
        <f t="shared" si="81"/>
        <v>41563.415972222225</v>
      </c>
      <c r="U866" s="5">
        <f>VLOOKUP(currency,Tables!$A$1:$C$14,3,FALSE)*pledged</f>
        <v>2700</v>
      </c>
    </row>
    <row r="867" spans="1:21" ht="43.2" x14ac:dyDescent="0.55000000000000004">
      <c r="A867">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78"/>
        <v>2.0454545454545454E-2</v>
      </c>
      <c r="P867" s="16">
        <f t="shared" si="79"/>
        <v>22.5</v>
      </c>
      <c r="Q867" t="str">
        <f t="shared" si="82"/>
        <v>music</v>
      </c>
      <c r="R867" t="str">
        <f t="shared" si="83"/>
        <v>jazz</v>
      </c>
      <c r="S867" s="4">
        <f t="shared" si="80"/>
        <v>41230.77311342593</v>
      </c>
      <c r="T867" s="4">
        <f t="shared" si="81"/>
        <v>41290.77311342593</v>
      </c>
      <c r="U867" s="5">
        <f>VLOOKUP(currency,Tables!$A$1:$C$14,3,FALSE)*pledged</f>
        <v>45</v>
      </c>
    </row>
    <row r="868" spans="1:21" ht="43.2" x14ac:dyDescent="0.55000000000000004">
      <c r="A868">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78"/>
        <v>0.18285714285714286</v>
      </c>
      <c r="P868" s="16">
        <f t="shared" si="79"/>
        <v>58.18181818181818</v>
      </c>
      <c r="Q868" t="str">
        <f t="shared" si="82"/>
        <v>music</v>
      </c>
      <c r="R868" t="str">
        <f t="shared" si="83"/>
        <v>jazz</v>
      </c>
      <c r="S868" s="4">
        <f t="shared" si="80"/>
        <v>42025.637939814813</v>
      </c>
      <c r="T868" s="4">
        <f t="shared" si="81"/>
        <v>42063.631944444445</v>
      </c>
      <c r="U868" s="5">
        <f>VLOOKUP(currency,Tables!$A$1:$C$14,3,FALSE)*pledged</f>
        <v>640</v>
      </c>
    </row>
    <row r="869" spans="1:21" ht="43.2" x14ac:dyDescent="0.55000000000000004">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78"/>
        <v>0.2402</v>
      </c>
      <c r="P869" s="16">
        <f t="shared" si="79"/>
        <v>109.18181818181819</v>
      </c>
      <c r="Q869" t="str">
        <f t="shared" si="82"/>
        <v>music</v>
      </c>
      <c r="R869" t="str">
        <f t="shared" si="83"/>
        <v>jazz</v>
      </c>
      <c r="S869" s="4">
        <f t="shared" si="80"/>
        <v>40088.105393518519</v>
      </c>
      <c r="T869" s="4">
        <f t="shared" si="81"/>
        <v>40148.207638888889</v>
      </c>
      <c r="U869" s="5">
        <f>VLOOKUP(currency,Tables!$A$1:$C$14,3,FALSE)*pledged</f>
        <v>1201</v>
      </c>
    </row>
    <row r="870" spans="1:21" ht="57.6" x14ac:dyDescent="0.55000000000000004">
      <c r="A870">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78"/>
        <v>1.1111111111111111E-3</v>
      </c>
      <c r="P870" s="16">
        <f t="shared" si="79"/>
        <v>50</v>
      </c>
      <c r="Q870" t="str">
        <f t="shared" si="82"/>
        <v>music</v>
      </c>
      <c r="R870" t="str">
        <f t="shared" si="83"/>
        <v>jazz</v>
      </c>
      <c r="S870" s="4">
        <f t="shared" si="80"/>
        <v>41616.027754629627</v>
      </c>
      <c r="T870" s="4">
        <f t="shared" si="81"/>
        <v>41646.027754629627</v>
      </c>
      <c r="U870" s="5">
        <f>VLOOKUP(currency,Tables!$A$1:$C$14,3,FALSE)*pledged</f>
        <v>50</v>
      </c>
    </row>
    <row r="871" spans="1:21" ht="57.6" x14ac:dyDescent="0.55000000000000004">
      <c r="A871">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78"/>
        <v>0.11818181818181818</v>
      </c>
      <c r="P871" s="16">
        <f t="shared" si="79"/>
        <v>346.66666666666669</v>
      </c>
      <c r="Q871" t="str">
        <f t="shared" si="82"/>
        <v>music</v>
      </c>
      <c r="R871" t="str">
        <f t="shared" si="83"/>
        <v>jazz</v>
      </c>
      <c r="S871" s="4">
        <f t="shared" si="80"/>
        <v>41342.845567129632</v>
      </c>
      <c r="T871" s="4">
        <f t="shared" si="81"/>
        <v>41372.803900462961</v>
      </c>
      <c r="U871" s="5">
        <f>VLOOKUP(currency,Tables!$A$1:$C$14,3,FALSE)*pledged</f>
        <v>1040</v>
      </c>
    </row>
    <row r="872" spans="1:21" ht="43.2" x14ac:dyDescent="0.55000000000000004">
      <c r="A872">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78"/>
        <v>3.0999999999999999E-3</v>
      </c>
      <c r="P872" s="16">
        <f t="shared" si="79"/>
        <v>12.4</v>
      </c>
      <c r="Q872" t="str">
        <f t="shared" si="82"/>
        <v>music</v>
      </c>
      <c r="R872" t="str">
        <f t="shared" si="83"/>
        <v>jazz</v>
      </c>
      <c r="S872" s="4">
        <f t="shared" si="80"/>
        <v>41488.022256944445</v>
      </c>
      <c r="T872" s="4">
        <f t="shared" si="81"/>
        <v>41518.022256944445</v>
      </c>
      <c r="U872" s="5">
        <f>VLOOKUP(currency,Tables!$A$1:$C$14,3,FALSE)*pledged</f>
        <v>81.84</v>
      </c>
    </row>
    <row r="873" spans="1:21" ht="43.2" x14ac:dyDescent="0.55000000000000004">
      <c r="A87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16">
        <f t="shared" si="79"/>
        <v>27.083333333333332</v>
      </c>
      <c r="Q873" t="str">
        <f t="shared" si="82"/>
        <v>music</v>
      </c>
      <c r="R873" t="str">
        <f t="shared" si="83"/>
        <v>jazz</v>
      </c>
      <c r="S873" s="4">
        <f t="shared" si="80"/>
        <v>41577.561284722222</v>
      </c>
      <c r="T873" s="4">
        <f t="shared" si="81"/>
        <v>41607.602951388886</v>
      </c>
      <c r="U873" s="5">
        <f>VLOOKUP(currency,Tables!$A$1:$C$14,3,FALSE)*pledged</f>
        <v>325</v>
      </c>
    </row>
    <row r="874" spans="1:21" ht="43.2" x14ac:dyDescent="0.55000000000000004">
      <c r="A874">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78"/>
        <v>8.1250000000000003E-3</v>
      </c>
      <c r="P874" s="16">
        <f t="shared" si="79"/>
        <v>32.5</v>
      </c>
      <c r="Q874" t="str">
        <f t="shared" si="82"/>
        <v>music</v>
      </c>
      <c r="R874" t="str">
        <f t="shared" si="83"/>
        <v>jazz</v>
      </c>
      <c r="S874" s="4">
        <f t="shared" si="80"/>
        <v>40567.825543981482</v>
      </c>
      <c r="T874" s="4">
        <f t="shared" si="81"/>
        <v>40612.825543981482</v>
      </c>
      <c r="U874" s="5">
        <f>VLOOKUP(currency,Tables!$A$1:$C$14,3,FALSE)*pledged</f>
        <v>65</v>
      </c>
    </row>
    <row r="875" spans="1:21" ht="28.8" x14ac:dyDescent="0.55000000000000004">
      <c r="A875">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78"/>
        <v>1.2857142857142857E-2</v>
      </c>
      <c r="P875" s="16">
        <f t="shared" si="79"/>
        <v>9</v>
      </c>
      <c r="Q875" t="str">
        <f t="shared" si="82"/>
        <v>music</v>
      </c>
      <c r="R875" t="str">
        <f t="shared" si="83"/>
        <v>jazz</v>
      </c>
      <c r="S875" s="4">
        <f t="shared" si="80"/>
        <v>41184.167129629634</v>
      </c>
      <c r="T875" s="4">
        <f t="shared" si="81"/>
        <v>41224.208796296298</v>
      </c>
      <c r="U875" s="5">
        <f>VLOOKUP(currency,Tables!$A$1:$C$14,3,FALSE)*pledged</f>
        <v>45</v>
      </c>
    </row>
    <row r="876" spans="1:21" ht="43.2" x14ac:dyDescent="0.55000000000000004">
      <c r="A876">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78"/>
        <v>0.24333333333333335</v>
      </c>
      <c r="P876" s="16">
        <f t="shared" si="79"/>
        <v>34.761904761904759</v>
      </c>
      <c r="Q876" t="str">
        <f t="shared" si="82"/>
        <v>music</v>
      </c>
      <c r="R876" t="str">
        <f t="shared" si="83"/>
        <v>jazz</v>
      </c>
      <c r="S876" s="4">
        <f t="shared" si="80"/>
        <v>41368.583726851852</v>
      </c>
      <c r="T876" s="4">
        <f t="shared" si="81"/>
        <v>41398.583726851852</v>
      </c>
      <c r="U876" s="5">
        <f>VLOOKUP(currency,Tables!$A$1:$C$14,3,FALSE)*pledged</f>
        <v>730</v>
      </c>
    </row>
    <row r="877" spans="1:21" ht="57.6" x14ac:dyDescent="0.55000000000000004">
      <c r="A877">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78"/>
        <v>0</v>
      </c>
      <c r="P877" s="16">
        <f t="shared" si="79"/>
        <v>0</v>
      </c>
      <c r="Q877" t="str">
        <f t="shared" si="82"/>
        <v>music</v>
      </c>
      <c r="R877" t="str">
        <f t="shared" si="83"/>
        <v>jazz</v>
      </c>
      <c r="S877" s="4">
        <f t="shared" si="80"/>
        <v>42248.723738425921</v>
      </c>
      <c r="T877" s="4">
        <f t="shared" si="81"/>
        <v>42268.723738425921</v>
      </c>
      <c r="U877" s="5">
        <f>VLOOKUP(currency,Tables!$A$1:$C$14,3,FALSE)*pledged</f>
        <v>0</v>
      </c>
    </row>
    <row r="878" spans="1:21" ht="28.8" x14ac:dyDescent="0.55000000000000004">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16">
        <f t="shared" si="79"/>
        <v>28.577777777777779</v>
      </c>
      <c r="Q878" t="str">
        <f t="shared" si="82"/>
        <v>music</v>
      </c>
      <c r="R878" t="str">
        <f t="shared" si="83"/>
        <v>jazz</v>
      </c>
      <c r="S878" s="4">
        <f t="shared" si="80"/>
        <v>41276.496840277774</v>
      </c>
      <c r="T878" s="4">
        <f t="shared" si="81"/>
        <v>41309.496840277774</v>
      </c>
      <c r="U878" s="5">
        <f>VLOOKUP(currency,Tables!$A$1:$C$14,3,FALSE)*pledged</f>
        <v>1697.52</v>
      </c>
    </row>
    <row r="879" spans="1:21" ht="43.2" x14ac:dyDescent="0.55000000000000004">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16">
        <f t="shared" si="79"/>
        <v>46.586206896551722</v>
      </c>
      <c r="Q879" t="str">
        <f t="shared" si="82"/>
        <v>music</v>
      </c>
      <c r="R879" t="str">
        <f t="shared" si="83"/>
        <v>jazz</v>
      </c>
      <c r="S879" s="4">
        <f t="shared" si="80"/>
        <v>41597.788888888892</v>
      </c>
      <c r="T879" s="4">
        <f t="shared" si="81"/>
        <v>41627.788888888892</v>
      </c>
      <c r="U879" s="5">
        <f>VLOOKUP(currency,Tables!$A$1:$C$14,3,FALSE)*pledged</f>
        <v>1351</v>
      </c>
    </row>
    <row r="880" spans="1:21" ht="43.2" x14ac:dyDescent="0.55000000000000004">
      <c r="A880">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78"/>
        <v>1.2999999999999999E-2</v>
      </c>
      <c r="P880" s="16">
        <f t="shared" si="79"/>
        <v>32.5</v>
      </c>
      <c r="Q880" t="str">
        <f t="shared" si="82"/>
        <v>music</v>
      </c>
      <c r="R880" t="str">
        <f t="shared" si="83"/>
        <v>jazz</v>
      </c>
      <c r="S880" s="4">
        <f t="shared" si="80"/>
        <v>40505.232916666668</v>
      </c>
      <c r="T880" s="4">
        <f t="shared" si="81"/>
        <v>40535.232916666668</v>
      </c>
      <c r="U880" s="5">
        <f>VLOOKUP(currency,Tables!$A$1:$C$14,3,FALSE)*pledged</f>
        <v>65</v>
      </c>
    </row>
    <row r="881" spans="1:21" ht="43.2" x14ac:dyDescent="0.55000000000000004">
      <c r="A881">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78"/>
        <v>0.30666666666666664</v>
      </c>
      <c r="P881" s="16">
        <f t="shared" si="79"/>
        <v>21.466666666666665</v>
      </c>
      <c r="Q881" t="str">
        <f t="shared" si="82"/>
        <v>music</v>
      </c>
      <c r="R881" t="str">
        <f t="shared" si="83"/>
        <v>jazz</v>
      </c>
      <c r="S881" s="4">
        <f t="shared" si="80"/>
        <v>41037.829918981479</v>
      </c>
      <c r="T881" s="4">
        <f t="shared" si="81"/>
        <v>41058.829918981479</v>
      </c>
      <c r="U881" s="5">
        <f>VLOOKUP(currency,Tables!$A$1:$C$14,3,FALSE)*pledged</f>
        <v>644</v>
      </c>
    </row>
    <row r="882" spans="1:21" ht="43.2" x14ac:dyDescent="0.55000000000000004">
      <c r="A882">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78"/>
        <v>2.9894179894179893E-2</v>
      </c>
      <c r="P882" s="16">
        <f t="shared" si="79"/>
        <v>14.125</v>
      </c>
      <c r="Q882" t="str">
        <f t="shared" si="82"/>
        <v>music</v>
      </c>
      <c r="R882" t="str">
        <f t="shared" si="83"/>
        <v>indie rock</v>
      </c>
      <c r="S882" s="4">
        <f t="shared" si="80"/>
        <v>41179.32104166667</v>
      </c>
      <c r="T882" s="4">
        <f t="shared" si="81"/>
        <v>41212.32104166667</v>
      </c>
      <c r="U882" s="5">
        <f>VLOOKUP(currency,Tables!$A$1:$C$14,3,FALSE)*pledged</f>
        <v>113</v>
      </c>
    </row>
    <row r="883" spans="1:21" ht="43.2" x14ac:dyDescent="0.55000000000000004">
      <c r="A88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78"/>
        <v>8.0000000000000002E-3</v>
      </c>
      <c r="P883" s="16">
        <f t="shared" si="79"/>
        <v>30</v>
      </c>
      <c r="Q883" t="str">
        <f t="shared" si="82"/>
        <v>music</v>
      </c>
      <c r="R883" t="str">
        <f t="shared" si="83"/>
        <v>indie rock</v>
      </c>
      <c r="S883" s="4">
        <f t="shared" si="80"/>
        <v>40877.25099537037</v>
      </c>
      <c r="T883" s="4">
        <f t="shared" si="81"/>
        <v>40922.25099537037</v>
      </c>
      <c r="U883" s="5">
        <f>VLOOKUP(currency,Tables!$A$1:$C$14,3,FALSE)*pledged</f>
        <v>30</v>
      </c>
    </row>
    <row r="884" spans="1:21" ht="43.2" x14ac:dyDescent="0.55000000000000004">
      <c r="A884">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78"/>
        <v>0.20133333333333334</v>
      </c>
      <c r="P884" s="16">
        <f t="shared" si="79"/>
        <v>21.571428571428573</v>
      </c>
      <c r="Q884" t="str">
        <f t="shared" si="82"/>
        <v>music</v>
      </c>
      <c r="R884" t="str">
        <f t="shared" si="83"/>
        <v>indie rock</v>
      </c>
      <c r="S884" s="4">
        <f t="shared" si="80"/>
        <v>40759.860532407409</v>
      </c>
      <c r="T884" s="4">
        <f t="shared" si="81"/>
        <v>40792.860532407409</v>
      </c>
      <c r="U884" s="5">
        <f>VLOOKUP(currency,Tables!$A$1:$C$14,3,FALSE)*pledged</f>
        <v>302</v>
      </c>
    </row>
    <row r="885" spans="1:21" ht="43.2" x14ac:dyDescent="0.55000000000000004">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78"/>
        <v>0.4002</v>
      </c>
      <c r="P885" s="16">
        <f t="shared" si="79"/>
        <v>83.375</v>
      </c>
      <c r="Q885" t="str">
        <f t="shared" si="82"/>
        <v>music</v>
      </c>
      <c r="R885" t="str">
        <f t="shared" si="83"/>
        <v>indie rock</v>
      </c>
      <c r="S885" s="4">
        <f t="shared" si="80"/>
        <v>42371.935590277775</v>
      </c>
      <c r="T885" s="4">
        <f t="shared" si="81"/>
        <v>42431.935590277775</v>
      </c>
      <c r="U885" s="5">
        <f>VLOOKUP(currency,Tables!$A$1:$C$14,3,FALSE)*pledged</f>
        <v>2001</v>
      </c>
    </row>
    <row r="886" spans="1:21" ht="43.2" x14ac:dyDescent="0.55000000000000004">
      <c r="A886">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78"/>
        <v>0.01</v>
      </c>
      <c r="P886" s="16">
        <f t="shared" si="79"/>
        <v>10</v>
      </c>
      <c r="Q886" t="str">
        <f t="shared" si="82"/>
        <v>music</v>
      </c>
      <c r="R886" t="str">
        <f t="shared" si="83"/>
        <v>indie rock</v>
      </c>
      <c r="S886" s="4">
        <f t="shared" si="80"/>
        <v>40981.802615740737</v>
      </c>
      <c r="T886" s="4">
        <f t="shared" si="81"/>
        <v>41041.104861111111</v>
      </c>
      <c r="U886" s="5">
        <f>VLOOKUP(currency,Tables!$A$1:$C$14,3,FALSE)*pledged</f>
        <v>20</v>
      </c>
    </row>
    <row r="887" spans="1:21" ht="43.2" x14ac:dyDescent="0.55000000000000004">
      <c r="A887">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78"/>
        <v>0.75</v>
      </c>
      <c r="P887" s="16">
        <f t="shared" si="79"/>
        <v>35.714285714285715</v>
      </c>
      <c r="Q887" t="str">
        <f t="shared" si="82"/>
        <v>music</v>
      </c>
      <c r="R887" t="str">
        <f t="shared" si="83"/>
        <v>indie rock</v>
      </c>
      <c r="S887" s="4">
        <f t="shared" si="80"/>
        <v>42713.941099537042</v>
      </c>
      <c r="T887" s="4">
        <f t="shared" si="81"/>
        <v>42734.941099537042</v>
      </c>
      <c r="U887" s="5">
        <f>VLOOKUP(currency,Tables!$A$1:$C$14,3,FALSE)*pledged</f>
        <v>750</v>
      </c>
    </row>
    <row r="888" spans="1:21" ht="43.2" x14ac:dyDescent="0.55000000000000004">
      <c r="A888">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78"/>
        <v>0.41</v>
      </c>
      <c r="P888" s="16">
        <f t="shared" si="79"/>
        <v>29.285714285714285</v>
      </c>
      <c r="Q888" t="str">
        <f t="shared" si="82"/>
        <v>music</v>
      </c>
      <c r="R888" t="str">
        <f t="shared" si="83"/>
        <v>indie rock</v>
      </c>
      <c r="S888" s="4">
        <f t="shared" si="80"/>
        <v>42603.870520833334</v>
      </c>
      <c r="T888" s="4">
        <f t="shared" si="81"/>
        <v>42628.870520833334</v>
      </c>
      <c r="U888" s="5">
        <f>VLOOKUP(currency,Tables!$A$1:$C$14,3,FALSE)*pledged</f>
        <v>205</v>
      </c>
    </row>
    <row r="889" spans="1:21" ht="43.2" x14ac:dyDescent="0.55000000000000004">
      <c r="A889">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78"/>
        <v>0</v>
      </c>
      <c r="P889" s="16">
        <f t="shared" si="79"/>
        <v>0</v>
      </c>
      <c r="Q889" t="str">
        <f t="shared" si="82"/>
        <v>music</v>
      </c>
      <c r="R889" t="str">
        <f t="shared" si="83"/>
        <v>indie rock</v>
      </c>
      <c r="S889" s="4">
        <f t="shared" si="80"/>
        <v>41026.958969907406</v>
      </c>
      <c r="T889" s="4">
        <f t="shared" si="81"/>
        <v>41056.958969907406</v>
      </c>
      <c r="U889" s="5">
        <f>VLOOKUP(currency,Tables!$A$1:$C$14,3,FALSE)*pledged</f>
        <v>0</v>
      </c>
    </row>
    <row r="890" spans="1:21" ht="57.6" x14ac:dyDescent="0.55000000000000004">
      <c r="A890">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78"/>
        <v>7.1999999999999995E-2</v>
      </c>
      <c r="P890" s="16">
        <f t="shared" si="79"/>
        <v>18</v>
      </c>
      <c r="Q890" t="str">
        <f t="shared" si="82"/>
        <v>music</v>
      </c>
      <c r="R890" t="str">
        <f t="shared" si="83"/>
        <v>indie rock</v>
      </c>
      <c r="S890" s="4">
        <f t="shared" si="80"/>
        <v>40751.753298611111</v>
      </c>
      <c r="T890" s="4">
        <f t="shared" si="81"/>
        <v>40787.25</v>
      </c>
      <c r="U890" s="5">
        <f>VLOOKUP(currency,Tables!$A$1:$C$14,3,FALSE)*pledged</f>
        <v>72</v>
      </c>
    </row>
    <row r="891" spans="1:21" ht="43.2" x14ac:dyDescent="0.55000000000000004">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16">
        <f t="shared" si="79"/>
        <v>73.760000000000005</v>
      </c>
      <c r="Q891" t="str">
        <f t="shared" si="82"/>
        <v>music</v>
      </c>
      <c r="R891" t="str">
        <f t="shared" si="83"/>
        <v>indie rock</v>
      </c>
      <c r="S891" s="4">
        <f t="shared" si="80"/>
        <v>41887.784062500003</v>
      </c>
      <c r="T891" s="4">
        <f t="shared" si="81"/>
        <v>41917.784062500003</v>
      </c>
      <c r="U891" s="5">
        <f>VLOOKUP(currency,Tables!$A$1:$C$14,3,FALSE)*pledged</f>
        <v>2360.3200000000002</v>
      </c>
    </row>
    <row r="892" spans="1:21" ht="43.2" x14ac:dyDescent="0.55000000000000004">
      <c r="A892">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78"/>
        <v>4.1666666666666664E-2</v>
      </c>
      <c r="P892" s="16">
        <f t="shared" si="79"/>
        <v>31.25</v>
      </c>
      <c r="Q892" t="str">
        <f t="shared" si="82"/>
        <v>music</v>
      </c>
      <c r="R892" t="str">
        <f t="shared" si="83"/>
        <v>indie rock</v>
      </c>
      <c r="S892" s="4">
        <f t="shared" si="80"/>
        <v>41569.698831018519</v>
      </c>
      <c r="T892" s="4">
        <f t="shared" si="81"/>
        <v>41599.740497685183</v>
      </c>
      <c r="U892" s="5">
        <f>VLOOKUP(currency,Tables!$A$1:$C$14,3,FALSE)*pledged</f>
        <v>125</v>
      </c>
    </row>
    <row r="893" spans="1:21" ht="43.2" x14ac:dyDescent="0.55000000000000004">
      <c r="A89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78"/>
        <v>3.2500000000000001E-2</v>
      </c>
      <c r="P893" s="16">
        <f t="shared" si="79"/>
        <v>28.888888888888889</v>
      </c>
      <c r="Q893" t="str">
        <f t="shared" si="82"/>
        <v>music</v>
      </c>
      <c r="R893" t="str">
        <f t="shared" si="83"/>
        <v>indie rock</v>
      </c>
      <c r="S893" s="4">
        <f t="shared" si="80"/>
        <v>41842.031597222223</v>
      </c>
      <c r="T893" s="4">
        <f t="shared" si="81"/>
        <v>41872.031597222223</v>
      </c>
      <c r="U893" s="5">
        <f>VLOOKUP(currency,Tables!$A$1:$C$14,3,FALSE)*pledged</f>
        <v>260</v>
      </c>
    </row>
    <row r="894" spans="1:21" ht="43.2" x14ac:dyDescent="0.55000000000000004">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16">
        <f t="shared" si="79"/>
        <v>143.8235294117647</v>
      </c>
      <c r="Q894" t="str">
        <f t="shared" si="82"/>
        <v>music</v>
      </c>
      <c r="R894" t="str">
        <f t="shared" si="83"/>
        <v>indie rock</v>
      </c>
      <c r="S894" s="4">
        <f t="shared" si="80"/>
        <v>40304.20003472222</v>
      </c>
      <c r="T894" s="4">
        <f t="shared" si="81"/>
        <v>40391.166666666664</v>
      </c>
      <c r="U894" s="5">
        <f>VLOOKUP(currency,Tables!$A$1:$C$14,3,FALSE)*pledged</f>
        <v>2445</v>
      </c>
    </row>
    <row r="895" spans="1:21" ht="43.2" x14ac:dyDescent="0.55000000000000004">
      <c r="A895">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78"/>
        <v>0.1</v>
      </c>
      <c r="P895" s="16">
        <f t="shared" si="79"/>
        <v>40</v>
      </c>
      <c r="Q895" t="str">
        <f t="shared" si="82"/>
        <v>music</v>
      </c>
      <c r="R895" t="str">
        <f t="shared" si="83"/>
        <v>indie rock</v>
      </c>
      <c r="S895" s="4">
        <f t="shared" si="80"/>
        <v>42065.897719907407</v>
      </c>
      <c r="T895" s="4">
        <f t="shared" si="81"/>
        <v>42095.856053240743</v>
      </c>
      <c r="U895" s="5">
        <f>VLOOKUP(currency,Tables!$A$1:$C$14,3,FALSE)*pledged</f>
        <v>200</v>
      </c>
    </row>
    <row r="896" spans="1:21" ht="43.2" x14ac:dyDescent="0.55000000000000004">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16">
        <f t="shared" si="79"/>
        <v>147.81132075471697</v>
      </c>
      <c r="Q896" t="str">
        <f t="shared" si="82"/>
        <v>music</v>
      </c>
      <c r="R896" t="str">
        <f t="shared" si="83"/>
        <v>indie rock</v>
      </c>
      <c r="S896" s="4">
        <f t="shared" si="80"/>
        <v>42496.981597222228</v>
      </c>
      <c r="T896" s="4">
        <f t="shared" si="81"/>
        <v>42526.981597222228</v>
      </c>
      <c r="U896" s="5">
        <f>VLOOKUP(currency,Tables!$A$1:$C$14,3,FALSE)*pledged</f>
        <v>7834</v>
      </c>
    </row>
    <row r="897" spans="1:21" ht="43.2" x14ac:dyDescent="0.55000000000000004">
      <c r="A897">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78"/>
        <v>2.4375000000000001E-2</v>
      </c>
      <c r="P897" s="16">
        <f t="shared" si="79"/>
        <v>27.857142857142858</v>
      </c>
      <c r="Q897" t="str">
        <f t="shared" si="82"/>
        <v>music</v>
      </c>
      <c r="R897" t="str">
        <f t="shared" si="83"/>
        <v>indie rock</v>
      </c>
      <c r="S897" s="4">
        <f t="shared" si="80"/>
        <v>40431.127650462964</v>
      </c>
      <c r="T897" s="4">
        <f t="shared" si="81"/>
        <v>40476.127650462964</v>
      </c>
      <c r="U897" s="5">
        <f>VLOOKUP(currency,Tables!$A$1:$C$14,3,FALSE)*pledged</f>
        <v>195</v>
      </c>
    </row>
    <row r="898" spans="1:21" ht="43.2" x14ac:dyDescent="0.55000000000000004">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ref="O898:O961" si="84">pledged/goal</f>
        <v>0.4</v>
      </c>
      <c r="P898" s="16">
        <f t="shared" ref="P898:P961" si="85">IF(pledged=0,0,pledged/backers_count)</f>
        <v>44.444444444444443</v>
      </c>
      <c r="Q898" t="str">
        <f t="shared" si="82"/>
        <v>music</v>
      </c>
      <c r="R898" t="str">
        <f t="shared" si="83"/>
        <v>indie rock</v>
      </c>
      <c r="S898" s="4">
        <f t="shared" ref="S898:S961" si="86">(((Unix_launched_date/60)/60)/24)+DATE(1970,1,1)</f>
        <v>42218.872986111113</v>
      </c>
      <c r="T898" s="4">
        <f t="shared" ref="T898:T961" si="87">(((Unix_deadline/60)/60)/24)+DATE(1970,1,1)</f>
        <v>42244.166666666672</v>
      </c>
      <c r="U898" s="5">
        <f>VLOOKUP(currency,Tables!$A$1:$C$14,3,FALSE)*pledged</f>
        <v>3200</v>
      </c>
    </row>
    <row r="899" spans="1:21" ht="43.2" x14ac:dyDescent="0.55000000000000004">
      <c r="A899">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si="84"/>
        <v>0</v>
      </c>
      <c r="P899" s="16">
        <f t="shared" si="85"/>
        <v>0</v>
      </c>
      <c r="Q899" t="str">
        <f t="shared" ref="Q899:Q962" si="88">LEFT(N899,FIND("/",N899,1)-1)</f>
        <v>music</v>
      </c>
      <c r="R899" t="str">
        <f t="shared" ref="R899:R962" si="89">RIGHT(N899,(LEN(N899)-FIND("/",N899,1)))</f>
        <v>indie rock</v>
      </c>
      <c r="S899" s="4">
        <f t="shared" si="86"/>
        <v>41211.688750000001</v>
      </c>
      <c r="T899" s="4">
        <f t="shared" si="87"/>
        <v>41241.730416666665</v>
      </c>
      <c r="U899" s="5">
        <f>VLOOKUP(currency,Tables!$A$1:$C$14,3,FALSE)*pledged</f>
        <v>0</v>
      </c>
    </row>
    <row r="900" spans="1:21" ht="43.2" x14ac:dyDescent="0.55000000000000004">
      <c r="A900">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84"/>
        <v>2.8000000000000001E-2</v>
      </c>
      <c r="P900" s="16">
        <f t="shared" si="85"/>
        <v>35</v>
      </c>
      <c r="Q900" t="str">
        <f t="shared" si="88"/>
        <v>music</v>
      </c>
      <c r="R900" t="str">
        <f t="shared" si="89"/>
        <v>indie rock</v>
      </c>
      <c r="S900" s="4">
        <f t="shared" si="86"/>
        <v>40878.758217592593</v>
      </c>
      <c r="T900" s="4">
        <f t="shared" si="87"/>
        <v>40923.758217592593</v>
      </c>
      <c r="U900" s="5">
        <f>VLOOKUP(currency,Tables!$A$1:$C$14,3,FALSE)*pledged</f>
        <v>70</v>
      </c>
    </row>
    <row r="901" spans="1:21" ht="43.2" x14ac:dyDescent="0.55000000000000004">
      <c r="A901">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84"/>
        <v>0.37333333333333335</v>
      </c>
      <c r="P901" s="16">
        <f t="shared" si="85"/>
        <v>35</v>
      </c>
      <c r="Q901" t="str">
        <f t="shared" si="88"/>
        <v>music</v>
      </c>
      <c r="R901" t="str">
        <f t="shared" si="89"/>
        <v>indie rock</v>
      </c>
      <c r="S901" s="4">
        <f t="shared" si="86"/>
        <v>40646.099097222221</v>
      </c>
      <c r="T901" s="4">
        <f t="shared" si="87"/>
        <v>40691.099097222221</v>
      </c>
      <c r="U901" s="5">
        <f>VLOOKUP(currency,Tables!$A$1:$C$14,3,FALSE)*pledged</f>
        <v>280</v>
      </c>
    </row>
    <row r="902" spans="1:21" ht="28.8" x14ac:dyDescent="0.55000000000000004">
      <c r="A902">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84"/>
        <v>4.1999999999999997E-3</v>
      </c>
      <c r="P902" s="16">
        <f t="shared" si="85"/>
        <v>10.5</v>
      </c>
      <c r="Q902" t="str">
        <f t="shared" si="88"/>
        <v>music</v>
      </c>
      <c r="R902" t="str">
        <f t="shared" si="89"/>
        <v>jazz</v>
      </c>
      <c r="S902" s="4">
        <f t="shared" si="86"/>
        <v>42429.84956018519</v>
      </c>
      <c r="T902" s="4">
        <f t="shared" si="87"/>
        <v>42459.807893518519</v>
      </c>
      <c r="U902" s="5">
        <f>VLOOKUP(currency,Tables!$A$1:$C$14,3,FALSE)*pledged</f>
        <v>21</v>
      </c>
    </row>
    <row r="903" spans="1:21" ht="57.6" x14ac:dyDescent="0.55000000000000004">
      <c r="A90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84"/>
        <v>0</v>
      </c>
      <c r="P903" s="16">
        <f t="shared" si="85"/>
        <v>0</v>
      </c>
      <c r="Q903" t="str">
        <f t="shared" si="88"/>
        <v>music</v>
      </c>
      <c r="R903" t="str">
        <f t="shared" si="89"/>
        <v>jazz</v>
      </c>
      <c r="S903" s="4">
        <f t="shared" si="86"/>
        <v>40291.81150462963</v>
      </c>
      <c r="T903" s="4">
        <f t="shared" si="87"/>
        <v>40337.799305555556</v>
      </c>
      <c r="U903" s="5">
        <f>VLOOKUP(currency,Tables!$A$1:$C$14,3,FALSE)*pledged</f>
        <v>0</v>
      </c>
    </row>
    <row r="904" spans="1:21" ht="57.6" x14ac:dyDescent="0.55000000000000004">
      <c r="A904">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84"/>
        <v>3.0000000000000001E-3</v>
      </c>
      <c r="P904" s="16">
        <f t="shared" si="85"/>
        <v>30</v>
      </c>
      <c r="Q904" t="str">
        <f t="shared" si="88"/>
        <v>music</v>
      </c>
      <c r="R904" t="str">
        <f t="shared" si="89"/>
        <v>jazz</v>
      </c>
      <c r="S904" s="4">
        <f t="shared" si="86"/>
        <v>41829.965532407405</v>
      </c>
      <c r="T904" s="4">
        <f t="shared" si="87"/>
        <v>41881.645833333336</v>
      </c>
      <c r="U904" s="5">
        <f>VLOOKUP(currency,Tables!$A$1:$C$14,3,FALSE)*pledged</f>
        <v>90</v>
      </c>
    </row>
    <row r="905" spans="1:21" ht="43.2" x14ac:dyDescent="0.55000000000000004">
      <c r="A905">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84"/>
        <v>3.2000000000000001E-2</v>
      </c>
      <c r="P905" s="16">
        <f t="shared" si="85"/>
        <v>40</v>
      </c>
      <c r="Q905" t="str">
        <f t="shared" si="88"/>
        <v>music</v>
      </c>
      <c r="R905" t="str">
        <f t="shared" si="89"/>
        <v>jazz</v>
      </c>
      <c r="S905" s="4">
        <f t="shared" si="86"/>
        <v>41149.796064814815</v>
      </c>
      <c r="T905" s="4">
        <f t="shared" si="87"/>
        <v>41175.100694444445</v>
      </c>
      <c r="U905" s="5">
        <f>VLOOKUP(currency,Tables!$A$1:$C$14,3,FALSE)*pledged</f>
        <v>160</v>
      </c>
    </row>
    <row r="906" spans="1:21" ht="43.2" x14ac:dyDescent="0.55000000000000004">
      <c r="A906">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16">
        <f t="shared" si="85"/>
        <v>50.333333333333336</v>
      </c>
      <c r="Q906" t="str">
        <f t="shared" si="88"/>
        <v>music</v>
      </c>
      <c r="R906" t="str">
        <f t="shared" si="89"/>
        <v>jazz</v>
      </c>
      <c r="S906" s="4">
        <f t="shared" si="86"/>
        <v>42342.080289351856</v>
      </c>
      <c r="T906" s="4">
        <f t="shared" si="87"/>
        <v>42372.080289351856</v>
      </c>
      <c r="U906" s="5">
        <f>VLOOKUP(currency,Tables!$A$1:$C$14,3,FALSE)*pledged</f>
        <v>151</v>
      </c>
    </row>
    <row r="907" spans="1:21" ht="43.2" x14ac:dyDescent="0.55000000000000004">
      <c r="A907">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84"/>
        <v>3.0153846153846153E-2</v>
      </c>
      <c r="P907" s="16">
        <f t="shared" si="85"/>
        <v>32.666666666666664</v>
      </c>
      <c r="Q907" t="str">
        <f t="shared" si="88"/>
        <v>music</v>
      </c>
      <c r="R907" t="str">
        <f t="shared" si="89"/>
        <v>jazz</v>
      </c>
      <c r="S907" s="4">
        <f t="shared" si="86"/>
        <v>40507.239884259259</v>
      </c>
      <c r="T907" s="4">
        <f t="shared" si="87"/>
        <v>40567.239884259259</v>
      </c>
      <c r="U907" s="5">
        <f>VLOOKUP(currency,Tables!$A$1:$C$14,3,FALSE)*pledged</f>
        <v>196</v>
      </c>
    </row>
    <row r="908" spans="1:21" ht="28.8" x14ac:dyDescent="0.55000000000000004">
      <c r="A908">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84"/>
        <v>0</v>
      </c>
      <c r="P908" s="16">
        <f t="shared" si="85"/>
        <v>0</v>
      </c>
      <c r="Q908" t="str">
        <f t="shared" si="88"/>
        <v>music</v>
      </c>
      <c r="R908" t="str">
        <f t="shared" si="89"/>
        <v>jazz</v>
      </c>
      <c r="S908" s="4">
        <f t="shared" si="86"/>
        <v>41681.189699074072</v>
      </c>
      <c r="T908" s="4">
        <f t="shared" si="87"/>
        <v>41711.148032407407</v>
      </c>
      <c r="U908" s="5">
        <f>VLOOKUP(currency,Tables!$A$1:$C$14,3,FALSE)*pledged</f>
        <v>0</v>
      </c>
    </row>
    <row r="909" spans="1:21" ht="28.8" x14ac:dyDescent="0.55000000000000004">
      <c r="A909">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84"/>
        <v>0</v>
      </c>
      <c r="P909" s="16">
        <f t="shared" si="85"/>
        <v>0</v>
      </c>
      <c r="Q909" t="str">
        <f t="shared" si="88"/>
        <v>music</v>
      </c>
      <c r="R909" t="str">
        <f t="shared" si="89"/>
        <v>jazz</v>
      </c>
      <c r="S909" s="4">
        <f t="shared" si="86"/>
        <v>40767.192395833335</v>
      </c>
      <c r="T909" s="4">
        <f t="shared" si="87"/>
        <v>40797.192395833335</v>
      </c>
      <c r="U909" s="5">
        <f>VLOOKUP(currency,Tables!$A$1:$C$14,3,FALSE)*pledged</f>
        <v>0</v>
      </c>
    </row>
    <row r="910" spans="1:21" ht="43.2" x14ac:dyDescent="0.55000000000000004">
      <c r="A910">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84"/>
        <v>0</v>
      </c>
      <c r="P910" s="16">
        <f t="shared" si="85"/>
        <v>0</v>
      </c>
      <c r="Q910" t="str">
        <f t="shared" si="88"/>
        <v>music</v>
      </c>
      <c r="R910" t="str">
        <f t="shared" si="89"/>
        <v>jazz</v>
      </c>
      <c r="S910" s="4">
        <f t="shared" si="86"/>
        <v>40340.801562499997</v>
      </c>
      <c r="T910" s="4">
        <f t="shared" si="87"/>
        <v>40386.207638888889</v>
      </c>
      <c r="U910" s="5">
        <f>VLOOKUP(currency,Tables!$A$1:$C$14,3,FALSE)*pledged</f>
        <v>0</v>
      </c>
    </row>
    <row r="911" spans="1:21" ht="57.6" x14ac:dyDescent="0.55000000000000004">
      <c r="A911">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16">
        <f t="shared" si="85"/>
        <v>65</v>
      </c>
      <c r="Q911" t="str">
        <f t="shared" si="88"/>
        <v>music</v>
      </c>
      <c r="R911" t="str">
        <f t="shared" si="89"/>
        <v>jazz</v>
      </c>
      <c r="S911" s="4">
        <f t="shared" si="86"/>
        <v>41081.69027777778</v>
      </c>
      <c r="T911" s="4">
        <f t="shared" si="87"/>
        <v>41113.166666666664</v>
      </c>
      <c r="U911" s="5">
        <f>VLOOKUP(currency,Tables!$A$1:$C$14,3,FALSE)*pledged</f>
        <v>520</v>
      </c>
    </row>
    <row r="912" spans="1:21" ht="43.2" x14ac:dyDescent="0.55000000000000004">
      <c r="A912">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84"/>
        <v>0.22363636363636363</v>
      </c>
      <c r="P912" s="16">
        <f t="shared" si="85"/>
        <v>24.6</v>
      </c>
      <c r="Q912" t="str">
        <f t="shared" si="88"/>
        <v>music</v>
      </c>
      <c r="R912" t="str">
        <f t="shared" si="89"/>
        <v>jazz</v>
      </c>
      <c r="S912" s="4">
        <f t="shared" si="86"/>
        <v>42737.545358796298</v>
      </c>
      <c r="T912" s="4">
        <f t="shared" si="87"/>
        <v>42797.545358796298</v>
      </c>
      <c r="U912" s="5">
        <f>VLOOKUP(currency,Tables!$A$1:$C$14,3,FALSE)*pledged</f>
        <v>162.36000000000001</v>
      </c>
    </row>
    <row r="913" spans="1:21" ht="43.2" x14ac:dyDescent="0.55000000000000004">
      <c r="A91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84"/>
        <v>0</v>
      </c>
      <c r="P913" s="16">
        <f t="shared" si="85"/>
        <v>0</v>
      </c>
      <c r="Q913" t="str">
        <f t="shared" si="88"/>
        <v>music</v>
      </c>
      <c r="R913" t="str">
        <f t="shared" si="89"/>
        <v>jazz</v>
      </c>
      <c r="S913" s="4">
        <f t="shared" si="86"/>
        <v>41642.005150462966</v>
      </c>
      <c r="T913" s="4">
        <f t="shared" si="87"/>
        <v>41663.005150462966</v>
      </c>
      <c r="U913" s="5">
        <f>VLOOKUP(currency,Tables!$A$1:$C$14,3,FALSE)*pledged</f>
        <v>0</v>
      </c>
    </row>
    <row r="914" spans="1:21" ht="43.2" x14ac:dyDescent="0.55000000000000004">
      <c r="A914">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84"/>
        <v>8.5714285714285719E-3</v>
      </c>
      <c r="P914" s="16">
        <f t="shared" si="85"/>
        <v>15</v>
      </c>
      <c r="Q914" t="str">
        <f t="shared" si="88"/>
        <v>music</v>
      </c>
      <c r="R914" t="str">
        <f t="shared" si="89"/>
        <v>jazz</v>
      </c>
      <c r="S914" s="4">
        <f t="shared" si="86"/>
        <v>41194.109340277777</v>
      </c>
      <c r="T914" s="4">
        <f t="shared" si="87"/>
        <v>41254.151006944441</v>
      </c>
      <c r="U914" s="5">
        <f>VLOOKUP(currency,Tables!$A$1:$C$14,3,FALSE)*pledged</f>
        <v>30</v>
      </c>
    </row>
    <row r="915" spans="1:21" ht="43.2" x14ac:dyDescent="0.55000000000000004">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16">
        <f t="shared" si="85"/>
        <v>82.583333333333329</v>
      </c>
      <c r="Q915" t="str">
        <f t="shared" si="88"/>
        <v>music</v>
      </c>
      <c r="R915" t="str">
        <f t="shared" si="89"/>
        <v>jazz</v>
      </c>
      <c r="S915" s="4">
        <f t="shared" si="86"/>
        <v>41004.139108796298</v>
      </c>
      <c r="T915" s="4">
        <f t="shared" si="87"/>
        <v>41034.139108796298</v>
      </c>
      <c r="U915" s="5">
        <f>VLOOKUP(currency,Tables!$A$1:$C$14,3,FALSE)*pledged</f>
        <v>1982</v>
      </c>
    </row>
    <row r="916" spans="1:21" ht="43.2" x14ac:dyDescent="0.55000000000000004">
      <c r="A916">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84"/>
        <v>0</v>
      </c>
      <c r="P916" s="16">
        <f t="shared" si="85"/>
        <v>0</v>
      </c>
      <c r="Q916" t="str">
        <f t="shared" si="88"/>
        <v>music</v>
      </c>
      <c r="R916" t="str">
        <f t="shared" si="89"/>
        <v>jazz</v>
      </c>
      <c r="S916" s="4">
        <f t="shared" si="86"/>
        <v>41116.763275462967</v>
      </c>
      <c r="T916" s="4">
        <f t="shared" si="87"/>
        <v>41146.763275462967</v>
      </c>
      <c r="U916" s="5">
        <f>VLOOKUP(currency,Tables!$A$1:$C$14,3,FALSE)*pledged</f>
        <v>0</v>
      </c>
    </row>
    <row r="917" spans="1:21" ht="43.2" x14ac:dyDescent="0.55000000000000004">
      <c r="A917">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84"/>
        <v>5.7692307692307696E-2</v>
      </c>
      <c r="P917" s="16">
        <f t="shared" si="85"/>
        <v>41.666666666666664</v>
      </c>
      <c r="Q917" t="str">
        <f t="shared" si="88"/>
        <v>music</v>
      </c>
      <c r="R917" t="str">
        <f t="shared" si="89"/>
        <v>jazz</v>
      </c>
      <c r="S917" s="4">
        <f t="shared" si="86"/>
        <v>40937.679560185185</v>
      </c>
      <c r="T917" s="4">
        <f t="shared" si="87"/>
        <v>40969.207638888889</v>
      </c>
      <c r="U917" s="5">
        <f>VLOOKUP(currency,Tables!$A$1:$C$14,3,FALSE)*pledged</f>
        <v>375</v>
      </c>
    </row>
    <row r="918" spans="1:21" ht="43.2" x14ac:dyDescent="0.55000000000000004">
      <c r="A918">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84"/>
        <v>0</v>
      </c>
      <c r="P918" s="16">
        <f t="shared" si="85"/>
        <v>0</v>
      </c>
      <c r="Q918" t="str">
        <f t="shared" si="88"/>
        <v>music</v>
      </c>
      <c r="R918" t="str">
        <f t="shared" si="89"/>
        <v>jazz</v>
      </c>
      <c r="S918" s="4">
        <f t="shared" si="86"/>
        <v>40434.853402777779</v>
      </c>
      <c r="T918" s="4">
        <f t="shared" si="87"/>
        <v>40473.208333333336</v>
      </c>
      <c r="U918" s="5">
        <f>VLOOKUP(currency,Tables!$A$1:$C$14,3,FALSE)*pledged</f>
        <v>0</v>
      </c>
    </row>
    <row r="919" spans="1:21" ht="43.2" x14ac:dyDescent="0.55000000000000004">
      <c r="A919">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84"/>
        <v>6.0000000000000001E-3</v>
      </c>
      <c r="P919" s="16">
        <f t="shared" si="85"/>
        <v>30</v>
      </c>
      <c r="Q919" t="str">
        <f t="shared" si="88"/>
        <v>music</v>
      </c>
      <c r="R919" t="str">
        <f t="shared" si="89"/>
        <v>jazz</v>
      </c>
      <c r="S919" s="4">
        <f t="shared" si="86"/>
        <v>41802.94363425926</v>
      </c>
      <c r="T919" s="4">
        <f t="shared" 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16">
        <f t="shared" si="85"/>
        <v>19.600000000000001</v>
      </c>
      <c r="Q920" t="str">
        <f t="shared" si="88"/>
        <v>music</v>
      </c>
      <c r="R920" t="str">
        <f t="shared" si="89"/>
        <v>jazz</v>
      </c>
      <c r="S920" s="4">
        <f t="shared" si="86"/>
        <v>41944.916215277779</v>
      </c>
      <c r="T920" s="4">
        <f t="shared" si="87"/>
        <v>41974.957881944443</v>
      </c>
      <c r="U920" s="5">
        <f>VLOOKUP(currency,Tables!$A$1:$C$14,3,FALSE)*pledged</f>
        <v>258.72000000000003</v>
      </c>
    </row>
    <row r="921" spans="1:21" x14ac:dyDescent="0.55000000000000004">
      <c r="A921">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16">
        <f t="shared" si="85"/>
        <v>100</v>
      </c>
      <c r="Q921" t="str">
        <f t="shared" si="88"/>
        <v>music</v>
      </c>
      <c r="R921" t="str">
        <f t="shared" si="89"/>
        <v>jazz</v>
      </c>
      <c r="S921" s="4">
        <f t="shared" si="86"/>
        <v>41227.641724537039</v>
      </c>
      <c r="T921" s="4">
        <f t="shared" si="87"/>
        <v>41262.641724537039</v>
      </c>
      <c r="U921" s="5">
        <f>VLOOKUP(currency,Tables!$A$1:$C$14,3,FALSE)*pledged</f>
        <v>100</v>
      </c>
    </row>
    <row r="922" spans="1:21" ht="43.2" x14ac:dyDescent="0.55000000000000004">
      <c r="A922">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84"/>
        <v>0</v>
      </c>
      <c r="P922" s="16">
        <f t="shared" si="85"/>
        <v>0</v>
      </c>
      <c r="Q922" t="str">
        <f t="shared" si="88"/>
        <v>music</v>
      </c>
      <c r="R922" t="str">
        <f t="shared" si="89"/>
        <v>jazz</v>
      </c>
      <c r="S922" s="4">
        <f t="shared" si="86"/>
        <v>41562.67155092593</v>
      </c>
      <c r="T922" s="4">
        <f t="shared" si="87"/>
        <v>41592.713217592594</v>
      </c>
      <c r="U922" s="5">
        <f>VLOOKUP(currency,Tables!$A$1:$C$14,3,FALSE)*pledged</f>
        <v>0</v>
      </c>
    </row>
    <row r="923" spans="1:21" ht="43.2" x14ac:dyDescent="0.55000000000000004">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84"/>
        <v>0.309</v>
      </c>
      <c r="P923" s="16">
        <f t="shared" si="85"/>
        <v>231.75</v>
      </c>
      <c r="Q923" t="str">
        <f t="shared" si="88"/>
        <v>music</v>
      </c>
      <c r="R923" t="str">
        <f t="shared" si="89"/>
        <v>jazz</v>
      </c>
      <c r="S923" s="4">
        <f t="shared" si="86"/>
        <v>40847.171018518515</v>
      </c>
      <c r="T923" s="4">
        <f t="shared" si="87"/>
        <v>40889.212685185186</v>
      </c>
      <c r="U923" s="5">
        <f>VLOOKUP(currency,Tables!$A$1:$C$14,3,FALSE)*pledged</f>
        <v>4635</v>
      </c>
    </row>
    <row r="924" spans="1:21" ht="43.2" x14ac:dyDescent="0.55000000000000004">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16">
        <f t="shared" si="85"/>
        <v>189.33333333333334</v>
      </c>
      <c r="Q924" t="str">
        <f t="shared" si="88"/>
        <v>music</v>
      </c>
      <c r="R924" t="str">
        <f t="shared" si="89"/>
        <v>jazz</v>
      </c>
      <c r="S924" s="4">
        <f t="shared" si="86"/>
        <v>41878.530011574076</v>
      </c>
      <c r="T924" s="4">
        <f t="shared" si="87"/>
        <v>41913.530011574076</v>
      </c>
      <c r="U924" s="5">
        <f>VLOOKUP(currency,Tables!$A$1:$C$14,3,FALSE)*pledged</f>
        <v>5680</v>
      </c>
    </row>
    <row r="925" spans="1:21" ht="43.2" x14ac:dyDescent="0.55000000000000004">
      <c r="A925">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16">
        <f t="shared" si="85"/>
        <v>55</v>
      </c>
      <c r="Q925" t="str">
        <f t="shared" si="88"/>
        <v>music</v>
      </c>
      <c r="R925" t="str">
        <f t="shared" si="89"/>
        <v>jazz</v>
      </c>
      <c r="S925" s="4">
        <f t="shared" si="86"/>
        <v>41934.959756944445</v>
      </c>
      <c r="T925" s="4">
        <f t="shared" si="87"/>
        <v>41965.001423611116</v>
      </c>
      <c r="U925" s="5">
        <f>VLOOKUP(currency,Tables!$A$1:$C$14,3,FALSE)*pledged</f>
        <v>330</v>
      </c>
    </row>
    <row r="926" spans="1:21" ht="43.2" x14ac:dyDescent="0.55000000000000004">
      <c r="A926">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84"/>
        <v>0.109</v>
      </c>
      <c r="P926" s="16">
        <f t="shared" si="85"/>
        <v>21.8</v>
      </c>
      <c r="Q926" t="str">
        <f t="shared" si="88"/>
        <v>music</v>
      </c>
      <c r="R926" t="str">
        <f t="shared" si="89"/>
        <v>jazz</v>
      </c>
      <c r="S926" s="4">
        <f t="shared" si="86"/>
        <v>41288.942928240744</v>
      </c>
      <c r="T926" s="4">
        <f t="shared" si="87"/>
        <v>41318.942928240744</v>
      </c>
      <c r="U926" s="5">
        <f>VLOOKUP(currency,Tables!$A$1:$C$14,3,FALSE)*pledged</f>
        <v>327</v>
      </c>
    </row>
    <row r="927" spans="1:21" ht="43.2" x14ac:dyDescent="0.55000000000000004">
      <c r="A927">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84"/>
        <v>2.6666666666666668E-2</v>
      </c>
      <c r="P927" s="16">
        <f t="shared" si="85"/>
        <v>32</v>
      </c>
      <c r="Q927" t="str">
        <f t="shared" si="88"/>
        <v>music</v>
      </c>
      <c r="R927" t="str">
        <f t="shared" si="89"/>
        <v>jazz</v>
      </c>
      <c r="S927" s="4">
        <f t="shared" si="86"/>
        <v>41575.880914351852</v>
      </c>
      <c r="T927" s="4">
        <f t="shared" si="87"/>
        <v>41605.922581018516</v>
      </c>
      <c r="U927" s="5">
        <f>VLOOKUP(currency,Tables!$A$1:$C$14,3,FALSE)*pledged</f>
        <v>160</v>
      </c>
    </row>
    <row r="928" spans="1:21" ht="57.6" x14ac:dyDescent="0.55000000000000004">
      <c r="A928">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84"/>
        <v>0</v>
      </c>
      <c r="P928" s="16">
        <f t="shared" si="85"/>
        <v>0</v>
      </c>
      <c r="Q928" t="str">
        <f t="shared" si="88"/>
        <v>music</v>
      </c>
      <c r="R928" t="str">
        <f t="shared" si="89"/>
        <v>jazz</v>
      </c>
      <c r="S928" s="4">
        <f t="shared" si="86"/>
        <v>40338.02002314815</v>
      </c>
      <c r="T928" s="4">
        <f t="shared" si="87"/>
        <v>40367.944444444445</v>
      </c>
      <c r="U928" s="5">
        <f>VLOOKUP(currency,Tables!$A$1:$C$14,3,FALSE)*pledged</f>
        <v>0</v>
      </c>
    </row>
    <row r="929" spans="1:21" ht="28.8" x14ac:dyDescent="0.55000000000000004">
      <c r="A929">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84"/>
        <v>0</v>
      </c>
      <c r="P929" s="16">
        <f t="shared" si="85"/>
        <v>0</v>
      </c>
      <c r="Q929" t="str">
        <f t="shared" si="88"/>
        <v>music</v>
      </c>
      <c r="R929" t="str">
        <f t="shared" si="89"/>
        <v>jazz</v>
      </c>
      <c r="S929" s="4">
        <f t="shared" si="86"/>
        <v>41013.822858796295</v>
      </c>
      <c r="T929" s="4">
        <f t="shared" si="87"/>
        <v>41043.822858796295</v>
      </c>
      <c r="U929" s="5">
        <f>VLOOKUP(currency,Tables!$A$1:$C$14,3,FALSE)*pledged</f>
        <v>0</v>
      </c>
    </row>
    <row r="930" spans="1:21" ht="43.2" x14ac:dyDescent="0.55000000000000004">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16">
        <f t="shared" si="85"/>
        <v>56.25</v>
      </c>
      <c r="Q930" t="str">
        <f t="shared" si="88"/>
        <v>music</v>
      </c>
      <c r="R930" t="str">
        <f t="shared" si="89"/>
        <v>jazz</v>
      </c>
      <c r="S930" s="4">
        <f t="shared" si="86"/>
        <v>41180.86241898148</v>
      </c>
      <c r="T930" s="4">
        <f t="shared" si="87"/>
        <v>41231</v>
      </c>
      <c r="U930" s="5">
        <f>VLOOKUP(currency,Tables!$A$1:$C$14,3,FALSE)*pledged</f>
        <v>1575</v>
      </c>
    </row>
    <row r="931" spans="1:21" ht="43.2" x14ac:dyDescent="0.55000000000000004">
      <c r="A931">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84"/>
        <v>0</v>
      </c>
      <c r="P931" s="16">
        <f t="shared" si="85"/>
        <v>0</v>
      </c>
      <c r="Q931" t="str">
        <f t="shared" si="88"/>
        <v>music</v>
      </c>
      <c r="R931" t="str">
        <f t="shared" si="89"/>
        <v>jazz</v>
      </c>
      <c r="S931" s="4">
        <f t="shared" si="86"/>
        <v>40978.238067129627</v>
      </c>
      <c r="T931" s="4">
        <f t="shared" si="87"/>
        <v>41008.196400462963</v>
      </c>
      <c r="U931" s="5">
        <f>VLOOKUP(currency,Tables!$A$1:$C$14,3,FALSE)*pledged</f>
        <v>0</v>
      </c>
    </row>
    <row r="932" spans="1:21" ht="57.6" x14ac:dyDescent="0.55000000000000004">
      <c r="A932">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84"/>
        <v>0.38333333333333336</v>
      </c>
      <c r="P932" s="16">
        <f t="shared" si="85"/>
        <v>69</v>
      </c>
      <c r="Q932" t="str">
        <f t="shared" si="88"/>
        <v>music</v>
      </c>
      <c r="R932" t="str">
        <f t="shared" si="89"/>
        <v>jazz</v>
      </c>
      <c r="S932" s="4">
        <f t="shared" si="86"/>
        <v>40312.915578703702</v>
      </c>
      <c r="T932" s="4">
        <f t="shared" si="87"/>
        <v>40354.897222222222</v>
      </c>
      <c r="U932" s="5">
        <f>VLOOKUP(currency,Tables!$A$1:$C$14,3,FALSE)*pledged</f>
        <v>345</v>
      </c>
    </row>
    <row r="933" spans="1:21" ht="43.2" x14ac:dyDescent="0.55000000000000004">
      <c r="A93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84"/>
        <v>6.5500000000000003E-2</v>
      </c>
      <c r="P933" s="16">
        <f t="shared" si="85"/>
        <v>18.714285714285715</v>
      </c>
      <c r="Q933" t="str">
        <f t="shared" si="88"/>
        <v>music</v>
      </c>
      <c r="R933" t="str">
        <f t="shared" si="89"/>
        <v>jazz</v>
      </c>
      <c r="S933" s="4">
        <f t="shared" si="86"/>
        <v>41680.359976851854</v>
      </c>
      <c r="T933" s="4">
        <f t="shared" si="87"/>
        <v>41714.916666666664</v>
      </c>
      <c r="U933" s="5">
        <f>VLOOKUP(currency,Tables!$A$1:$C$14,3,FALSE)*pledged</f>
        <v>172.92000000000002</v>
      </c>
    </row>
    <row r="934" spans="1:21" ht="28.8" x14ac:dyDescent="0.55000000000000004">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16">
        <f t="shared" si="85"/>
        <v>46.033333333333331</v>
      </c>
      <c r="Q934" t="str">
        <f t="shared" si="88"/>
        <v>music</v>
      </c>
      <c r="R934" t="str">
        <f t="shared" si="89"/>
        <v>jazz</v>
      </c>
      <c r="S934" s="4">
        <f t="shared" si="86"/>
        <v>41310.969270833331</v>
      </c>
      <c r="T934" s="4">
        <f t="shared" si="87"/>
        <v>41355.927604166667</v>
      </c>
      <c r="U934" s="5">
        <f>VLOOKUP(currency,Tables!$A$1:$C$14,3,FALSE)*pledged</f>
        <v>1381</v>
      </c>
    </row>
    <row r="935" spans="1:21" ht="43.2" x14ac:dyDescent="0.55000000000000004">
      <c r="A935">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84"/>
        <v>0.06</v>
      </c>
      <c r="P935" s="16">
        <f t="shared" si="85"/>
        <v>60</v>
      </c>
      <c r="Q935" t="str">
        <f t="shared" si="88"/>
        <v>music</v>
      </c>
      <c r="R935" t="str">
        <f t="shared" si="89"/>
        <v>jazz</v>
      </c>
      <c r="S935" s="4">
        <f t="shared" si="86"/>
        <v>41711.169085648151</v>
      </c>
      <c r="T935" s="4">
        <f t="shared" si="87"/>
        <v>41771.169085648151</v>
      </c>
      <c r="U935" s="5">
        <f>VLOOKUP(currency,Tables!$A$1:$C$14,3,FALSE)*pledged</f>
        <v>120</v>
      </c>
    </row>
    <row r="936" spans="1:21" ht="43.2" x14ac:dyDescent="0.55000000000000004">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16">
        <f t="shared" si="85"/>
        <v>50.666666666666664</v>
      </c>
      <c r="Q936" t="str">
        <f t="shared" si="88"/>
        <v>music</v>
      </c>
      <c r="R936" t="str">
        <f t="shared" si="89"/>
        <v>jazz</v>
      </c>
      <c r="S936" s="4">
        <f t="shared" si="86"/>
        <v>41733.737083333333</v>
      </c>
      <c r="T936" s="4">
        <f t="shared" si="87"/>
        <v>41763.25</v>
      </c>
      <c r="U936" s="5">
        <f>VLOOKUP(currency,Tables!$A$1:$C$14,3,FALSE)*pledged</f>
        <v>1155.2</v>
      </c>
    </row>
    <row r="937" spans="1:21" ht="43.2" x14ac:dyDescent="0.55000000000000004">
      <c r="A937">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84"/>
        <v>1.4285714285714285E-2</v>
      </c>
      <c r="P937" s="16">
        <f t="shared" si="85"/>
        <v>25</v>
      </c>
      <c r="Q937" t="str">
        <f t="shared" si="88"/>
        <v>music</v>
      </c>
      <c r="R937" t="str">
        <f t="shared" si="89"/>
        <v>jazz</v>
      </c>
      <c r="S937" s="4">
        <f t="shared" si="86"/>
        <v>42368.333668981482</v>
      </c>
      <c r="T937" s="4">
        <f t="shared" si="87"/>
        <v>42398.333668981482</v>
      </c>
      <c r="U937" s="5">
        <f>VLOOKUP(currency,Tables!$A$1:$C$14,3,FALSE)*pledged</f>
        <v>50</v>
      </c>
    </row>
    <row r="938" spans="1:21" ht="43.2" x14ac:dyDescent="0.55000000000000004">
      <c r="A938">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84"/>
        <v>0</v>
      </c>
      <c r="P938" s="16">
        <f t="shared" si="85"/>
        <v>0</v>
      </c>
      <c r="Q938" t="str">
        <f t="shared" si="88"/>
        <v>music</v>
      </c>
      <c r="R938" t="str">
        <f t="shared" si="89"/>
        <v>jazz</v>
      </c>
      <c r="S938" s="4">
        <f t="shared" si="86"/>
        <v>40883.024178240739</v>
      </c>
      <c r="T938" s="4">
        <f t="shared" si="87"/>
        <v>40926.833333333336</v>
      </c>
      <c r="U938" s="5">
        <f>VLOOKUP(currency,Tables!$A$1:$C$14,3,FALSE)*pledged</f>
        <v>0</v>
      </c>
    </row>
    <row r="939" spans="1:21" ht="43.2" x14ac:dyDescent="0.55000000000000004">
      <c r="A939">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84"/>
        <v>1.1428571428571429E-2</v>
      </c>
      <c r="P939" s="16">
        <f t="shared" si="85"/>
        <v>20</v>
      </c>
      <c r="Q939" t="str">
        <f t="shared" si="88"/>
        <v>music</v>
      </c>
      <c r="R939" t="str">
        <f t="shared" si="89"/>
        <v>jazz</v>
      </c>
      <c r="S939" s="4">
        <f t="shared" si="86"/>
        <v>41551.798113425924</v>
      </c>
      <c r="T939" s="4">
        <f t="shared" si="87"/>
        <v>41581.839780092596</v>
      </c>
      <c r="U939" s="5">
        <f>VLOOKUP(currency,Tables!$A$1:$C$14,3,FALSE)*pledged</f>
        <v>40</v>
      </c>
    </row>
    <row r="940" spans="1:21" ht="43.2" x14ac:dyDescent="0.55000000000000004">
      <c r="A940">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84"/>
        <v>3.5714285714285713E-3</v>
      </c>
      <c r="P940" s="16">
        <f t="shared" si="85"/>
        <v>25</v>
      </c>
      <c r="Q940" t="str">
        <f t="shared" si="88"/>
        <v>music</v>
      </c>
      <c r="R940" t="str">
        <f t="shared" si="89"/>
        <v>jazz</v>
      </c>
      <c r="S940" s="4">
        <f t="shared" si="86"/>
        <v>41124.479722222226</v>
      </c>
      <c r="T940" s="4">
        <f t="shared" si="87"/>
        <v>41154.479722222226</v>
      </c>
      <c r="U940" s="5">
        <f>VLOOKUP(currency,Tables!$A$1:$C$14,3,FALSE)*pledged</f>
        <v>25</v>
      </c>
    </row>
    <row r="941" spans="1:21" ht="43.2" x14ac:dyDescent="0.55000000000000004">
      <c r="A941">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84"/>
        <v>1.4545454545454545E-2</v>
      </c>
      <c r="P941" s="16">
        <f t="shared" si="85"/>
        <v>20</v>
      </c>
      <c r="Q941" t="str">
        <f t="shared" si="88"/>
        <v>music</v>
      </c>
      <c r="R941" t="str">
        <f t="shared" si="89"/>
        <v>jazz</v>
      </c>
      <c r="S941" s="4">
        <f t="shared" si="86"/>
        <v>41416.763171296298</v>
      </c>
      <c r="T941" s="4">
        <f t="shared" si="87"/>
        <v>41455.831944444442</v>
      </c>
      <c r="U941" s="5">
        <f>VLOOKUP(currency,Tables!$A$1:$C$14,3,FALSE)*pledged</f>
        <v>40</v>
      </c>
    </row>
    <row r="942" spans="1:21" ht="43.2" x14ac:dyDescent="0.55000000000000004">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16">
        <f t="shared" si="85"/>
        <v>110.28571428571429</v>
      </c>
      <c r="Q942" t="str">
        <f t="shared" si="88"/>
        <v>technology</v>
      </c>
      <c r="R942" t="str">
        <f t="shared" si="89"/>
        <v>wearables</v>
      </c>
      <c r="S942" s="4">
        <f t="shared" si="86"/>
        <v>42182.008402777778</v>
      </c>
      <c r="T942" s="4">
        <f t="shared" si="87"/>
        <v>42227.008402777778</v>
      </c>
      <c r="U942" s="5">
        <f>VLOOKUP(currency,Tables!$A$1:$C$14,3,FALSE)*pledged</f>
        <v>1544</v>
      </c>
    </row>
    <row r="943" spans="1:21" ht="57.6" x14ac:dyDescent="0.55000000000000004">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16">
        <f t="shared" si="85"/>
        <v>37.451612903225808</v>
      </c>
      <c r="Q943" t="str">
        <f t="shared" si="88"/>
        <v>technology</v>
      </c>
      <c r="R943" t="str">
        <f t="shared" si="89"/>
        <v>wearables</v>
      </c>
      <c r="S943" s="4">
        <f t="shared" si="86"/>
        <v>42746.096585648149</v>
      </c>
      <c r="T943" s="4">
        <f t="shared" si="87"/>
        <v>42776.096585648149</v>
      </c>
      <c r="U943" s="5">
        <f>VLOOKUP(currency,Tables!$A$1:$C$14,3,FALSE)*pledged</f>
        <v>1161</v>
      </c>
    </row>
    <row r="944" spans="1:21" ht="43.2" x14ac:dyDescent="0.55000000000000004">
      <c r="A944">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16">
        <f t="shared" si="85"/>
        <v>41.75</v>
      </c>
      <c r="Q944" t="str">
        <f t="shared" si="88"/>
        <v>technology</v>
      </c>
      <c r="R944" t="str">
        <f t="shared" si="89"/>
        <v>wearables</v>
      </c>
      <c r="S944" s="4">
        <f t="shared" si="86"/>
        <v>42382.843287037031</v>
      </c>
      <c r="T944" s="4">
        <f t="shared" si="87"/>
        <v>42418.843287037031</v>
      </c>
      <c r="U944" s="5">
        <f>VLOOKUP(currency,Tables!$A$1:$C$14,3,FALSE)*pledged</f>
        <v>668</v>
      </c>
    </row>
    <row r="945" spans="1:21" ht="28.8" x14ac:dyDescent="0.55000000000000004">
      <c r="A945">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84"/>
        <v>9.633333333333334E-2</v>
      </c>
      <c r="P945" s="16">
        <f t="shared" si="85"/>
        <v>24.083333333333332</v>
      </c>
      <c r="Q945" t="str">
        <f t="shared" si="88"/>
        <v>technology</v>
      </c>
      <c r="R945" t="str">
        <f t="shared" si="89"/>
        <v>wearables</v>
      </c>
      <c r="S945" s="4">
        <f t="shared" si="86"/>
        <v>42673.66788194445</v>
      </c>
      <c r="T945" s="4">
        <f t="shared" si="87"/>
        <v>42703.709548611107</v>
      </c>
      <c r="U945" s="5">
        <f>VLOOKUP(currency,Tables!$A$1:$C$14,3,FALSE)*pledged</f>
        <v>289</v>
      </c>
    </row>
    <row r="946" spans="1:21" ht="43.2" x14ac:dyDescent="0.55000000000000004">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16">
        <f t="shared" si="85"/>
        <v>69.40625</v>
      </c>
      <c r="Q946" t="str">
        <f t="shared" si="88"/>
        <v>technology</v>
      </c>
      <c r="R946" t="str">
        <f t="shared" si="89"/>
        <v>wearables</v>
      </c>
      <c r="S946" s="4">
        <f t="shared" si="86"/>
        <v>42444.583912037036</v>
      </c>
      <c r="T946" s="4">
        <f t="shared" si="87"/>
        <v>42478.583333333328</v>
      </c>
      <c r="U946" s="5">
        <f>VLOOKUP(currency,Tables!$A$1:$C$14,3,FALSE)*pledged</f>
        <v>6663</v>
      </c>
    </row>
    <row r="947" spans="1:21" ht="43.2" x14ac:dyDescent="0.55000000000000004">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16">
        <f t="shared" si="85"/>
        <v>155.25</v>
      </c>
      <c r="Q947" t="str">
        <f t="shared" si="88"/>
        <v>technology</v>
      </c>
      <c r="R947" t="str">
        <f t="shared" si="89"/>
        <v>wearables</v>
      </c>
      <c r="S947" s="4">
        <f t="shared" si="86"/>
        <v>42732.872986111113</v>
      </c>
      <c r="T947" s="4">
        <f t="shared" si="87"/>
        <v>42784.999305555553</v>
      </c>
      <c r="U947" s="5">
        <f>VLOOKUP(currency,Tables!$A$1:$C$14,3,FALSE)*pledged</f>
        <v>2931.12</v>
      </c>
    </row>
    <row r="948" spans="1:21" ht="28.8" x14ac:dyDescent="0.55000000000000004">
      <c r="A948">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16">
        <f t="shared" si="85"/>
        <v>57.2</v>
      </c>
      <c r="Q948" t="str">
        <f t="shared" si="88"/>
        <v>technology</v>
      </c>
      <c r="R948" t="str">
        <f t="shared" si="89"/>
        <v>wearables</v>
      </c>
      <c r="S948" s="4">
        <f t="shared" si="86"/>
        <v>42592.750555555554</v>
      </c>
      <c r="T948" s="4">
        <f t="shared" si="87"/>
        <v>42622.750555555554</v>
      </c>
      <c r="U948" s="5">
        <f>VLOOKUP(currency,Tables!$A$1:$C$14,3,FALSE)*pledged</f>
        <v>286</v>
      </c>
    </row>
    <row r="949" spans="1:21" ht="43.2" x14ac:dyDescent="0.55000000000000004">
      <c r="A949">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84"/>
        <v>0</v>
      </c>
      <c r="P949" s="16">
        <f t="shared" si="85"/>
        <v>0</v>
      </c>
      <c r="Q949" t="str">
        <f t="shared" si="88"/>
        <v>technology</v>
      </c>
      <c r="R949" t="str">
        <f t="shared" si="89"/>
        <v>wearables</v>
      </c>
      <c r="S949" s="4">
        <f t="shared" si="86"/>
        <v>42491.781319444446</v>
      </c>
      <c r="T949" s="4">
        <f t="shared" si="87"/>
        <v>42551.781319444446</v>
      </c>
      <c r="U949" s="5">
        <f>VLOOKUP(currency,Tables!$A$1:$C$14,3,FALSE)*pledged</f>
        <v>0</v>
      </c>
    </row>
    <row r="950" spans="1:21" ht="43.2" x14ac:dyDescent="0.55000000000000004">
      <c r="A950">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84"/>
        <v>0.12</v>
      </c>
      <c r="P950" s="16">
        <f t="shared" si="85"/>
        <v>60</v>
      </c>
      <c r="Q950" t="str">
        <f t="shared" si="88"/>
        <v>technology</v>
      </c>
      <c r="R950" t="str">
        <f t="shared" si="89"/>
        <v>wearables</v>
      </c>
      <c r="S950" s="4">
        <f t="shared" si="86"/>
        <v>42411.828287037039</v>
      </c>
      <c r="T950" s="4">
        <f t="shared" si="87"/>
        <v>42441.828287037039</v>
      </c>
      <c r="U950" s="5">
        <f>VLOOKUP(currency,Tables!$A$1:$C$14,3,FALSE)*pledged</f>
        <v>566.4</v>
      </c>
    </row>
    <row r="951" spans="1:21" ht="43.2" x14ac:dyDescent="0.55000000000000004">
      <c r="A951">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16">
        <f t="shared" si="85"/>
        <v>39</v>
      </c>
      <c r="Q951" t="str">
        <f t="shared" si="88"/>
        <v>technology</v>
      </c>
      <c r="R951" t="str">
        <f t="shared" si="89"/>
        <v>wearables</v>
      </c>
      <c r="S951" s="4">
        <f t="shared" si="86"/>
        <v>42361.043703703705</v>
      </c>
      <c r="T951" s="4">
        <f t="shared" si="87"/>
        <v>42421.043703703705</v>
      </c>
      <c r="U951" s="5">
        <f>VLOOKUP(currency,Tables!$A$1:$C$14,3,FALSE)*pledged</f>
        <v>322.14</v>
      </c>
    </row>
    <row r="952" spans="1:21" ht="43.2" x14ac:dyDescent="0.55000000000000004">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16">
        <f t="shared" si="85"/>
        <v>58.416666666666664</v>
      </c>
      <c r="Q952" t="str">
        <f t="shared" si="88"/>
        <v>technology</v>
      </c>
      <c r="R952" t="str">
        <f t="shared" si="89"/>
        <v>wearables</v>
      </c>
      <c r="S952" s="4">
        <f t="shared" si="86"/>
        <v>42356.750706018516</v>
      </c>
      <c r="T952" s="4">
        <f t="shared" si="87"/>
        <v>42386.750706018516</v>
      </c>
      <c r="U952" s="5">
        <f>VLOOKUP(currency,Tables!$A$1:$C$14,3,FALSE)*pledged</f>
        <v>1065.52</v>
      </c>
    </row>
    <row r="953" spans="1:21" x14ac:dyDescent="0.55000000000000004">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16">
        <f t="shared" si="85"/>
        <v>158.63636363636363</v>
      </c>
      <c r="Q953" t="str">
        <f t="shared" si="88"/>
        <v>technology</v>
      </c>
      <c r="R953" t="str">
        <f t="shared" si="89"/>
        <v>wearables</v>
      </c>
      <c r="S953" s="4">
        <f t="shared" si="86"/>
        <v>42480.653611111105</v>
      </c>
      <c r="T953" s="4">
        <f t="shared" si="87"/>
        <v>42525.653611111105</v>
      </c>
      <c r="U953" s="5">
        <f>VLOOKUP(currency,Tables!$A$1:$C$14,3,FALSE)*pledged</f>
        <v>19195</v>
      </c>
    </row>
    <row r="954" spans="1:21" ht="28.8" x14ac:dyDescent="0.55000000000000004">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16">
        <f t="shared" si="85"/>
        <v>99.857142857142861</v>
      </c>
      <c r="Q954" t="str">
        <f t="shared" si="88"/>
        <v>technology</v>
      </c>
      <c r="R954" t="str">
        <f t="shared" si="89"/>
        <v>wearables</v>
      </c>
      <c r="S954" s="4">
        <f t="shared" si="86"/>
        <v>42662.613564814819</v>
      </c>
      <c r="T954" s="4">
        <f t="shared" si="87"/>
        <v>42692.655231481483</v>
      </c>
      <c r="U954" s="5">
        <f>VLOOKUP(currency,Tables!$A$1:$C$14,3,FALSE)*pledged</f>
        <v>19572</v>
      </c>
    </row>
    <row r="955" spans="1:21" ht="43.2" x14ac:dyDescent="0.55000000000000004">
      <c r="A955">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16">
        <f t="shared" si="85"/>
        <v>25.2</v>
      </c>
      <c r="Q955" t="str">
        <f t="shared" si="88"/>
        <v>technology</v>
      </c>
      <c r="R955" t="str">
        <f t="shared" si="89"/>
        <v>wearables</v>
      </c>
      <c r="S955" s="4">
        <f t="shared" si="86"/>
        <v>41999.164340277777</v>
      </c>
      <c r="T955" s="4">
        <f t="shared" si="87"/>
        <v>42029.164340277777</v>
      </c>
      <c r="U955" s="5">
        <f>VLOOKUP(currency,Tables!$A$1:$C$14,3,FALSE)*pledged</f>
        <v>126</v>
      </c>
    </row>
    <row r="956" spans="1:21" ht="43.2" x14ac:dyDescent="0.55000000000000004">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16">
        <f t="shared" si="85"/>
        <v>89.191780821917803</v>
      </c>
      <c r="Q956" t="str">
        <f t="shared" si="88"/>
        <v>technology</v>
      </c>
      <c r="R956" t="str">
        <f t="shared" si="89"/>
        <v>wearables</v>
      </c>
      <c r="S956" s="4">
        <f t="shared" si="86"/>
        <v>42194.833784722221</v>
      </c>
      <c r="T956" s="4">
        <f t="shared" si="87"/>
        <v>42236.833784722221</v>
      </c>
      <c r="U956" s="5">
        <f>VLOOKUP(currency,Tables!$A$1:$C$14,3,FALSE)*pledged</f>
        <v>6511</v>
      </c>
    </row>
    <row r="957" spans="1:21" ht="43.2" x14ac:dyDescent="0.55000000000000004">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16">
        <f t="shared" si="85"/>
        <v>182.6236559139785</v>
      </c>
      <c r="Q957" t="str">
        <f t="shared" si="88"/>
        <v>technology</v>
      </c>
      <c r="R957" t="str">
        <f t="shared" si="89"/>
        <v>wearables</v>
      </c>
      <c r="S957" s="4">
        <f t="shared" si="86"/>
        <v>42586.295138888891</v>
      </c>
      <c r="T957" s="4">
        <f t="shared" si="87"/>
        <v>42626.295138888891</v>
      </c>
      <c r="U957" s="5">
        <f>VLOOKUP(currency,Tables!$A$1:$C$14,3,FALSE)*pledged</f>
        <v>16984</v>
      </c>
    </row>
    <row r="958" spans="1:21" ht="57.6" x14ac:dyDescent="0.55000000000000004">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16">
        <f t="shared" si="85"/>
        <v>50.647058823529413</v>
      </c>
      <c r="Q958" t="str">
        <f t="shared" si="88"/>
        <v>technology</v>
      </c>
      <c r="R958" t="str">
        <f t="shared" si="89"/>
        <v>wearables</v>
      </c>
      <c r="S958" s="4">
        <f t="shared" si="86"/>
        <v>42060.913877314815</v>
      </c>
      <c r="T958" s="4">
        <f t="shared" si="87"/>
        <v>42120.872210648144</v>
      </c>
      <c r="U958" s="5">
        <f>VLOOKUP(currency,Tables!$A$1:$C$14,3,FALSE)*pledged</f>
        <v>861</v>
      </c>
    </row>
    <row r="959" spans="1:21" ht="28.8" x14ac:dyDescent="0.55000000000000004">
      <c r="A959">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16">
        <f t="shared" si="85"/>
        <v>33.285714285714285</v>
      </c>
      <c r="Q959" t="str">
        <f t="shared" si="88"/>
        <v>technology</v>
      </c>
      <c r="R959" t="str">
        <f t="shared" si="89"/>
        <v>wearables</v>
      </c>
      <c r="S959" s="4">
        <f t="shared" si="86"/>
        <v>42660.552465277782</v>
      </c>
      <c r="T959" s="4">
        <f t="shared" si="87"/>
        <v>42691.594131944439</v>
      </c>
      <c r="U959" s="5">
        <f>VLOOKUP(currency,Tables!$A$1:$C$14,3,FALSE)*pledged</f>
        <v>233</v>
      </c>
    </row>
    <row r="960" spans="1:21" ht="43.2" x14ac:dyDescent="0.55000000000000004">
      <c r="A960">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84"/>
        <v>0.11328275684711328</v>
      </c>
      <c r="P960" s="16">
        <f t="shared" si="85"/>
        <v>51.823529411764703</v>
      </c>
      <c r="Q960" t="str">
        <f t="shared" si="88"/>
        <v>technology</v>
      </c>
      <c r="R960" t="str">
        <f t="shared" si="89"/>
        <v>wearables</v>
      </c>
      <c r="S960" s="4">
        <f t="shared" si="86"/>
        <v>42082.802812499998</v>
      </c>
      <c r="T960" s="4">
        <f t="shared" si="87"/>
        <v>42104.207638888889</v>
      </c>
      <c r="U960" s="5">
        <f>VLOOKUP(currency,Tables!$A$1:$C$14,3,FALSE)*pledged</f>
        <v>881</v>
      </c>
    </row>
    <row r="961" spans="1:21" ht="43.2" x14ac:dyDescent="0.55000000000000004">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84"/>
        <v>0.3886</v>
      </c>
      <c r="P961" s="16">
        <f t="shared" si="85"/>
        <v>113.62573099415205</v>
      </c>
      <c r="Q961" t="str">
        <f t="shared" si="88"/>
        <v>technology</v>
      </c>
      <c r="R961" t="str">
        <f t="shared" si="89"/>
        <v>wearables</v>
      </c>
      <c r="S961" s="4">
        <f t="shared" si="86"/>
        <v>41993.174363425926</v>
      </c>
      <c r="T961" s="4">
        <f t="shared" si="87"/>
        <v>42023.174363425926</v>
      </c>
      <c r="U961" s="5">
        <f>VLOOKUP(currency,Tables!$A$1:$C$14,3,FALSE)*pledged</f>
        <v>19430</v>
      </c>
    </row>
    <row r="962" spans="1:21" ht="43.2" x14ac:dyDescent="0.55000000000000004">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ref="O962:O1025" si="90">pledged/goal</f>
        <v>0.46100628930817611</v>
      </c>
      <c r="P962" s="16">
        <f t="shared" ref="P962:P1025" si="91">IF(pledged=0,0,pledged/backers_count)</f>
        <v>136.46276595744681</v>
      </c>
      <c r="Q962" t="str">
        <f t="shared" si="88"/>
        <v>technology</v>
      </c>
      <c r="R962" t="str">
        <f t="shared" si="89"/>
        <v>wearables</v>
      </c>
      <c r="S962" s="4">
        <f t="shared" ref="S962:S1025" si="92">(((Unix_launched_date/60)/60)/24)+DATE(1970,1,1)</f>
        <v>42766.626793981486</v>
      </c>
      <c r="T962" s="4">
        <f t="shared" ref="T962:T1025" si="93">(((Unix_deadline/60)/60)/24)+DATE(1970,1,1)</f>
        <v>42808.585127314815</v>
      </c>
      <c r="U962" s="5">
        <f>VLOOKUP(currency,Tables!$A$1:$C$14,3,FALSE)*pledged</f>
        <v>25655</v>
      </c>
    </row>
    <row r="963" spans="1:21" ht="43.2" x14ac:dyDescent="0.55000000000000004">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si="90"/>
        <v>0.42188421052631581</v>
      </c>
      <c r="P963" s="16">
        <f t="shared" si="91"/>
        <v>364.35454545454547</v>
      </c>
      <c r="Q963" t="str">
        <f t="shared" ref="Q963:Q1026" si="94">LEFT(N963,FIND("/",N963,1)-1)</f>
        <v>technology</v>
      </c>
      <c r="R963" t="str">
        <f t="shared" ref="R963:R1026" si="95">RIGHT(N963,(LEN(N963)-FIND("/",N963,1)))</f>
        <v>wearables</v>
      </c>
      <c r="S963" s="4">
        <f t="shared" si="92"/>
        <v>42740.693692129629</v>
      </c>
      <c r="T963" s="4">
        <f t="shared" si="93"/>
        <v>42786.791666666672</v>
      </c>
      <c r="U963" s="5">
        <f>VLOOKUP(currency,Tables!$A$1:$C$14,3,FALSE)*pledged</f>
        <v>40079</v>
      </c>
    </row>
    <row r="964" spans="1:21" ht="43.2" x14ac:dyDescent="0.55000000000000004">
      <c r="A964">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90"/>
        <v>0.2848</v>
      </c>
      <c r="P964" s="16">
        <f t="shared" si="91"/>
        <v>19.243243243243242</v>
      </c>
      <c r="Q964" t="str">
        <f t="shared" si="94"/>
        <v>technology</v>
      </c>
      <c r="R964" t="str">
        <f t="shared" si="95"/>
        <v>wearables</v>
      </c>
      <c r="S964" s="4">
        <f t="shared" si="92"/>
        <v>42373.712418981479</v>
      </c>
      <c r="T964" s="4">
        <f t="shared" si="93"/>
        <v>42411.712418981479</v>
      </c>
      <c r="U964" s="5">
        <f>VLOOKUP(currency,Tables!$A$1:$C$14,3,FALSE)*pledged</f>
        <v>712</v>
      </c>
    </row>
    <row r="965" spans="1:21" ht="28.8" x14ac:dyDescent="0.55000000000000004">
      <c r="A965">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16">
        <f t="shared" si="91"/>
        <v>41.888888888888886</v>
      </c>
      <c r="Q965" t="str">
        <f t="shared" si="94"/>
        <v>technology</v>
      </c>
      <c r="R965" t="str">
        <f t="shared" si="95"/>
        <v>wearables</v>
      </c>
      <c r="S965" s="4">
        <f t="shared" si="92"/>
        <v>42625.635636574079</v>
      </c>
      <c r="T965" s="4">
        <f t="shared" si="93"/>
        <v>42660.635636574079</v>
      </c>
      <c r="U965" s="5">
        <f>VLOOKUP(currency,Tables!$A$1:$C$14,3,FALSE)*pledged</f>
        <v>377</v>
      </c>
    </row>
    <row r="966" spans="1:21" ht="43.2" x14ac:dyDescent="0.55000000000000004">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16">
        <f t="shared" si="91"/>
        <v>30.310344827586206</v>
      </c>
      <c r="Q966" t="str">
        <f t="shared" si="94"/>
        <v>technology</v>
      </c>
      <c r="R966" t="str">
        <f t="shared" si="95"/>
        <v>wearables</v>
      </c>
      <c r="S966" s="4">
        <f t="shared" si="92"/>
        <v>42208.628692129627</v>
      </c>
      <c r="T966" s="4">
        <f t="shared" si="93"/>
        <v>42248.628692129627</v>
      </c>
      <c r="U966" s="5">
        <f>VLOOKUP(currency,Tables!$A$1:$C$14,3,FALSE)*pledged</f>
        <v>668.04</v>
      </c>
    </row>
    <row r="967" spans="1:21" ht="43.2" x14ac:dyDescent="0.55000000000000004">
      <c r="A967">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90"/>
        <v>1.192E-2</v>
      </c>
      <c r="P967" s="16">
        <f t="shared" si="91"/>
        <v>49.666666666666664</v>
      </c>
      <c r="Q967" t="str">
        <f t="shared" si="94"/>
        <v>technology</v>
      </c>
      <c r="R967" t="str">
        <f t="shared" si="95"/>
        <v>wearables</v>
      </c>
      <c r="S967" s="4">
        <f t="shared" si="92"/>
        <v>42637.016736111109</v>
      </c>
      <c r="T967" s="4">
        <f t="shared" si="93"/>
        <v>42669.165972222225</v>
      </c>
      <c r="U967" s="5">
        <f>VLOOKUP(currency,Tables!$A$1:$C$14,3,FALSE)*pledged</f>
        <v>298</v>
      </c>
    </row>
    <row r="968" spans="1:21" ht="43.2" x14ac:dyDescent="0.55000000000000004">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16">
        <f t="shared" si="91"/>
        <v>59.2</v>
      </c>
      <c r="Q968" t="str">
        <f t="shared" si="94"/>
        <v>technology</v>
      </c>
      <c r="R968" t="str">
        <f t="shared" si="95"/>
        <v>wearables</v>
      </c>
      <c r="S968" s="4">
        <f t="shared" si="92"/>
        <v>42619.635787037041</v>
      </c>
      <c r="T968" s="4">
        <f t="shared" si="93"/>
        <v>42649.635787037041</v>
      </c>
      <c r="U968" s="5">
        <f>VLOOKUP(currency,Tables!$A$1:$C$14,3,FALSE)*pledged</f>
        <v>1776</v>
      </c>
    </row>
    <row r="969" spans="1:21" ht="43.2" x14ac:dyDescent="0.55000000000000004">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16">
        <f t="shared" si="91"/>
        <v>43.97530864197531</v>
      </c>
      <c r="Q969" t="str">
        <f t="shared" si="94"/>
        <v>technology</v>
      </c>
      <c r="R969" t="str">
        <f t="shared" si="95"/>
        <v>wearables</v>
      </c>
      <c r="S969" s="4">
        <f t="shared" si="92"/>
        <v>42422.254328703704</v>
      </c>
      <c r="T969" s="4">
        <f t="shared" si="93"/>
        <v>42482.21266203704</v>
      </c>
      <c r="U969" s="5">
        <f>VLOOKUP(currency,Tables!$A$1:$C$14,3,FALSE)*pledged</f>
        <v>3562</v>
      </c>
    </row>
    <row r="970" spans="1:21" ht="43.2" x14ac:dyDescent="0.55000000000000004">
      <c r="A970">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90"/>
        <v>1.325E-2</v>
      </c>
      <c r="P970" s="16">
        <f t="shared" si="91"/>
        <v>26.5</v>
      </c>
      <c r="Q970" t="str">
        <f t="shared" si="94"/>
        <v>technology</v>
      </c>
      <c r="R970" t="str">
        <f t="shared" si="95"/>
        <v>wearables</v>
      </c>
      <c r="S970" s="4">
        <f t="shared" si="92"/>
        <v>41836.847615740742</v>
      </c>
      <c r="T970" s="4">
        <f t="shared" si="93"/>
        <v>41866.847615740742</v>
      </c>
      <c r="U970" s="5">
        <f>VLOOKUP(currency,Tables!$A$1:$C$14,3,FALSE)*pledged</f>
        <v>106</v>
      </c>
    </row>
    <row r="971" spans="1:21" ht="28.8" x14ac:dyDescent="0.55000000000000004">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16">
        <f t="shared" si="91"/>
        <v>1272.7272727272727</v>
      </c>
      <c r="Q971" t="str">
        <f t="shared" si="94"/>
        <v>technology</v>
      </c>
      <c r="R971" t="str">
        <f t="shared" si="95"/>
        <v>wearables</v>
      </c>
      <c r="S971" s="4">
        <f t="shared" si="92"/>
        <v>42742.30332175926</v>
      </c>
      <c r="T971" s="4">
        <f t="shared" si="93"/>
        <v>42775.30332175926</v>
      </c>
      <c r="U971" s="5">
        <f>VLOOKUP(currency,Tables!$A$1:$C$14,3,FALSE)*pledged</f>
        <v>644</v>
      </c>
    </row>
    <row r="972" spans="1:21" ht="43.2" x14ac:dyDescent="0.55000000000000004">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90"/>
        <v>0.4592</v>
      </c>
      <c r="P972" s="16">
        <f t="shared" si="91"/>
        <v>164</v>
      </c>
      <c r="Q972" t="str">
        <f t="shared" si="94"/>
        <v>technology</v>
      </c>
      <c r="R972" t="str">
        <f t="shared" si="95"/>
        <v>wearables</v>
      </c>
      <c r="S972" s="4">
        <f t="shared" si="92"/>
        <v>42721.220520833333</v>
      </c>
      <c r="T972" s="4">
        <f t="shared" si="93"/>
        <v>42758.207638888889</v>
      </c>
      <c r="U972" s="5">
        <f>VLOOKUP(currency,Tables!$A$1:$C$14,3,FALSE)*pledged</f>
        <v>1744.96</v>
      </c>
    </row>
    <row r="973" spans="1:21" ht="43.2" x14ac:dyDescent="0.55000000000000004">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16">
        <f t="shared" si="91"/>
        <v>45.2</v>
      </c>
      <c r="Q973" t="str">
        <f t="shared" si="94"/>
        <v>technology</v>
      </c>
      <c r="R973" t="str">
        <f t="shared" si="95"/>
        <v>wearables</v>
      </c>
      <c r="S973" s="4">
        <f t="shared" si="92"/>
        <v>42111.709027777775</v>
      </c>
      <c r="T973" s="4">
        <f t="shared" si="93"/>
        <v>42156.709027777775</v>
      </c>
      <c r="U973" s="5">
        <f>VLOOKUP(currency,Tables!$A$1:$C$14,3,FALSE)*pledged</f>
        <v>226</v>
      </c>
    </row>
    <row r="974" spans="1:21" ht="43.2" x14ac:dyDescent="0.55000000000000004">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90"/>
        <v>0.34625</v>
      </c>
      <c r="P974" s="16">
        <f t="shared" si="91"/>
        <v>153.88888888888889</v>
      </c>
      <c r="Q974" t="str">
        <f t="shared" si="94"/>
        <v>technology</v>
      </c>
      <c r="R974" t="str">
        <f t="shared" si="95"/>
        <v>wearables</v>
      </c>
      <c r="S974" s="4">
        <f t="shared" si="92"/>
        <v>41856.865717592591</v>
      </c>
      <c r="T974" s="4">
        <f t="shared" si="93"/>
        <v>41886.290972222225</v>
      </c>
      <c r="U974" s="5">
        <f>VLOOKUP(currency,Tables!$A$1:$C$14,3,FALSE)*pledged</f>
        <v>6925</v>
      </c>
    </row>
    <row r="975" spans="1:21" ht="43.2" x14ac:dyDescent="0.55000000000000004">
      <c r="A975">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16">
        <f t="shared" si="91"/>
        <v>51.375</v>
      </c>
      <c r="Q975" t="str">
        <f t="shared" si="94"/>
        <v>technology</v>
      </c>
      <c r="R975" t="str">
        <f t="shared" si="95"/>
        <v>wearables</v>
      </c>
      <c r="S975" s="4">
        <f t="shared" si="92"/>
        <v>42257.014965277776</v>
      </c>
      <c r="T975" s="4">
        <f t="shared" si="93"/>
        <v>42317.056631944448</v>
      </c>
      <c r="U975" s="5">
        <f>VLOOKUP(currency,Tables!$A$1:$C$14,3,FALSE)*pledged</f>
        <v>411</v>
      </c>
    </row>
    <row r="976" spans="1:21" ht="43.2" x14ac:dyDescent="0.55000000000000004">
      <c r="A976">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16">
        <f t="shared" si="91"/>
        <v>93.333333333333329</v>
      </c>
      <c r="Q976" t="str">
        <f t="shared" si="94"/>
        <v>technology</v>
      </c>
      <c r="R976" t="str">
        <f t="shared" si="95"/>
        <v>wearables</v>
      </c>
      <c r="S976" s="4">
        <f t="shared" si="92"/>
        <v>42424.749490740738</v>
      </c>
      <c r="T976" s="4">
        <f t="shared" si="93"/>
        <v>42454.707824074074</v>
      </c>
      <c r="U976" s="5">
        <f>VLOOKUP(currency,Tables!$A$1:$C$14,3,FALSE)*pledged</f>
        <v>280</v>
      </c>
    </row>
    <row r="977" spans="1:21" ht="43.2" x14ac:dyDescent="0.55000000000000004">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16">
        <f t="shared" si="91"/>
        <v>108.625</v>
      </c>
      <c r="Q977" t="str">
        <f t="shared" si="94"/>
        <v>technology</v>
      </c>
      <c r="R977" t="str">
        <f t="shared" si="95"/>
        <v>wearables</v>
      </c>
      <c r="S977" s="4">
        <f t="shared" si="92"/>
        <v>42489.696585648147</v>
      </c>
      <c r="T977" s="4">
        <f t="shared" si="93"/>
        <v>42549.696585648147</v>
      </c>
      <c r="U977" s="5">
        <f>VLOOKUP(currency,Tables!$A$1:$C$14,3,FALSE)*pledged</f>
        <v>2607</v>
      </c>
    </row>
    <row r="978" spans="1:21" ht="43.2" x14ac:dyDescent="0.55000000000000004">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16">
        <f t="shared" si="91"/>
        <v>160.5</v>
      </c>
      <c r="Q978" t="str">
        <f t="shared" si="94"/>
        <v>technology</v>
      </c>
      <c r="R978" t="str">
        <f t="shared" si="95"/>
        <v>wearables</v>
      </c>
      <c r="S978" s="4">
        <f t="shared" si="92"/>
        <v>42185.058993055558</v>
      </c>
      <c r="T978" s="4">
        <f t="shared" si="93"/>
        <v>42230.058993055558</v>
      </c>
      <c r="U978" s="5">
        <f>VLOOKUP(currency,Tables!$A$1:$C$14,3,FALSE)*pledged</f>
        <v>2108.9699999999998</v>
      </c>
    </row>
    <row r="979" spans="1:21" ht="43.2" x14ac:dyDescent="0.55000000000000004">
      <c r="A979">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90"/>
        <v>0.33666666666666667</v>
      </c>
      <c r="P979" s="16">
        <f t="shared" si="91"/>
        <v>75.75</v>
      </c>
      <c r="Q979" t="str">
        <f t="shared" si="94"/>
        <v>technology</v>
      </c>
      <c r="R979" t="str">
        <f t="shared" si="95"/>
        <v>wearables</v>
      </c>
      <c r="S979" s="4">
        <f t="shared" si="92"/>
        <v>42391.942094907412</v>
      </c>
      <c r="T979" s="4">
        <f t="shared" si="93"/>
        <v>42421.942094907412</v>
      </c>
      <c r="U979" s="5">
        <f>VLOOKUP(currency,Tables!$A$1:$C$14,3,FALSE)*pledged</f>
        <v>1072.6199999999999</v>
      </c>
    </row>
    <row r="980" spans="1:21" ht="43.2" x14ac:dyDescent="0.55000000000000004">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16">
        <f t="shared" si="91"/>
        <v>790.83739837398377</v>
      </c>
      <c r="Q980" t="str">
        <f t="shared" si="94"/>
        <v>technology</v>
      </c>
      <c r="R980" t="str">
        <f t="shared" si="95"/>
        <v>wearables</v>
      </c>
      <c r="S980" s="4">
        <f t="shared" si="92"/>
        <v>42395.309039351851</v>
      </c>
      <c r="T980" s="4">
        <f t="shared" si="93"/>
        <v>42425.309039351851</v>
      </c>
      <c r="U980" s="5">
        <f>VLOOKUP(currency,Tables!$A$1:$C$14,3,FALSE)*pledged</f>
        <v>10700.03</v>
      </c>
    </row>
    <row r="981" spans="1:21" ht="43.2" x14ac:dyDescent="0.55000000000000004">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16">
        <f t="shared" si="91"/>
        <v>301.93916666666667</v>
      </c>
      <c r="Q981" t="str">
        <f t="shared" si="94"/>
        <v>technology</v>
      </c>
      <c r="R981" t="str">
        <f t="shared" si="95"/>
        <v>wearables</v>
      </c>
      <c r="S981" s="4">
        <f t="shared" si="92"/>
        <v>42506.416990740734</v>
      </c>
      <c r="T981" s="4">
        <f t="shared" si="93"/>
        <v>42541.790972222225</v>
      </c>
      <c r="U981" s="5">
        <f>VLOOKUP(currency,Tables!$A$1:$C$14,3,FALSE)*pledged</f>
        <v>28986.16</v>
      </c>
    </row>
    <row r="982" spans="1:21" ht="43.2" x14ac:dyDescent="0.55000000000000004">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16">
        <f t="shared" si="91"/>
        <v>47.935483870967744</v>
      </c>
      <c r="Q982" t="str">
        <f t="shared" si="94"/>
        <v>technology</v>
      </c>
      <c r="R982" t="str">
        <f t="shared" si="95"/>
        <v>wearables</v>
      </c>
      <c r="S982" s="4">
        <f t="shared" si="92"/>
        <v>41928.904189814813</v>
      </c>
      <c r="T982" s="4">
        <f t="shared" si="93"/>
        <v>41973.945856481485</v>
      </c>
      <c r="U982" s="5">
        <f>VLOOKUP(currency,Tables!$A$1:$C$14,3,FALSE)*pledged</f>
        <v>1486</v>
      </c>
    </row>
    <row r="983" spans="1:21" ht="43.2" x14ac:dyDescent="0.55000000000000004">
      <c r="A98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90"/>
        <v>1.2375123751237513E-4</v>
      </c>
      <c r="P983" s="16">
        <f t="shared" si="91"/>
        <v>2.75</v>
      </c>
      <c r="Q983" t="str">
        <f t="shared" si="94"/>
        <v>technology</v>
      </c>
      <c r="R983" t="str">
        <f t="shared" si="95"/>
        <v>wearables</v>
      </c>
      <c r="S983" s="4">
        <f t="shared" si="92"/>
        <v>41830.947013888886</v>
      </c>
      <c r="T983" s="4">
        <f t="shared" si="93"/>
        <v>41860.947013888886</v>
      </c>
      <c r="U983" s="5">
        <f>VLOOKUP(currency,Tables!$A$1:$C$14,3,FALSE)*pledged</f>
        <v>11</v>
      </c>
    </row>
    <row r="984" spans="1:21" ht="28.8" x14ac:dyDescent="0.55000000000000004">
      <c r="A984">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90"/>
        <v>1.7142857142857143E-4</v>
      </c>
      <c r="P984" s="16">
        <f t="shared" si="91"/>
        <v>1</v>
      </c>
      <c r="Q984" t="str">
        <f t="shared" si="94"/>
        <v>technology</v>
      </c>
      <c r="R984" t="str">
        <f t="shared" si="95"/>
        <v>wearables</v>
      </c>
      <c r="S984" s="4">
        <f t="shared" si="92"/>
        <v>42615.753310185188</v>
      </c>
      <c r="T984" s="4">
        <f t="shared" si="93"/>
        <v>42645.753310185188</v>
      </c>
      <c r="U984" s="5">
        <f>VLOOKUP(currency,Tables!$A$1:$C$14,3,FALSE)*pledged</f>
        <v>3</v>
      </c>
    </row>
    <row r="985" spans="1:21" ht="57.6" x14ac:dyDescent="0.55000000000000004">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16">
        <f t="shared" si="91"/>
        <v>171.79329608938548</v>
      </c>
      <c r="Q985" t="str">
        <f t="shared" si="94"/>
        <v>technology</v>
      </c>
      <c r="R985" t="str">
        <f t="shared" si="95"/>
        <v>wearables</v>
      </c>
      <c r="S985" s="4">
        <f t="shared" si="92"/>
        <v>42574.667650462965</v>
      </c>
      <c r="T985" s="4">
        <f t="shared" si="93"/>
        <v>42605.870833333334</v>
      </c>
      <c r="U985" s="5">
        <f>VLOOKUP(currency,Tables!$A$1:$C$14,3,FALSE)*pledged</f>
        <v>36286.18</v>
      </c>
    </row>
    <row r="986" spans="1:21" ht="72" x14ac:dyDescent="0.55000000000000004">
      <c r="A986">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90"/>
        <v>1.06E-2</v>
      </c>
      <c r="P986" s="16">
        <f t="shared" si="91"/>
        <v>35.333333333333336</v>
      </c>
      <c r="Q986" t="str">
        <f t="shared" si="94"/>
        <v>technology</v>
      </c>
      <c r="R986" t="str">
        <f t="shared" si="95"/>
        <v>wearables</v>
      </c>
      <c r="S986" s="4">
        <f t="shared" si="92"/>
        <v>42061.11583333333</v>
      </c>
      <c r="T986" s="4">
        <f t="shared" si="93"/>
        <v>42091.074166666673</v>
      </c>
      <c r="U986" s="5">
        <f>VLOOKUP(currency,Tables!$A$1:$C$14,3,FALSE)*pledged</f>
        <v>106</v>
      </c>
    </row>
    <row r="987" spans="1:21" ht="43.2" x14ac:dyDescent="0.55000000000000004">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16">
        <f t="shared" si="91"/>
        <v>82.086956521739125</v>
      </c>
      <c r="Q987" t="str">
        <f t="shared" si="94"/>
        <v>technology</v>
      </c>
      <c r="R987" t="str">
        <f t="shared" si="95"/>
        <v>wearables</v>
      </c>
      <c r="S987" s="4">
        <f t="shared" si="92"/>
        <v>42339.967708333337</v>
      </c>
      <c r="T987" s="4">
        <f t="shared" si="93"/>
        <v>42369.958333333328</v>
      </c>
      <c r="U987" s="5">
        <f>VLOOKUP(currency,Tables!$A$1:$C$14,3,FALSE)*pledged</f>
        <v>2227.8399999999997</v>
      </c>
    </row>
    <row r="988" spans="1:21" ht="43.2" x14ac:dyDescent="0.55000000000000004">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90"/>
        <v>0.1275</v>
      </c>
      <c r="P988" s="16">
        <f t="shared" si="91"/>
        <v>110.8695652173913</v>
      </c>
      <c r="Q988" t="str">
        <f t="shared" si="94"/>
        <v>technology</v>
      </c>
      <c r="R988" t="str">
        <f t="shared" si="95"/>
        <v>wearables</v>
      </c>
      <c r="S988" s="4">
        <f t="shared" si="92"/>
        <v>42324.767361111109</v>
      </c>
      <c r="T988" s="4">
        <f t="shared" si="93"/>
        <v>42379</v>
      </c>
      <c r="U988" s="5">
        <f>VLOOKUP(currency,Tables!$A$1:$C$14,3,FALSE)*pledged</f>
        <v>3366</v>
      </c>
    </row>
    <row r="989" spans="1:21" ht="43.2" x14ac:dyDescent="0.55000000000000004">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16">
        <f t="shared" si="91"/>
        <v>161.21951219512195</v>
      </c>
      <c r="Q989" t="str">
        <f t="shared" si="94"/>
        <v>technology</v>
      </c>
      <c r="R989" t="str">
        <f t="shared" si="95"/>
        <v>wearables</v>
      </c>
      <c r="S989" s="4">
        <f t="shared" si="92"/>
        <v>41773.294560185182</v>
      </c>
      <c r="T989" s="4">
        <f t="shared" si="93"/>
        <v>41813.294560185182</v>
      </c>
      <c r="U989" s="5">
        <f>VLOOKUP(currency,Tables!$A$1:$C$14,3,FALSE)*pledged</f>
        <v>7799.7999999999993</v>
      </c>
    </row>
    <row r="990" spans="1:21" ht="57.6" x14ac:dyDescent="0.55000000000000004">
      <c r="A990">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90"/>
        <v>0</v>
      </c>
      <c r="P990" s="16">
        <f t="shared" si="91"/>
        <v>0</v>
      </c>
      <c r="Q990" t="str">
        <f t="shared" si="94"/>
        <v>technology</v>
      </c>
      <c r="R990" t="str">
        <f t="shared" si="95"/>
        <v>wearables</v>
      </c>
      <c r="S990" s="4">
        <f t="shared" si="92"/>
        <v>42614.356770833328</v>
      </c>
      <c r="T990" s="4">
        <f t="shared" si="93"/>
        <v>42644.356770833328</v>
      </c>
      <c r="U990" s="5">
        <f>VLOOKUP(currency,Tables!$A$1:$C$14,3,FALSE)*pledged</f>
        <v>0</v>
      </c>
    </row>
    <row r="991" spans="1:21" x14ac:dyDescent="0.55000000000000004">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16">
        <f t="shared" si="91"/>
        <v>52.40625</v>
      </c>
      <c r="Q991" t="str">
        <f t="shared" si="94"/>
        <v>technology</v>
      </c>
      <c r="R991" t="str">
        <f t="shared" si="95"/>
        <v>wearables</v>
      </c>
      <c r="S991" s="4">
        <f t="shared" si="92"/>
        <v>42611.933969907404</v>
      </c>
      <c r="T991" s="4">
        <f t="shared" si="93"/>
        <v>42641.933969907404</v>
      </c>
      <c r="U991" s="5">
        <f>VLOOKUP(currency,Tables!$A$1:$C$14,3,FALSE)*pledged</f>
        <v>1677</v>
      </c>
    </row>
    <row r="992" spans="1:21" ht="43.2" x14ac:dyDescent="0.55000000000000004">
      <c r="A992">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90"/>
        <v>1.0399999999999999E-3</v>
      </c>
      <c r="P992" s="16">
        <f t="shared" si="91"/>
        <v>13</v>
      </c>
      <c r="Q992" t="str">
        <f t="shared" si="94"/>
        <v>technology</v>
      </c>
      <c r="R992" t="str">
        <f t="shared" si="95"/>
        <v>wearables</v>
      </c>
      <c r="S992" s="4">
        <f t="shared" si="92"/>
        <v>41855.784305555557</v>
      </c>
      <c r="T992" s="4">
        <f t="shared" si="93"/>
        <v>41885.784305555557</v>
      </c>
      <c r="U992" s="5">
        <f>VLOOKUP(currency,Tables!$A$1:$C$14,3,FALSE)*pledged</f>
        <v>26</v>
      </c>
    </row>
    <row r="993" spans="1:21" ht="72" x14ac:dyDescent="0.55000000000000004">
      <c r="A99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90"/>
        <v>4.24E-2</v>
      </c>
      <c r="P993" s="16">
        <f t="shared" si="91"/>
        <v>30.285714285714285</v>
      </c>
      <c r="Q993" t="str">
        <f t="shared" si="94"/>
        <v>technology</v>
      </c>
      <c r="R993" t="str">
        <f t="shared" si="95"/>
        <v>wearables</v>
      </c>
      <c r="S993" s="4">
        <f t="shared" si="92"/>
        <v>42538.75680555556</v>
      </c>
      <c r="T993" s="4">
        <f t="shared" si="93"/>
        <v>42563.785416666666</v>
      </c>
      <c r="U993" s="5">
        <f>VLOOKUP(currency,Tables!$A$1:$C$14,3,FALSE)*pledged</f>
        <v>279.84000000000003</v>
      </c>
    </row>
    <row r="994" spans="1:21" ht="43.2" x14ac:dyDescent="0.55000000000000004">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16">
        <f t="shared" si="91"/>
        <v>116.75</v>
      </c>
      <c r="Q994" t="str">
        <f t="shared" si="94"/>
        <v>technology</v>
      </c>
      <c r="R994" t="str">
        <f t="shared" si="95"/>
        <v>wearables</v>
      </c>
      <c r="S994" s="4">
        <f t="shared" si="92"/>
        <v>42437.924988425926</v>
      </c>
      <c r="T994" s="4">
        <f t="shared" si="93"/>
        <v>42497.883321759262</v>
      </c>
      <c r="U994" s="5">
        <f>VLOOKUP(currency,Tables!$A$1:$C$14,3,FALSE)*pledged</f>
        <v>467</v>
      </c>
    </row>
    <row r="995" spans="1:21" ht="43.2" x14ac:dyDescent="0.55000000000000004">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16">
        <f t="shared" si="91"/>
        <v>89.59693877551021</v>
      </c>
      <c r="Q995" t="str">
        <f t="shared" si="94"/>
        <v>technology</v>
      </c>
      <c r="R995" t="str">
        <f t="shared" si="95"/>
        <v>wearables</v>
      </c>
      <c r="S995" s="4">
        <f t="shared" si="92"/>
        <v>42652.964907407411</v>
      </c>
      <c r="T995" s="4">
        <f t="shared" si="93"/>
        <v>42686.208333333328</v>
      </c>
      <c r="U995" s="5">
        <f>VLOOKUP(currency,Tables!$A$1:$C$14,3,FALSE)*pledged</f>
        <v>17561</v>
      </c>
    </row>
    <row r="996" spans="1:21" ht="57.6" x14ac:dyDescent="0.55000000000000004">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16">
        <f t="shared" si="91"/>
        <v>424.45454545454544</v>
      </c>
      <c r="Q996" t="str">
        <f t="shared" si="94"/>
        <v>technology</v>
      </c>
      <c r="R996" t="str">
        <f t="shared" si="95"/>
        <v>wearables</v>
      </c>
      <c r="S996" s="4">
        <f t="shared" si="92"/>
        <v>41921.263078703705</v>
      </c>
      <c r="T996" s="4">
        <f t="shared" si="93"/>
        <v>41973.957638888889</v>
      </c>
      <c r="U996" s="5">
        <f>VLOOKUP(currency,Tables!$A$1:$C$14,3,FALSE)*pledged</f>
        <v>4669</v>
      </c>
    </row>
    <row r="997" spans="1:21" ht="43.2" x14ac:dyDescent="0.55000000000000004">
      <c r="A997">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16">
        <f t="shared" si="91"/>
        <v>80.666666666666671</v>
      </c>
      <c r="Q997" t="str">
        <f t="shared" si="94"/>
        <v>technology</v>
      </c>
      <c r="R997" t="str">
        <f t="shared" si="95"/>
        <v>wearables</v>
      </c>
      <c r="S997" s="4">
        <f t="shared" si="92"/>
        <v>41947.940740740742</v>
      </c>
      <c r="T997" s="4">
        <f t="shared" si="93"/>
        <v>41972.666666666672</v>
      </c>
      <c r="U997" s="5">
        <f>VLOOKUP(currency,Tables!$A$1:$C$14,3,FALSE)*pledged</f>
        <v>726</v>
      </c>
    </row>
    <row r="998" spans="1:21" ht="28.8" x14ac:dyDescent="0.55000000000000004">
      <c r="A998">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90"/>
        <v>1.6250000000000001E-2</v>
      </c>
      <c r="P998" s="16">
        <f t="shared" si="91"/>
        <v>13</v>
      </c>
      <c r="Q998" t="str">
        <f t="shared" si="94"/>
        <v>technology</v>
      </c>
      <c r="R998" t="str">
        <f t="shared" si="95"/>
        <v>wearables</v>
      </c>
      <c r="S998" s="4">
        <f t="shared" si="92"/>
        <v>41817.866435185184</v>
      </c>
      <c r="T998" s="4">
        <f t="shared" si="93"/>
        <v>41847.643750000003</v>
      </c>
      <c r="U998" s="5">
        <f>VLOOKUP(currency,Tables!$A$1:$C$14,3,FALSE)*pledged</f>
        <v>65</v>
      </c>
    </row>
    <row r="999" spans="1:21" ht="28.8" x14ac:dyDescent="0.55000000000000004">
      <c r="A999">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90"/>
        <v>1.2999999999999999E-2</v>
      </c>
      <c r="P999" s="16">
        <f t="shared" si="91"/>
        <v>8.125</v>
      </c>
      <c r="Q999" t="str">
        <f t="shared" si="94"/>
        <v>technology</v>
      </c>
      <c r="R999" t="str">
        <f t="shared" si="95"/>
        <v>wearables</v>
      </c>
      <c r="S999" s="4">
        <f t="shared" si="92"/>
        <v>41941.10297453704</v>
      </c>
      <c r="T999" s="4">
        <f t="shared" si="93"/>
        <v>41971.144641203704</v>
      </c>
      <c r="U999" s="5">
        <f>VLOOKUP(currency,Tables!$A$1:$C$14,3,FALSE)*pledged</f>
        <v>65</v>
      </c>
    </row>
    <row r="1000" spans="1:21" ht="43.2" x14ac:dyDescent="0.55000000000000004">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16">
        <f t="shared" si="91"/>
        <v>153.42794759825327</v>
      </c>
      <c r="Q1000" t="str">
        <f t="shared" si="94"/>
        <v>technology</v>
      </c>
      <c r="R1000" t="str">
        <f t="shared" si="95"/>
        <v>wearables</v>
      </c>
      <c r="S1000" s="4">
        <f t="shared" si="92"/>
        <v>42282.168993055559</v>
      </c>
      <c r="T1000" s="4">
        <f t="shared" si="93"/>
        <v>42327.210659722223</v>
      </c>
      <c r="U1000" s="5">
        <f>VLOOKUP(currency,Tables!$A$1:$C$14,3,FALSE)*pledged</f>
        <v>26702.6</v>
      </c>
    </row>
    <row r="1001" spans="1:21" ht="43.2" x14ac:dyDescent="0.55000000000000004">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16">
        <f t="shared" si="91"/>
        <v>292.07499999999999</v>
      </c>
      <c r="Q1001" t="str">
        <f t="shared" si="94"/>
        <v>technology</v>
      </c>
      <c r="R1001" t="str">
        <f t="shared" si="95"/>
        <v>wearables</v>
      </c>
      <c r="S1001" s="4">
        <f t="shared" si="92"/>
        <v>41926.29965277778</v>
      </c>
      <c r="T1001" s="4">
        <f t="shared" si="93"/>
        <v>41956.334722222222</v>
      </c>
      <c r="U1001" s="5">
        <f>VLOOKUP(currency,Tables!$A$1:$C$14,3,FALSE)*pledged</f>
        <v>8879.08</v>
      </c>
    </row>
    <row r="1002" spans="1:21" ht="43.2" x14ac:dyDescent="0.55000000000000004">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16">
        <f t="shared" si="91"/>
        <v>3304</v>
      </c>
      <c r="Q1002" t="str">
        <f t="shared" si="94"/>
        <v>technology</v>
      </c>
      <c r="R1002" t="str">
        <f t="shared" si="95"/>
        <v>wearables</v>
      </c>
      <c r="S1002" s="4">
        <f t="shared" si="92"/>
        <v>42749.059722222228</v>
      </c>
      <c r="T1002" s="4">
        <f t="shared" si="93"/>
        <v>42809.018055555556</v>
      </c>
      <c r="U1002" s="5">
        <f>VLOOKUP(currency,Tables!$A$1:$C$14,3,FALSE)*pledged</f>
        <v>19824</v>
      </c>
    </row>
    <row r="1003" spans="1:21" ht="43.2" x14ac:dyDescent="0.55000000000000004">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90"/>
        <v>1.04</v>
      </c>
      <c r="P1003" s="16">
        <f t="shared" si="91"/>
        <v>1300</v>
      </c>
      <c r="Q1003" t="str">
        <f t="shared" si="94"/>
        <v>technology</v>
      </c>
      <c r="R1003" t="str">
        <f t="shared" si="95"/>
        <v>wearables</v>
      </c>
      <c r="S1003" s="4">
        <f t="shared" si="92"/>
        <v>42720.720057870371</v>
      </c>
      <c r="T1003" s="4">
        <f t="shared" si="93"/>
        <v>42765.720057870371</v>
      </c>
      <c r="U1003" s="5">
        <f>VLOOKUP(currency,Tables!$A$1:$C$14,3,FALSE)*pledged</f>
        <v>6864</v>
      </c>
    </row>
    <row r="1004" spans="1:21" ht="43.2" x14ac:dyDescent="0.55000000000000004">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16">
        <f t="shared" si="91"/>
        <v>134.54545454545453</v>
      </c>
      <c r="Q1004" t="str">
        <f t="shared" si="94"/>
        <v>technology</v>
      </c>
      <c r="R1004" t="str">
        <f t="shared" si="95"/>
        <v>wearables</v>
      </c>
      <c r="S1004" s="4">
        <f t="shared" si="92"/>
        <v>42325.684189814812</v>
      </c>
      <c r="T1004" s="4">
        <f t="shared" si="93"/>
        <v>42355.249305555553</v>
      </c>
      <c r="U1004" s="5">
        <f>VLOOKUP(currency,Tables!$A$1:$C$14,3,FALSE)*pledged</f>
        <v>2960</v>
      </c>
    </row>
    <row r="1005" spans="1:21" ht="43.2" x14ac:dyDescent="0.55000000000000004">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16">
        <f t="shared" si="91"/>
        <v>214.06666666666666</v>
      </c>
      <c r="Q1005" t="str">
        <f t="shared" si="94"/>
        <v>technology</v>
      </c>
      <c r="R1005" t="str">
        <f t="shared" si="95"/>
        <v>wearables</v>
      </c>
      <c r="S1005" s="4">
        <f t="shared" si="92"/>
        <v>42780.709039351852</v>
      </c>
      <c r="T1005" s="4">
        <f t="shared" si="93"/>
        <v>42810.667372685188</v>
      </c>
      <c r="U1005" s="5">
        <f>VLOOKUP(currency,Tables!$A$1:$C$14,3,FALSE)*pledged</f>
        <v>3788.98</v>
      </c>
    </row>
    <row r="1006" spans="1:21" ht="28.8" x14ac:dyDescent="0.55000000000000004">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16">
        <f t="shared" si="91"/>
        <v>216.33684210526314</v>
      </c>
      <c r="Q1006" t="str">
        <f t="shared" si="94"/>
        <v>technology</v>
      </c>
      <c r="R1006" t="str">
        <f t="shared" si="95"/>
        <v>wearables</v>
      </c>
      <c r="S1006" s="4">
        <f t="shared" si="92"/>
        <v>42388.708645833336</v>
      </c>
      <c r="T1006" s="4">
        <f t="shared" si="93"/>
        <v>42418.708645833336</v>
      </c>
      <c r="U1006" s="5">
        <f>VLOOKUP(currency,Tables!$A$1:$C$14,3,FALSE)*pledged</f>
        <v>20552</v>
      </c>
    </row>
    <row r="1007" spans="1:21" ht="28.8" x14ac:dyDescent="0.55000000000000004">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16">
        <f t="shared" si="91"/>
        <v>932.31055900621118</v>
      </c>
      <c r="Q1007" t="str">
        <f t="shared" si="94"/>
        <v>technology</v>
      </c>
      <c r="R1007" t="str">
        <f t="shared" si="95"/>
        <v>wearables</v>
      </c>
      <c r="S1007" s="4">
        <f t="shared" si="92"/>
        <v>42276.624803240738</v>
      </c>
      <c r="T1007" s="4">
        <f t="shared" si="93"/>
        <v>42307.624803240738</v>
      </c>
      <c r="U1007" s="5">
        <f>VLOOKUP(currency,Tables!$A$1:$C$14,3,FALSE)*pledged</f>
        <v>150102</v>
      </c>
    </row>
    <row r="1008" spans="1:21" ht="43.2" x14ac:dyDescent="0.55000000000000004">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16">
        <f t="shared" si="91"/>
        <v>29.25</v>
      </c>
      <c r="Q1008" t="str">
        <f t="shared" si="94"/>
        <v>technology</v>
      </c>
      <c r="R1008" t="str">
        <f t="shared" si="95"/>
        <v>wearables</v>
      </c>
      <c r="S1008" s="4">
        <f t="shared" si="92"/>
        <v>41977.040185185186</v>
      </c>
      <c r="T1008" s="4">
        <f t="shared" si="93"/>
        <v>41985.299305555556</v>
      </c>
      <c r="U1008" s="5">
        <f>VLOOKUP(currency,Tables!$A$1:$C$14,3,FALSE)*pledged</f>
        <v>234</v>
      </c>
    </row>
    <row r="1009" spans="1:21" ht="43.2" x14ac:dyDescent="0.55000000000000004">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16">
        <f t="shared" si="91"/>
        <v>174.94736842105263</v>
      </c>
      <c r="Q1009" t="str">
        <f t="shared" si="94"/>
        <v>technology</v>
      </c>
      <c r="R1009" t="str">
        <f t="shared" si="95"/>
        <v>wearables</v>
      </c>
      <c r="S1009" s="4">
        <f t="shared" si="92"/>
        <v>42676.583599537036</v>
      </c>
      <c r="T1009" s="4">
        <f t="shared" si="93"/>
        <v>42718.6252662037</v>
      </c>
      <c r="U1009" s="5">
        <f>VLOOKUP(currency,Tables!$A$1:$C$14,3,FALSE)*pledged</f>
        <v>13296</v>
      </c>
    </row>
    <row r="1010" spans="1:21" ht="43.2" x14ac:dyDescent="0.55000000000000004">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16">
        <f t="shared" si="91"/>
        <v>250</v>
      </c>
      <c r="Q1010" t="str">
        <f t="shared" si="94"/>
        <v>technology</v>
      </c>
      <c r="R1010" t="str">
        <f t="shared" si="95"/>
        <v>wearables</v>
      </c>
      <c r="S1010" s="4">
        <f t="shared" si="92"/>
        <v>42702.809201388889</v>
      </c>
      <c r="T1010" s="4">
        <f t="shared" si="93"/>
        <v>42732.809201388889</v>
      </c>
      <c r="U1010" s="5">
        <f>VLOOKUP(currency,Tables!$A$1:$C$14,3,FALSE)*pledged</f>
        <v>11.5</v>
      </c>
    </row>
    <row r="1011" spans="1:21" ht="43.2" x14ac:dyDescent="0.55000000000000004">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16">
        <f t="shared" si="91"/>
        <v>65</v>
      </c>
      <c r="Q1011" t="str">
        <f t="shared" si="94"/>
        <v>technology</v>
      </c>
      <c r="R1011" t="str">
        <f t="shared" si="95"/>
        <v>wearables</v>
      </c>
      <c r="S1011" s="4">
        <f t="shared" si="92"/>
        <v>42510.604699074072</v>
      </c>
      <c r="T1011" s="4">
        <f t="shared" si="93"/>
        <v>42540.604699074072</v>
      </c>
      <c r="U1011" s="5">
        <f>VLOOKUP(currency,Tables!$A$1:$C$14,3,FALSE)*pledged</f>
        <v>6565</v>
      </c>
    </row>
    <row r="1012" spans="1:21" ht="43.2" x14ac:dyDescent="0.55000000000000004">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16">
        <f t="shared" si="91"/>
        <v>55</v>
      </c>
      <c r="Q1012" t="str">
        <f t="shared" si="94"/>
        <v>technology</v>
      </c>
      <c r="R1012" t="str">
        <f t="shared" si="95"/>
        <v>wearables</v>
      </c>
      <c r="S1012" s="4">
        <f t="shared" si="92"/>
        <v>42561.829421296294</v>
      </c>
      <c r="T1012" s="4">
        <f t="shared" si="93"/>
        <v>42618.124305555553</v>
      </c>
      <c r="U1012" s="5">
        <f>VLOOKUP(currency,Tables!$A$1:$C$14,3,FALSE)*pledged</f>
        <v>220</v>
      </c>
    </row>
    <row r="1013" spans="1:21" ht="43.2" x14ac:dyDescent="0.55000000000000004">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16">
        <f t="shared" si="91"/>
        <v>75</v>
      </c>
      <c r="Q1013" t="str">
        <f t="shared" si="94"/>
        <v>technology</v>
      </c>
      <c r="R1013" t="str">
        <f t="shared" si="95"/>
        <v>wearables</v>
      </c>
      <c r="S1013" s="4">
        <f t="shared" si="92"/>
        <v>41946.898090277777</v>
      </c>
      <c r="T1013" s="4">
        <f t="shared" si="93"/>
        <v>41991.898090277777</v>
      </c>
      <c r="U1013" s="5">
        <f>VLOOKUP(currency,Tables!$A$1:$C$14,3,FALSE)*pledged</f>
        <v>75</v>
      </c>
    </row>
    <row r="1014" spans="1:21" ht="57.6" x14ac:dyDescent="0.55000000000000004">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16">
        <f t="shared" si="91"/>
        <v>1389.3561935483872</v>
      </c>
      <c r="Q1014" t="str">
        <f t="shared" si="94"/>
        <v>technology</v>
      </c>
      <c r="R1014" t="str">
        <f t="shared" si="95"/>
        <v>wearables</v>
      </c>
      <c r="S1014" s="4">
        <f t="shared" si="92"/>
        <v>42714.440416666665</v>
      </c>
      <c r="T1014" s="4">
        <f t="shared" si="93"/>
        <v>42759.440416666665</v>
      </c>
      <c r="U1014" s="5">
        <f>VLOOKUP(currency,Tables!$A$1:$C$14,3,FALSE)*pledged</f>
        <v>1076751.05</v>
      </c>
    </row>
    <row r="1015" spans="1:21" ht="43.2" x14ac:dyDescent="0.55000000000000004">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16">
        <f t="shared" si="91"/>
        <v>95.911111111111111</v>
      </c>
      <c r="Q1015" t="str">
        <f t="shared" si="94"/>
        <v>technology</v>
      </c>
      <c r="R1015" t="str">
        <f t="shared" si="95"/>
        <v>wearables</v>
      </c>
      <c r="S1015" s="4">
        <f t="shared" si="92"/>
        <v>42339.833981481483</v>
      </c>
      <c r="T1015" s="4">
        <f t="shared" si="93"/>
        <v>42367.833333333328</v>
      </c>
      <c r="U1015" s="5">
        <f>VLOOKUP(currency,Tables!$A$1:$C$14,3,FALSE)*pledged</f>
        <v>8632</v>
      </c>
    </row>
    <row r="1016" spans="1:21" ht="28.8" x14ac:dyDescent="0.55000000000000004">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16">
        <f t="shared" si="91"/>
        <v>191.25</v>
      </c>
      <c r="Q1016" t="str">
        <f t="shared" si="94"/>
        <v>technology</v>
      </c>
      <c r="R1016" t="str">
        <f t="shared" si="95"/>
        <v>wearables</v>
      </c>
      <c r="S1016" s="4">
        <f t="shared" si="92"/>
        <v>41955.002488425926</v>
      </c>
      <c r="T1016" s="4">
        <f t="shared" si="93"/>
        <v>42005.002488425926</v>
      </c>
      <c r="U1016" s="5">
        <f>VLOOKUP(currency,Tables!$A$1:$C$14,3,FALSE)*pledged</f>
        <v>3060</v>
      </c>
    </row>
    <row r="1017" spans="1:21" ht="28.8" x14ac:dyDescent="0.55000000000000004">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16">
        <f t="shared" si="91"/>
        <v>40</v>
      </c>
      <c r="Q1017" t="str">
        <f t="shared" si="94"/>
        <v>technology</v>
      </c>
      <c r="R1017" t="str">
        <f t="shared" si="95"/>
        <v>wearables</v>
      </c>
      <c r="S1017" s="4">
        <f t="shared" si="92"/>
        <v>42303.878414351857</v>
      </c>
      <c r="T1017" s="4">
        <f t="shared" si="93"/>
        <v>42333.920081018514</v>
      </c>
      <c r="U1017" s="5">
        <f>VLOOKUP(currency,Tables!$A$1:$C$14,3,FALSE)*pledged</f>
        <v>220.8</v>
      </c>
    </row>
    <row r="1018" spans="1:21" ht="43.2" x14ac:dyDescent="0.55000000000000004">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16">
        <f t="shared" si="91"/>
        <v>74.78947368421052</v>
      </c>
      <c r="Q1018" t="str">
        <f t="shared" si="94"/>
        <v>technology</v>
      </c>
      <c r="R1018" t="str">
        <f t="shared" si="95"/>
        <v>wearables</v>
      </c>
      <c r="S1018" s="4">
        <f t="shared" si="92"/>
        <v>42422.107129629629</v>
      </c>
      <c r="T1018" s="4">
        <f t="shared" si="93"/>
        <v>42467.065462962957</v>
      </c>
      <c r="U1018" s="5">
        <f>VLOOKUP(currency,Tables!$A$1:$C$14,3,FALSE)*pledged</f>
        <v>2842</v>
      </c>
    </row>
    <row r="1019" spans="1:21" ht="43.2" x14ac:dyDescent="0.55000000000000004">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16">
        <f t="shared" si="91"/>
        <v>161.11830985915492</v>
      </c>
      <c r="Q1019" t="str">
        <f t="shared" si="94"/>
        <v>technology</v>
      </c>
      <c r="R1019" t="str">
        <f t="shared" si="95"/>
        <v>wearables</v>
      </c>
      <c r="S1019" s="4">
        <f t="shared" si="92"/>
        <v>42289.675173611111</v>
      </c>
      <c r="T1019" s="4">
        <f t="shared" si="93"/>
        <v>42329.716840277775</v>
      </c>
      <c r="U1019" s="5">
        <f>VLOOKUP(currency,Tables!$A$1:$C$14,3,FALSE)*pledged</f>
        <v>57197</v>
      </c>
    </row>
    <row r="1020" spans="1:21" ht="43.2" x14ac:dyDescent="0.55000000000000004">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16">
        <f t="shared" si="91"/>
        <v>88.714285714285708</v>
      </c>
      <c r="Q1020" t="str">
        <f t="shared" si="94"/>
        <v>technology</v>
      </c>
      <c r="R1020" t="str">
        <f t="shared" si="95"/>
        <v>wearables</v>
      </c>
      <c r="S1020" s="4">
        <f t="shared" si="92"/>
        <v>42535.492280092592</v>
      </c>
      <c r="T1020" s="4">
        <f t="shared" si="93"/>
        <v>42565.492280092592</v>
      </c>
      <c r="U1020" s="5">
        <f>VLOOKUP(currency,Tables!$A$1:$C$14,3,FALSE)*pledged</f>
        <v>621</v>
      </c>
    </row>
    <row r="1021" spans="1:21" ht="28.8" x14ac:dyDescent="0.55000000000000004">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16">
        <f t="shared" si="91"/>
        <v>53.25</v>
      </c>
      <c r="Q1021" t="str">
        <f t="shared" si="94"/>
        <v>technology</v>
      </c>
      <c r="R1021" t="str">
        <f t="shared" si="95"/>
        <v>wearables</v>
      </c>
      <c r="S1021" s="4">
        <f t="shared" si="92"/>
        <v>42009.973946759259</v>
      </c>
      <c r="T1021" s="4">
        <f t="shared" si="93"/>
        <v>42039.973946759259</v>
      </c>
      <c r="U1021" s="5">
        <f>VLOOKUP(currency,Tables!$A$1:$C$14,3,FALSE)*pledged</f>
        <v>21300</v>
      </c>
    </row>
    <row r="1022" spans="1:21" ht="43.2" x14ac:dyDescent="0.55000000000000004">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16">
        <f t="shared" si="91"/>
        <v>106.2</v>
      </c>
      <c r="Q1022" t="str">
        <f t="shared" si="94"/>
        <v>music</v>
      </c>
      <c r="R1022" t="str">
        <f t="shared" si="95"/>
        <v>electronic music</v>
      </c>
      <c r="S1022" s="4">
        <f t="shared" si="92"/>
        <v>42127.069548611107</v>
      </c>
      <c r="T1022" s="4">
        <f t="shared" si="93"/>
        <v>42157.032638888893</v>
      </c>
      <c r="U1022" s="5">
        <f>VLOOKUP(currency,Tables!$A$1:$C$14,3,FALSE)*pledged</f>
        <v>2421.36</v>
      </c>
    </row>
    <row r="1023" spans="1:21" ht="43.2" x14ac:dyDescent="0.55000000000000004">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16">
        <f t="shared" si="91"/>
        <v>22.079728033472804</v>
      </c>
      <c r="Q1023" t="str">
        <f t="shared" si="94"/>
        <v>music</v>
      </c>
      <c r="R1023" t="str">
        <f t="shared" si="95"/>
        <v>electronic music</v>
      </c>
      <c r="S1023" s="4">
        <f t="shared" si="92"/>
        <v>42271.251979166671</v>
      </c>
      <c r="T1023" s="4">
        <f t="shared" si="93"/>
        <v>42294.166666666672</v>
      </c>
      <c r="U1023" s="5">
        <f>VLOOKUP(currency,Tables!$A$1:$C$14,3,FALSE)*pledged</f>
        <v>10554.11</v>
      </c>
    </row>
    <row r="1024" spans="1:21" ht="28.8" x14ac:dyDescent="0.55000000000000004">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90"/>
        <v>1.149</v>
      </c>
      <c r="P1024" s="16">
        <f t="shared" si="91"/>
        <v>31.054054054054053</v>
      </c>
      <c r="Q1024" t="str">
        <f t="shared" si="94"/>
        <v>music</v>
      </c>
      <c r="R1024" t="str">
        <f t="shared" si="95"/>
        <v>electronic music</v>
      </c>
      <c r="S1024" s="4">
        <f t="shared" si="92"/>
        <v>42111.646724537044</v>
      </c>
      <c r="T1024" s="4">
        <f t="shared" si="93"/>
        <v>42141.646724537044</v>
      </c>
      <c r="U1024" s="5">
        <f>VLOOKUP(currency,Tables!$A$1:$C$14,3,FALSE)*pledged</f>
        <v>2298</v>
      </c>
    </row>
    <row r="1025" spans="1:21" ht="43.2" x14ac:dyDescent="0.55000000000000004">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16">
        <f t="shared" si="91"/>
        <v>36.206106870229007</v>
      </c>
      <c r="Q1025" t="str">
        <f t="shared" si="94"/>
        <v>music</v>
      </c>
      <c r="R1025" t="str">
        <f t="shared" si="95"/>
        <v>electronic music</v>
      </c>
      <c r="S1025" s="4">
        <f t="shared" si="92"/>
        <v>42145.919687500005</v>
      </c>
      <c r="T1025" s="4">
        <f t="shared" si="93"/>
        <v>42175.919687500005</v>
      </c>
      <c r="U1025" s="5">
        <f>VLOOKUP(currency,Tables!$A$1:$C$14,3,FALSE)*pledged</f>
        <v>6260.76</v>
      </c>
    </row>
    <row r="1026" spans="1:21" ht="43.2" x14ac:dyDescent="0.55000000000000004">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ref="O1026:O1089" si="96">pledged/goal</f>
        <v>1.1863774999999999</v>
      </c>
      <c r="P1026" s="16">
        <f t="shared" ref="P1026:P1089" si="97">IF(pledged=0,0,pledged/backers_count)</f>
        <v>388.9762295081967</v>
      </c>
      <c r="Q1026" t="str">
        <f t="shared" si="94"/>
        <v>music</v>
      </c>
      <c r="R1026" t="str">
        <f t="shared" si="95"/>
        <v>electronic music</v>
      </c>
      <c r="S1026" s="4">
        <f t="shared" ref="S1026:S1089" si="98">(((Unix_launched_date/60)/60)/24)+DATE(1970,1,1)</f>
        <v>42370.580590277779</v>
      </c>
      <c r="T1026" s="4">
        <f t="shared" ref="T1026:T1089" si="99">(((Unix_deadline/60)/60)/24)+DATE(1970,1,1)</f>
        <v>42400.580590277779</v>
      </c>
      <c r="U1026" s="5">
        <f>VLOOKUP(currency,Tables!$A$1:$C$14,3,FALSE)*pledged</f>
        <v>2610.0304999999998</v>
      </c>
    </row>
    <row r="1027" spans="1:21" ht="28.8" x14ac:dyDescent="0.55000000000000004">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si="96"/>
        <v>1.099283142857143</v>
      </c>
      <c r="P1027" s="16">
        <f t="shared" si="97"/>
        <v>71.848571428571432</v>
      </c>
      <c r="Q1027" t="str">
        <f t="shared" ref="Q1027:Q1090" si="100">LEFT(N1027,FIND("/",N1027,1)-1)</f>
        <v>music</v>
      </c>
      <c r="R1027" t="str">
        <f t="shared" ref="R1027:R1090" si="101">RIGHT(N1027,(LEN(N1027)-FIND("/",N1027,1)))</f>
        <v>electronic music</v>
      </c>
      <c r="S1027" s="4">
        <f t="shared" si="98"/>
        <v>42049.833761574075</v>
      </c>
      <c r="T1027" s="4">
        <f t="shared" si="99"/>
        <v>42079.792094907403</v>
      </c>
      <c r="U1027" s="5">
        <f>VLOOKUP(currency,Tables!$A$1:$C$14,3,FALSE)*pledged</f>
        <v>76949.820000000007</v>
      </c>
    </row>
    <row r="1028" spans="1:21" ht="43.2" x14ac:dyDescent="0.55000000000000004">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16">
        <f t="shared" si="97"/>
        <v>57.381803278688523</v>
      </c>
      <c r="Q1028" t="str">
        <f t="shared" si="100"/>
        <v>music</v>
      </c>
      <c r="R1028" t="str">
        <f t="shared" si="101"/>
        <v>electronic music</v>
      </c>
      <c r="S1028" s="4">
        <f t="shared" si="98"/>
        <v>42426.407592592594</v>
      </c>
      <c r="T1028" s="4">
        <f t="shared" si="99"/>
        <v>42460.365925925929</v>
      </c>
      <c r="U1028" s="5">
        <f>VLOOKUP(currency,Tables!$A$1:$C$14,3,FALSE)*pledged</f>
        <v>9240.7656000000006</v>
      </c>
    </row>
    <row r="1029" spans="1:21" ht="43.2" x14ac:dyDescent="0.55000000000000004">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16">
        <f t="shared" si="97"/>
        <v>69.666666666666671</v>
      </c>
      <c r="Q1029" t="str">
        <f t="shared" si="100"/>
        <v>music</v>
      </c>
      <c r="R1029" t="str">
        <f t="shared" si="101"/>
        <v>electronic music</v>
      </c>
      <c r="S1029" s="4">
        <f t="shared" si="98"/>
        <v>41905.034108796295</v>
      </c>
      <c r="T1029" s="4">
        <f t="shared" si="99"/>
        <v>41935.034108796295</v>
      </c>
      <c r="U1029" s="5">
        <f>VLOOKUP(currency,Tables!$A$1:$C$14,3,FALSE)*pledged</f>
        <v>7733</v>
      </c>
    </row>
    <row r="1030" spans="1:21" ht="43.2" x14ac:dyDescent="0.55000000000000004">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16">
        <f t="shared" si="97"/>
        <v>45.988235294117644</v>
      </c>
      <c r="Q1030" t="str">
        <f t="shared" si="100"/>
        <v>music</v>
      </c>
      <c r="R1030" t="str">
        <f t="shared" si="101"/>
        <v>electronic music</v>
      </c>
      <c r="S1030" s="4">
        <f t="shared" si="98"/>
        <v>42755.627372685187</v>
      </c>
      <c r="T1030" s="4">
        <f t="shared" si="99"/>
        <v>42800.833333333328</v>
      </c>
      <c r="U1030" s="5">
        <f>VLOOKUP(currency,Tables!$A$1:$C$14,3,FALSE)*pledged</f>
        <v>15479.640000000001</v>
      </c>
    </row>
    <row r="1031" spans="1:21" ht="28.8" x14ac:dyDescent="0.55000000000000004">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16">
        <f t="shared" si="97"/>
        <v>79.262411347517727</v>
      </c>
      <c r="Q1031" t="str">
        <f t="shared" si="100"/>
        <v>music</v>
      </c>
      <c r="R1031" t="str">
        <f t="shared" si="101"/>
        <v>electronic music</v>
      </c>
      <c r="S1031" s="4">
        <f t="shared" si="98"/>
        <v>42044.711886574078</v>
      </c>
      <c r="T1031" s="4">
        <f t="shared" si="99"/>
        <v>42098.915972222225</v>
      </c>
      <c r="U1031" s="5">
        <f>VLOOKUP(currency,Tables!$A$1:$C$14,3,FALSE)*pledged</f>
        <v>1229.3599999999999</v>
      </c>
    </row>
    <row r="1032" spans="1:21" ht="28.8" x14ac:dyDescent="0.55000000000000004">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16">
        <f t="shared" si="97"/>
        <v>43.031446540880502</v>
      </c>
      <c r="Q1032" t="str">
        <f t="shared" si="100"/>
        <v>music</v>
      </c>
      <c r="R1032" t="str">
        <f t="shared" si="101"/>
        <v>electronic music</v>
      </c>
      <c r="S1032" s="4">
        <f t="shared" si="98"/>
        <v>42611.483206018514</v>
      </c>
      <c r="T1032" s="4">
        <f t="shared" si="99"/>
        <v>42625.483206018514</v>
      </c>
      <c r="U1032" s="5">
        <f>VLOOKUP(currency,Tables!$A$1:$C$14,3,FALSE)*pledged</f>
        <v>6842</v>
      </c>
    </row>
    <row r="1033" spans="1:21" ht="43.2" x14ac:dyDescent="0.55000000000000004">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16">
        <f t="shared" si="97"/>
        <v>108.48484848484848</v>
      </c>
      <c r="Q1033" t="str">
        <f t="shared" si="100"/>
        <v>music</v>
      </c>
      <c r="R1033" t="str">
        <f t="shared" si="101"/>
        <v>electronic music</v>
      </c>
      <c r="S1033" s="4">
        <f t="shared" si="98"/>
        <v>42324.764004629629</v>
      </c>
      <c r="T1033" s="4">
        <f t="shared" si="99"/>
        <v>42354.764004629629</v>
      </c>
      <c r="U1033" s="5">
        <f>VLOOKUP(currency,Tables!$A$1:$C$14,3,FALSE)*pledged</f>
        <v>10740</v>
      </c>
    </row>
    <row r="1034" spans="1:21" x14ac:dyDescent="0.55000000000000004">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16">
        <f t="shared" si="97"/>
        <v>61.029583333333335</v>
      </c>
      <c r="Q1034" t="str">
        <f t="shared" si="100"/>
        <v>music</v>
      </c>
      <c r="R1034" t="str">
        <f t="shared" si="101"/>
        <v>electronic music</v>
      </c>
      <c r="S1034" s="4">
        <f t="shared" si="98"/>
        <v>42514.666956018518</v>
      </c>
      <c r="T1034" s="4">
        <f t="shared" si="99"/>
        <v>42544.666956018518</v>
      </c>
      <c r="U1034" s="5">
        <f>VLOOKUP(currency,Tables!$A$1:$C$14,3,FALSE)*pledged</f>
        <v>5858.84</v>
      </c>
    </row>
    <row r="1035" spans="1:21" ht="43.2" x14ac:dyDescent="0.55000000000000004">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16">
        <f t="shared" si="97"/>
        <v>50.592592592592595</v>
      </c>
      <c r="Q1035" t="str">
        <f t="shared" si="100"/>
        <v>music</v>
      </c>
      <c r="R1035" t="str">
        <f t="shared" si="101"/>
        <v>electronic music</v>
      </c>
      <c r="S1035" s="4">
        <f t="shared" si="98"/>
        <v>42688.732407407413</v>
      </c>
      <c r="T1035" s="4">
        <f t="shared" si="99"/>
        <v>42716.732407407413</v>
      </c>
      <c r="U1035" s="5">
        <f>VLOOKUP(currency,Tables!$A$1:$C$14,3,FALSE)*pledged</f>
        <v>1803.1200000000001</v>
      </c>
    </row>
    <row r="1036" spans="1:21" ht="43.2" x14ac:dyDescent="0.55000000000000004">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16">
        <f t="shared" si="97"/>
        <v>39.157168674698795</v>
      </c>
      <c r="Q1036" t="str">
        <f t="shared" si="100"/>
        <v>music</v>
      </c>
      <c r="R1036" t="str">
        <f t="shared" si="101"/>
        <v>electronic music</v>
      </c>
      <c r="S1036" s="4">
        <f t="shared" si="98"/>
        <v>42555.166712962964</v>
      </c>
      <c r="T1036" s="4">
        <f t="shared" si="99"/>
        <v>42587.165972222225</v>
      </c>
      <c r="U1036" s="5">
        <f>VLOOKUP(currency,Tables!$A$1:$C$14,3,FALSE)*pledged</f>
        <v>6500.09</v>
      </c>
    </row>
    <row r="1037" spans="1:21" ht="43.2" x14ac:dyDescent="0.55000000000000004">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16">
        <f t="shared" si="97"/>
        <v>65.15789473684211</v>
      </c>
      <c r="Q1037" t="str">
        <f t="shared" si="100"/>
        <v>music</v>
      </c>
      <c r="R1037" t="str">
        <f t="shared" si="101"/>
        <v>electronic music</v>
      </c>
      <c r="S1037" s="4">
        <f t="shared" si="98"/>
        <v>42016.641435185185</v>
      </c>
      <c r="T1037" s="4">
        <f t="shared" si="99"/>
        <v>42046.641435185185</v>
      </c>
      <c r="U1037" s="5">
        <f>VLOOKUP(currency,Tables!$A$1:$C$14,3,FALSE)*pledged</f>
        <v>4952</v>
      </c>
    </row>
    <row r="1038" spans="1:21" ht="43.2" x14ac:dyDescent="0.55000000000000004">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16">
        <f t="shared" si="97"/>
        <v>23.963127962085309</v>
      </c>
      <c r="Q1038" t="str">
        <f t="shared" si="100"/>
        <v>music</v>
      </c>
      <c r="R1038" t="str">
        <f t="shared" si="101"/>
        <v>electronic music</v>
      </c>
      <c r="S1038" s="4">
        <f t="shared" si="98"/>
        <v>41249.448958333334</v>
      </c>
      <c r="T1038" s="4">
        <f t="shared" si="99"/>
        <v>41281.333333333336</v>
      </c>
      <c r="U1038" s="5">
        <f>VLOOKUP(currency,Tables!$A$1:$C$14,3,FALSE)*pledged</f>
        <v>5056.22</v>
      </c>
    </row>
    <row r="1039" spans="1:21" ht="43.2" x14ac:dyDescent="0.55000000000000004">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16">
        <f t="shared" si="97"/>
        <v>48.61904761904762</v>
      </c>
      <c r="Q1039" t="str">
        <f t="shared" si="100"/>
        <v>music</v>
      </c>
      <c r="R1039" t="str">
        <f t="shared" si="101"/>
        <v>electronic music</v>
      </c>
      <c r="S1039" s="4">
        <f t="shared" si="98"/>
        <v>42119.822476851856</v>
      </c>
      <c r="T1039" s="4">
        <f t="shared" si="99"/>
        <v>42142.208333333328</v>
      </c>
      <c r="U1039" s="5">
        <f>VLOOKUP(currency,Tables!$A$1:$C$14,3,FALSE)*pledged</f>
        <v>1021</v>
      </c>
    </row>
    <row r="1040" spans="1:21" ht="43.2" x14ac:dyDescent="0.55000000000000004">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16">
        <f t="shared" si="97"/>
        <v>35.73770491803279</v>
      </c>
      <c r="Q1040" t="str">
        <f t="shared" si="100"/>
        <v>music</v>
      </c>
      <c r="R1040" t="str">
        <f t="shared" si="101"/>
        <v>electronic music</v>
      </c>
      <c r="S1040" s="4">
        <f t="shared" si="98"/>
        <v>42418.231747685189</v>
      </c>
      <c r="T1040" s="4">
        <f t="shared" si="99"/>
        <v>42448.190081018518</v>
      </c>
      <c r="U1040" s="5">
        <f>VLOOKUP(currency,Tables!$A$1:$C$14,3,FALSE)*pledged</f>
        <v>2180</v>
      </c>
    </row>
    <row r="1041" spans="1:21" ht="43.2" x14ac:dyDescent="0.55000000000000004">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96"/>
        <v>1.282</v>
      </c>
      <c r="P1041" s="16">
        <f t="shared" si="97"/>
        <v>21.366666666666667</v>
      </c>
      <c r="Q1041" t="str">
        <f t="shared" si="100"/>
        <v>music</v>
      </c>
      <c r="R1041" t="str">
        <f t="shared" si="101"/>
        <v>electronic music</v>
      </c>
      <c r="S1041" s="4">
        <f t="shared" si="98"/>
        <v>42692.109328703707</v>
      </c>
      <c r="T1041" s="4">
        <f t="shared" si="99"/>
        <v>42717.332638888889</v>
      </c>
      <c r="U1041" s="5">
        <f>VLOOKUP(currency,Tables!$A$1:$C$14,3,FALSE)*pledged</f>
        <v>641</v>
      </c>
    </row>
    <row r="1042" spans="1:21" ht="43.2" x14ac:dyDescent="0.55000000000000004">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16">
        <f t="shared" si="97"/>
        <v>250</v>
      </c>
      <c r="Q1042" t="str">
        <f t="shared" si="100"/>
        <v>journalism</v>
      </c>
      <c r="R1042" t="str">
        <f t="shared" si="101"/>
        <v>audio</v>
      </c>
      <c r="S1042" s="4">
        <f t="shared" si="98"/>
        <v>42579.708437499998</v>
      </c>
      <c r="T1042" s="4">
        <f t="shared" si="99"/>
        <v>42609.708437499998</v>
      </c>
      <c r="U1042" s="5">
        <f>VLOOKUP(currency,Tables!$A$1:$C$14,3,FALSE)*pledged</f>
        <v>250</v>
      </c>
    </row>
    <row r="1043" spans="1:21" ht="43.2" x14ac:dyDescent="0.55000000000000004">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96"/>
        <v>0</v>
      </c>
      <c r="P1043" s="16">
        <f t="shared" si="97"/>
        <v>0</v>
      </c>
      <c r="Q1043" t="str">
        <f t="shared" si="100"/>
        <v>journalism</v>
      </c>
      <c r="R1043" t="str">
        <f t="shared" si="101"/>
        <v>audio</v>
      </c>
      <c r="S1043" s="4">
        <f t="shared" si="98"/>
        <v>41831.060092592597</v>
      </c>
      <c r="T1043" s="4">
        <f t="shared" si="99"/>
        <v>41851.060092592597</v>
      </c>
      <c r="U1043" s="5">
        <f>VLOOKUP(currency,Tables!$A$1:$C$14,3,FALSE)*pledged</f>
        <v>0</v>
      </c>
    </row>
    <row r="1044" spans="1:21" ht="43.2" x14ac:dyDescent="0.55000000000000004">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16">
        <f t="shared" si="97"/>
        <v>10</v>
      </c>
      <c r="Q1044" t="str">
        <f t="shared" si="100"/>
        <v>journalism</v>
      </c>
      <c r="R1044" t="str">
        <f t="shared" si="101"/>
        <v>audio</v>
      </c>
      <c r="S1044" s="4">
        <f t="shared" si="98"/>
        <v>41851.696157407408</v>
      </c>
      <c r="T1044" s="4">
        <f t="shared" si="99"/>
        <v>41894.416666666664</v>
      </c>
      <c r="U1044" s="5">
        <f>VLOOKUP(currency,Tables!$A$1:$C$14,3,FALSE)*pledged</f>
        <v>10</v>
      </c>
    </row>
    <row r="1045" spans="1:21" ht="43.2" x14ac:dyDescent="0.55000000000000004">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16">
        <f t="shared" si="97"/>
        <v>29.236301369863014</v>
      </c>
      <c r="Q1045" t="str">
        <f t="shared" si="100"/>
        <v>journalism</v>
      </c>
      <c r="R1045" t="str">
        <f t="shared" si="101"/>
        <v>audio</v>
      </c>
      <c r="S1045" s="4">
        <f t="shared" si="98"/>
        <v>42114.252951388888</v>
      </c>
      <c r="T1045" s="4">
        <f t="shared" si="99"/>
        <v>42144.252951388888</v>
      </c>
      <c r="U1045" s="5">
        <f>VLOOKUP(currency,Tables!$A$1:$C$14,3,FALSE)*pledged</f>
        <v>8537</v>
      </c>
    </row>
    <row r="1046" spans="1:21" ht="43.2" x14ac:dyDescent="0.55000000000000004">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16">
        <f t="shared" si="97"/>
        <v>3</v>
      </c>
      <c r="Q1046" t="str">
        <f t="shared" si="100"/>
        <v>journalism</v>
      </c>
      <c r="R1046" t="str">
        <f t="shared" si="101"/>
        <v>audio</v>
      </c>
      <c r="S1046" s="4">
        <f t="shared" si="98"/>
        <v>42011.925937499997</v>
      </c>
      <c r="T1046" s="4">
        <f t="shared" si="99"/>
        <v>42068.852083333331</v>
      </c>
      <c r="U1046" s="5">
        <f>VLOOKUP(currency,Tables!$A$1:$C$14,3,FALSE)*pledged</f>
        <v>6</v>
      </c>
    </row>
    <row r="1047" spans="1:21" ht="43.2" x14ac:dyDescent="0.55000000000000004">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16">
        <f t="shared" si="97"/>
        <v>33.25</v>
      </c>
      <c r="Q1047" t="str">
        <f t="shared" si="100"/>
        <v>journalism</v>
      </c>
      <c r="R1047" t="str">
        <f t="shared" si="101"/>
        <v>audio</v>
      </c>
      <c r="S1047" s="4">
        <f t="shared" si="98"/>
        <v>41844.874421296299</v>
      </c>
      <c r="T1047" s="4">
        <f t="shared" si="99"/>
        <v>41874.874421296299</v>
      </c>
      <c r="U1047" s="5">
        <f>VLOOKUP(currency,Tables!$A$1:$C$14,3,FALSE)*pledged</f>
        <v>266</v>
      </c>
    </row>
    <row r="1048" spans="1:21" ht="43.2" x14ac:dyDescent="0.55000000000000004">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96"/>
        <v>0</v>
      </c>
      <c r="P1048" s="16">
        <f t="shared" si="97"/>
        <v>0</v>
      </c>
      <c r="Q1048" t="str">
        <f t="shared" si="100"/>
        <v>journalism</v>
      </c>
      <c r="R1048" t="str">
        <f t="shared" si="101"/>
        <v>audio</v>
      </c>
      <c r="S1048" s="4">
        <f t="shared" si="98"/>
        <v>42319.851388888885</v>
      </c>
      <c r="T1048" s="4">
        <f t="shared" si="99"/>
        <v>42364.851388888885</v>
      </c>
      <c r="U1048" s="5">
        <f>VLOOKUP(currency,Tables!$A$1:$C$14,3,FALSE)*pledged</f>
        <v>0</v>
      </c>
    </row>
    <row r="1049" spans="1:21" ht="43.2" x14ac:dyDescent="0.55000000000000004">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16">
        <f t="shared" si="97"/>
        <v>1</v>
      </c>
      <c r="Q1049" t="str">
        <f t="shared" si="100"/>
        <v>journalism</v>
      </c>
      <c r="R1049" t="str">
        <f t="shared" si="101"/>
        <v>audio</v>
      </c>
      <c r="S1049" s="4">
        <f t="shared" si="98"/>
        <v>41918.818460648145</v>
      </c>
      <c r="T1049" s="4">
        <f t="shared" si="99"/>
        <v>41948.860127314816</v>
      </c>
      <c r="U1049" s="5">
        <f>VLOOKUP(currency,Tables!$A$1:$C$14,3,FALSE)*pledged</f>
        <v>1</v>
      </c>
    </row>
    <row r="1050" spans="1:21" ht="43.2" x14ac:dyDescent="0.55000000000000004">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16">
        <f t="shared" si="97"/>
        <v>53</v>
      </c>
      <c r="Q1050" t="str">
        <f t="shared" si="100"/>
        <v>journalism</v>
      </c>
      <c r="R1050" t="str">
        <f t="shared" si="101"/>
        <v>audio</v>
      </c>
      <c r="S1050" s="4">
        <f t="shared" si="98"/>
        <v>42598.053113425922</v>
      </c>
      <c r="T1050" s="4">
        <f t="shared" si="99"/>
        <v>42638.053113425922</v>
      </c>
      <c r="U1050" s="5">
        <f>VLOOKUP(currency,Tables!$A$1:$C$14,3,FALSE)*pledged</f>
        <v>212</v>
      </c>
    </row>
    <row r="1051" spans="1:21" x14ac:dyDescent="0.55000000000000004">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96"/>
        <v>0</v>
      </c>
      <c r="P1051" s="16">
        <f t="shared" si="97"/>
        <v>0</v>
      </c>
      <c r="Q1051" t="str">
        <f t="shared" si="100"/>
        <v>journalism</v>
      </c>
      <c r="R1051" t="str">
        <f t="shared" si="101"/>
        <v>audio</v>
      </c>
      <c r="S1051" s="4">
        <f t="shared" si="98"/>
        <v>42382.431076388893</v>
      </c>
      <c r="T1051" s="4">
        <f t="shared" si="99"/>
        <v>42412.431076388893</v>
      </c>
      <c r="U1051" s="5">
        <f>VLOOKUP(currency,Tables!$A$1:$C$14,3,FALSE)*pledged</f>
        <v>0</v>
      </c>
    </row>
    <row r="1052" spans="1:21" ht="28.8" x14ac:dyDescent="0.55000000000000004">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96"/>
        <v>0</v>
      </c>
      <c r="P1052" s="16">
        <f t="shared" si="97"/>
        <v>0</v>
      </c>
      <c r="Q1052" t="str">
        <f t="shared" si="100"/>
        <v>journalism</v>
      </c>
      <c r="R1052" t="str">
        <f t="shared" si="101"/>
        <v>audio</v>
      </c>
      <c r="S1052" s="4">
        <f t="shared" si="98"/>
        <v>42231.7971875</v>
      </c>
      <c r="T1052" s="4">
        <f t="shared" si="99"/>
        <v>42261.7971875</v>
      </c>
      <c r="U1052" s="5">
        <f>VLOOKUP(currency,Tables!$A$1:$C$14,3,FALSE)*pledged</f>
        <v>0</v>
      </c>
    </row>
    <row r="1053" spans="1:21" ht="43.2" x14ac:dyDescent="0.55000000000000004">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96"/>
        <v>0</v>
      </c>
      <c r="P1053" s="16">
        <f t="shared" si="97"/>
        <v>0</v>
      </c>
      <c r="Q1053" t="str">
        <f t="shared" si="100"/>
        <v>journalism</v>
      </c>
      <c r="R1053" t="str">
        <f t="shared" si="101"/>
        <v>audio</v>
      </c>
      <c r="S1053" s="4">
        <f t="shared" si="98"/>
        <v>41850.014178240745</v>
      </c>
      <c r="T1053" s="4">
        <f t="shared" si="99"/>
        <v>41878.014178240745</v>
      </c>
      <c r="U1053" s="5">
        <f>VLOOKUP(currency,Tables!$A$1:$C$14,3,FALSE)*pledged</f>
        <v>0</v>
      </c>
    </row>
    <row r="1054" spans="1:21" ht="57.6" x14ac:dyDescent="0.55000000000000004">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96"/>
        <v>0</v>
      </c>
      <c r="P1054" s="16">
        <f t="shared" si="97"/>
        <v>0</v>
      </c>
      <c r="Q1054" t="str">
        <f t="shared" si="100"/>
        <v>journalism</v>
      </c>
      <c r="R1054" t="str">
        <f t="shared" si="101"/>
        <v>audio</v>
      </c>
      <c r="S1054" s="4">
        <f t="shared" si="98"/>
        <v>42483.797395833331</v>
      </c>
      <c r="T1054" s="4">
        <f t="shared" si="99"/>
        <v>42527.839583333334</v>
      </c>
      <c r="U1054" s="5">
        <f>VLOOKUP(currency,Tables!$A$1:$C$14,3,FALSE)*pledged</f>
        <v>0</v>
      </c>
    </row>
    <row r="1055" spans="1:21" ht="43.2" x14ac:dyDescent="0.55000000000000004">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96"/>
        <v>0.01</v>
      </c>
      <c r="P1055" s="16">
        <f t="shared" si="97"/>
        <v>15</v>
      </c>
      <c r="Q1055" t="str">
        <f t="shared" si="100"/>
        <v>journalism</v>
      </c>
      <c r="R1055" t="str">
        <f t="shared" si="101"/>
        <v>audio</v>
      </c>
      <c r="S1055" s="4">
        <f t="shared" si="98"/>
        <v>42775.172824074078</v>
      </c>
      <c r="T1055" s="4">
        <f t="shared" si="99"/>
        <v>42800.172824074078</v>
      </c>
      <c r="U1055" s="5">
        <f>VLOOKUP(currency,Tables!$A$1:$C$14,3,FALSE)*pledged</f>
        <v>15</v>
      </c>
    </row>
    <row r="1056" spans="1:21" ht="43.2" x14ac:dyDescent="0.55000000000000004">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96"/>
        <v>0</v>
      </c>
      <c r="P1056" s="16">
        <f t="shared" si="97"/>
        <v>0</v>
      </c>
      <c r="Q1056" t="str">
        <f t="shared" si="100"/>
        <v>journalism</v>
      </c>
      <c r="R1056" t="str">
        <f t="shared" si="101"/>
        <v>audio</v>
      </c>
      <c r="S1056" s="4">
        <f t="shared" si="98"/>
        <v>41831.851840277777</v>
      </c>
      <c r="T1056" s="4">
        <f t="shared" si="99"/>
        <v>41861.916666666664</v>
      </c>
      <c r="U1056" s="5">
        <f>VLOOKUP(currency,Tables!$A$1:$C$14,3,FALSE)*pledged</f>
        <v>0</v>
      </c>
    </row>
    <row r="1057" spans="1:21" ht="43.2" x14ac:dyDescent="0.55000000000000004">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96"/>
        <v>0</v>
      </c>
      <c r="P1057" s="16">
        <f t="shared" si="97"/>
        <v>0</v>
      </c>
      <c r="Q1057" t="str">
        <f t="shared" si="100"/>
        <v>journalism</v>
      </c>
      <c r="R1057" t="str">
        <f t="shared" si="101"/>
        <v>audio</v>
      </c>
      <c r="S1057" s="4">
        <f t="shared" si="98"/>
        <v>42406.992418981477</v>
      </c>
      <c r="T1057" s="4">
        <f t="shared" si="99"/>
        <v>42436.992418981477</v>
      </c>
      <c r="U1057" s="5">
        <f>VLOOKUP(currency,Tables!$A$1:$C$14,3,FALSE)*pledged</f>
        <v>0</v>
      </c>
    </row>
    <row r="1058" spans="1:21" ht="43.2" x14ac:dyDescent="0.55000000000000004">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96"/>
        <v>0</v>
      </c>
      <c r="P1058" s="16">
        <f t="shared" si="97"/>
        <v>0</v>
      </c>
      <c r="Q1058" t="str">
        <f t="shared" si="100"/>
        <v>journalism</v>
      </c>
      <c r="R1058" t="str">
        <f t="shared" si="101"/>
        <v>audio</v>
      </c>
      <c r="S1058" s="4">
        <f t="shared" si="98"/>
        <v>42058.719641203701</v>
      </c>
      <c r="T1058" s="4">
        <f t="shared" si="99"/>
        <v>42118.677974537044</v>
      </c>
      <c r="U1058" s="5">
        <f>VLOOKUP(currency,Tables!$A$1:$C$14,3,FALSE)*pledged</f>
        <v>0</v>
      </c>
    </row>
    <row r="1059" spans="1:21" ht="43.2" x14ac:dyDescent="0.55000000000000004">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96"/>
        <v>0</v>
      </c>
      <c r="P1059" s="16">
        <f t="shared" si="97"/>
        <v>0</v>
      </c>
      <c r="Q1059" t="str">
        <f t="shared" si="100"/>
        <v>journalism</v>
      </c>
      <c r="R1059" t="str">
        <f t="shared" si="101"/>
        <v>audio</v>
      </c>
      <c r="S1059" s="4">
        <f t="shared" si="98"/>
        <v>42678.871331018512</v>
      </c>
      <c r="T1059" s="4">
        <f t="shared" si="99"/>
        <v>42708.912997685184</v>
      </c>
      <c r="U1059" s="5">
        <f>VLOOKUP(currency,Tables!$A$1:$C$14,3,FALSE)*pledged</f>
        <v>0</v>
      </c>
    </row>
    <row r="1060" spans="1:21" ht="43.2" x14ac:dyDescent="0.55000000000000004">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96"/>
        <v>0</v>
      </c>
      <c r="P1060" s="16">
        <f t="shared" si="97"/>
        <v>0</v>
      </c>
      <c r="Q1060" t="str">
        <f t="shared" si="100"/>
        <v>journalism</v>
      </c>
      <c r="R1060" t="str">
        <f t="shared" si="101"/>
        <v>audio</v>
      </c>
      <c r="S1060" s="4">
        <f t="shared" si="98"/>
        <v>42047.900960648149</v>
      </c>
      <c r="T1060" s="4">
        <f t="shared" si="99"/>
        <v>42089</v>
      </c>
      <c r="U1060" s="5">
        <f>VLOOKUP(currency,Tables!$A$1:$C$14,3,FALSE)*pledged</f>
        <v>0</v>
      </c>
    </row>
    <row r="1061" spans="1:21" x14ac:dyDescent="0.55000000000000004">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96"/>
        <v>0</v>
      </c>
      <c r="P1061" s="16">
        <f t="shared" si="97"/>
        <v>0</v>
      </c>
      <c r="Q1061" t="str">
        <f t="shared" si="100"/>
        <v>journalism</v>
      </c>
      <c r="R1061" t="str">
        <f t="shared" si="101"/>
        <v>audio</v>
      </c>
      <c r="S1061" s="4">
        <f t="shared" si="98"/>
        <v>42046.79</v>
      </c>
      <c r="T1061" s="4">
        <f t="shared" si="99"/>
        <v>42076.748333333337</v>
      </c>
      <c r="U1061" s="5">
        <f>VLOOKUP(currency,Tables!$A$1:$C$14,3,FALSE)*pledged</f>
        <v>0</v>
      </c>
    </row>
    <row r="1062" spans="1:21" ht="43.2" x14ac:dyDescent="0.55000000000000004">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96"/>
        <v>0.01</v>
      </c>
      <c r="P1062" s="16">
        <f t="shared" si="97"/>
        <v>50</v>
      </c>
      <c r="Q1062" t="str">
        <f t="shared" si="100"/>
        <v>journalism</v>
      </c>
      <c r="R1062" t="str">
        <f t="shared" si="101"/>
        <v>audio</v>
      </c>
      <c r="S1062" s="4">
        <f t="shared" si="98"/>
        <v>42079.913113425922</v>
      </c>
      <c r="T1062" s="4">
        <f t="shared" si="99"/>
        <v>42109.913113425922</v>
      </c>
      <c r="U1062" s="5">
        <f>VLOOKUP(currency,Tables!$A$1:$C$14,3,FALSE)*pledged</f>
        <v>50</v>
      </c>
    </row>
    <row r="1063" spans="1:21" ht="28.8" x14ac:dyDescent="0.55000000000000004">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96"/>
        <v>0</v>
      </c>
      <c r="P1063" s="16">
        <f t="shared" si="97"/>
        <v>0</v>
      </c>
      <c r="Q1063" t="str">
        <f t="shared" si="100"/>
        <v>journalism</v>
      </c>
      <c r="R1063" t="str">
        <f t="shared" si="101"/>
        <v>audio</v>
      </c>
      <c r="S1063" s="4">
        <f t="shared" si="98"/>
        <v>42432.276712962965</v>
      </c>
      <c r="T1063" s="4">
        <f t="shared" si="99"/>
        <v>42492.041666666672</v>
      </c>
      <c r="U1063" s="5">
        <f>VLOOKUP(currency,Tables!$A$1:$C$14,3,FALSE)*pledged</f>
        <v>0</v>
      </c>
    </row>
    <row r="1064" spans="1:21" x14ac:dyDescent="0.55000000000000004">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16">
        <f t="shared" si="97"/>
        <v>47.5</v>
      </c>
      <c r="Q1064" t="str">
        <f t="shared" si="100"/>
        <v>journalism</v>
      </c>
      <c r="R1064" t="str">
        <f t="shared" si="101"/>
        <v>audio</v>
      </c>
      <c r="S1064" s="4">
        <f t="shared" si="98"/>
        <v>42556.807187500002</v>
      </c>
      <c r="T1064" s="4">
        <f t="shared" si="99"/>
        <v>42563.807187500002</v>
      </c>
      <c r="U1064" s="5">
        <f>VLOOKUP(currency,Tables!$A$1:$C$14,3,FALSE)*pledged</f>
        <v>190</v>
      </c>
    </row>
    <row r="1065" spans="1:21" ht="43.2" x14ac:dyDescent="0.55000000000000004">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96"/>
        <v>0</v>
      </c>
      <c r="P1065" s="16">
        <f t="shared" si="97"/>
        <v>0</v>
      </c>
      <c r="Q1065" t="str">
        <f t="shared" si="100"/>
        <v>journalism</v>
      </c>
      <c r="R1065" t="str">
        <f t="shared" si="101"/>
        <v>audio</v>
      </c>
      <c r="S1065" s="4">
        <f t="shared" si="98"/>
        <v>42583.030810185184</v>
      </c>
      <c r="T1065" s="4">
        <f t="shared" si="99"/>
        <v>42613.030810185184</v>
      </c>
      <c r="U1065" s="5">
        <f>VLOOKUP(currency,Tables!$A$1:$C$14,3,FALSE)*pledged</f>
        <v>0</v>
      </c>
    </row>
    <row r="1066" spans="1:21" ht="43.2" x14ac:dyDescent="0.55000000000000004">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16">
        <f t="shared" si="97"/>
        <v>65.666666666666671</v>
      </c>
      <c r="Q1066" t="str">
        <f t="shared" si="100"/>
        <v>games</v>
      </c>
      <c r="R1066" t="str">
        <f t="shared" si="101"/>
        <v>video games</v>
      </c>
      <c r="S1066" s="4">
        <f t="shared" si="98"/>
        <v>41417.228043981479</v>
      </c>
      <c r="T1066" s="4">
        <f t="shared" si="99"/>
        <v>41462.228043981479</v>
      </c>
      <c r="U1066" s="5">
        <f>VLOOKUP(currency,Tables!$A$1:$C$14,3,FALSE)*pledged</f>
        <v>8077</v>
      </c>
    </row>
    <row r="1067" spans="1:21" ht="43.2" x14ac:dyDescent="0.55000000000000004">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96"/>
        <v>2.7E-2</v>
      </c>
      <c r="P1067" s="16">
        <f t="shared" si="97"/>
        <v>16.2</v>
      </c>
      <c r="Q1067" t="str">
        <f t="shared" si="100"/>
        <v>games</v>
      </c>
      <c r="R1067" t="str">
        <f t="shared" si="101"/>
        <v>video games</v>
      </c>
      <c r="S1067" s="4">
        <f t="shared" si="98"/>
        <v>41661.381041666667</v>
      </c>
      <c r="T1067" s="4">
        <f t="shared" si="99"/>
        <v>41689.381041666667</v>
      </c>
      <c r="U1067" s="5">
        <f>VLOOKUP(currency,Tables!$A$1:$C$14,3,FALSE)*pledged</f>
        <v>59.129999999999995</v>
      </c>
    </row>
    <row r="1068" spans="1:21" ht="43.2" x14ac:dyDescent="0.55000000000000004">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16">
        <f t="shared" si="97"/>
        <v>34.128378378378379</v>
      </c>
      <c r="Q1068" t="str">
        <f t="shared" si="100"/>
        <v>games</v>
      </c>
      <c r="R1068" t="str">
        <f t="shared" si="101"/>
        <v>video games</v>
      </c>
      <c r="S1068" s="4">
        <f t="shared" si="98"/>
        <v>41445.962754629632</v>
      </c>
      <c r="T1068" s="4">
        <f t="shared" si="99"/>
        <v>41490.962754629632</v>
      </c>
      <c r="U1068" s="5">
        <f>VLOOKUP(currency,Tables!$A$1:$C$14,3,FALSE)*pledged</f>
        <v>5051</v>
      </c>
    </row>
    <row r="1069" spans="1:21" ht="43.2" x14ac:dyDescent="0.55000000000000004">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96"/>
        <v>0.26</v>
      </c>
      <c r="P1069" s="16">
        <f t="shared" si="97"/>
        <v>13</v>
      </c>
      <c r="Q1069" t="str">
        <f t="shared" si="100"/>
        <v>games</v>
      </c>
      <c r="R1069" t="str">
        <f t="shared" si="101"/>
        <v>video games</v>
      </c>
      <c r="S1069" s="4">
        <f t="shared" si="98"/>
        <v>41599.855682870373</v>
      </c>
      <c r="T1069" s="4">
        <f t="shared" si="99"/>
        <v>41629.855682870373</v>
      </c>
      <c r="U1069" s="5">
        <f>VLOOKUP(currency,Tables!$A$1:$C$14,3,FALSE)*pledged</f>
        <v>130</v>
      </c>
    </row>
    <row r="1070" spans="1:21" ht="43.2" x14ac:dyDescent="0.55000000000000004">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96"/>
        <v>1.5E-3</v>
      </c>
      <c r="P1070" s="16">
        <f t="shared" si="97"/>
        <v>11.25</v>
      </c>
      <c r="Q1070" t="str">
        <f t="shared" si="100"/>
        <v>games</v>
      </c>
      <c r="R1070" t="str">
        <f t="shared" si="101"/>
        <v>video games</v>
      </c>
      <c r="S1070" s="4">
        <f t="shared" si="98"/>
        <v>42440.371111111104</v>
      </c>
      <c r="T1070" s="4">
        <f t="shared" si="99"/>
        <v>42470.329444444447</v>
      </c>
      <c r="U1070" s="5">
        <f>VLOOKUP(currency,Tables!$A$1:$C$14,3,FALSE)*pledged</f>
        <v>45</v>
      </c>
    </row>
    <row r="1071" spans="1:21" ht="43.2" x14ac:dyDescent="0.55000000000000004">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16">
        <f t="shared" si="97"/>
        <v>40.476190476190474</v>
      </c>
      <c r="Q1071" t="str">
        <f t="shared" si="100"/>
        <v>games</v>
      </c>
      <c r="R1071" t="str">
        <f t="shared" si="101"/>
        <v>video games</v>
      </c>
      <c r="S1071" s="4">
        <f t="shared" si="98"/>
        <v>41572.229849537034</v>
      </c>
      <c r="T1071" s="4">
        <f t="shared" si="99"/>
        <v>41604.271516203706</v>
      </c>
      <c r="U1071" s="5">
        <f>VLOOKUP(currency,Tables!$A$1:$C$14,3,FALSE)*pledged</f>
        <v>850</v>
      </c>
    </row>
    <row r="1072" spans="1:21" ht="43.2" x14ac:dyDescent="0.55000000000000004">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16">
        <f t="shared" si="97"/>
        <v>35</v>
      </c>
      <c r="Q1072" t="str">
        <f t="shared" si="100"/>
        <v>games</v>
      </c>
      <c r="R1072" t="str">
        <f t="shared" si="101"/>
        <v>video games</v>
      </c>
      <c r="S1072" s="4">
        <f t="shared" si="98"/>
        <v>41163.011828703704</v>
      </c>
      <c r="T1072" s="4">
        <f t="shared" si="99"/>
        <v>41183.011828703704</v>
      </c>
      <c r="U1072" s="5">
        <f>VLOOKUP(currency,Tables!$A$1:$C$14,3,FALSE)*pledged</f>
        <v>70</v>
      </c>
    </row>
    <row r="1073" spans="1:21" ht="43.2" x14ac:dyDescent="0.55000000000000004">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96"/>
        <v>0</v>
      </c>
      <c r="P1073" s="16">
        <f t="shared" si="97"/>
        <v>0</v>
      </c>
      <c r="Q1073" t="str">
        <f t="shared" si="100"/>
        <v>games</v>
      </c>
      <c r="R1073" t="str">
        <f t="shared" si="101"/>
        <v>video games</v>
      </c>
      <c r="S1073" s="4">
        <f t="shared" si="98"/>
        <v>42295.753391203703</v>
      </c>
      <c r="T1073" s="4">
        <f t="shared" si="99"/>
        <v>42325.795057870375</v>
      </c>
      <c r="U1073" s="5">
        <f>VLOOKUP(currency,Tables!$A$1:$C$14,3,FALSE)*pledged</f>
        <v>0</v>
      </c>
    </row>
    <row r="1074" spans="1:21" ht="43.2" x14ac:dyDescent="0.55000000000000004">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16">
        <f t="shared" si="97"/>
        <v>12.75</v>
      </c>
      <c r="Q1074" t="str">
        <f t="shared" si="100"/>
        <v>games</v>
      </c>
      <c r="R1074" t="str">
        <f t="shared" si="101"/>
        <v>video games</v>
      </c>
      <c r="S1074" s="4">
        <f t="shared" si="98"/>
        <v>41645.832141203704</v>
      </c>
      <c r="T1074" s="4">
        <f t="shared" si="99"/>
        <v>41675.832141203704</v>
      </c>
      <c r="U1074" s="5">
        <f>VLOOKUP(currency,Tables!$A$1:$C$14,3,FALSE)*pledged</f>
        <v>51</v>
      </c>
    </row>
    <row r="1075" spans="1:21" ht="28.8" x14ac:dyDescent="0.55000000000000004">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16">
        <f t="shared" si="97"/>
        <v>10</v>
      </c>
      <c r="Q1075" t="str">
        <f t="shared" si="100"/>
        <v>games</v>
      </c>
      <c r="R1075" t="str">
        <f t="shared" si="101"/>
        <v>video games</v>
      </c>
      <c r="S1075" s="4">
        <f t="shared" si="98"/>
        <v>40802.964594907404</v>
      </c>
      <c r="T1075" s="4">
        <f t="shared" si="99"/>
        <v>40832.964594907404</v>
      </c>
      <c r="U1075" s="5">
        <f>VLOOKUP(currency,Tables!$A$1:$C$14,3,FALSE)*pledged</f>
        <v>10</v>
      </c>
    </row>
    <row r="1076" spans="1:21" ht="43.2" x14ac:dyDescent="0.55000000000000004">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16">
        <f t="shared" si="97"/>
        <v>113.56666666666666</v>
      </c>
      <c r="Q1076" t="str">
        <f t="shared" si="100"/>
        <v>games</v>
      </c>
      <c r="R1076" t="str">
        <f t="shared" si="101"/>
        <v>video games</v>
      </c>
      <c r="S1076" s="4">
        <f t="shared" si="98"/>
        <v>41613.172974537039</v>
      </c>
      <c r="T1076" s="4">
        <f t="shared" si="99"/>
        <v>41643.172974537039</v>
      </c>
      <c r="U1076" s="5">
        <f>VLOOKUP(currency,Tables!$A$1:$C$14,3,FALSE)*pledged</f>
        <v>3407</v>
      </c>
    </row>
    <row r="1077" spans="1:21" ht="28.8" x14ac:dyDescent="0.55000000000000004">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16">
        <f t="shared" si="97"/>
        <v>15</v>
      </c>
      <c r="Q1077" t="str">
        <f t="shared" si="100"/>
        <v>games</v>
      </c>
      <c r="R1077" t="str">
        <f t="shared" si="101"/>
        <v>video games</v>
      </c>
      <c r="S1077" s="4">
        <f t="shared" si="98"/>
        <v>41005.904120370367</v>
      </c>
      <c r="T1077" s="4">
        <f t="shared" si="99"/>
        <v>41035.904120370367</v>
      </c>
      <c r="U1077" s="5">
        <f>VLOOKUP(currency,Tables!$A$1:$C$14,3,FALSE)*pledged</f>
        <v>45</v>
      </c>
    </row>
    <row r="1078" spans="1:21" ht="43.2" x14ac:dyDescent="0.55000000000000004">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16">
        <f t="shared" si="97"/>
        <v>48.281025641025643</v>
      </c>
      <c r="Q1078" t="str">
        <f t="shared" si="100"/>
        <v>games</v>
      </c>
      <c r="R1078" t="str">
        <f t="shared" si="101"/>
        <v>video games</v>
      </c>
      <c r="S1078" s="4">
        <f t="shared" si="98"/>
        <v>41838.377893518518</v>
      </c>
      <c r="T1078" s="4">
        <f t="shared" si="99"/>
        <v>41893.377893518518</v>
      </c>
      <c r="U1078" s="5">
        <f>VLOOKUP(currency,Tables!$A$1:$C$14,3,FALSE)*pledged</f>
        <v>47074</v>
      </c>
    </row>
    <row r="1079" spans="1:21" ht="43.2" x14ac:dyDescent="0.55000000000000004">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16">
        <f t="shared" si="97"/>
        <v>43.976047904191617</v>
      </c>
      <c r="Q1079" t="str">
        <f t="shared" si="100"/>
        <v>games</v>
      </c>
      <c r="R1079" t="str">
        <f t="shared" si="101"/>
        <v>video games</v>
      </c>
      <c r="S1079" s="4">
        <f t="shared" si="98"/>
        <v>42353.16679398148</v>
      </c>
      <c r="T1079" s="4">
        <f t="shared" si="99"/>
        <v>42383.16679398148</v>
      </c>
      <c r="U1079" s="5">
        <f>VLOOKUP(currency,Tables!$A$1:$C$14,3,FALSE)*pledged</f>
        <v>7344</v>
      </c>
    </row>
    <row r="1080" spans="1:21" ht="43.2" x14ac:dyDescent="0.55000000000000004">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16">
        <f t="shared" si="97"/>
        <v>9</v>
      </c>
      <c r="Q1080" t="str">
        <f t="shared" si="100"/>
        <v>games</v>
      </c>
      <c r="R1080" t="str">
        <f t="shared" si="101"/>
        <v>video games</v>
      </c>
      <c r="S1080" s="4">
        <f t="shared" si="98"/>
        <v>40701.195844907408</v>
      </c>
      <c r="T1080" s="4">
        <f t="shared" si="99"/>
        <v>40746.195844907408</v>
      </c>
      <c r="U1080" s="5">
        <f>VLOOKUP(currency,Tables!$A$1:$C$14,3,FALSE)*pledged</f>
        <v>45</v>
      </c>
    </row>
    <row r="1081" spans="1:21" ht="43.2" x14ac:dyDescent="0.55000000000000004">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16">
        <f t="shared" si="97"/>
        <v>37.666666666666664</v>
      </c>
      <c r="Q1081" t="str">
        <f t="shared" si="100"/>
        <v>games</v>
      </c>
      <c r="R1081" t="str">
        <f t="shared" si="101"/>
        <v>video games</v>
      </c>
      <c r="S1081" s="4">
        <f t="shared" si="98"/>
        <v>42479.566388888896</v>
      </c>
      <c r="T1081" s="4">
        <f t="shared" si="99"/>
        <v>42504.566388888896</v>
      </c>
      <c r="U1081" s="5">
        <f>VLOOKUP(currency,Tables!$A$1:$C$14,3,FALSE)*pledged</f>
        <v>800.04</v>
      </c>
    </row>
    <row r="1082" spans="1:21" ht="43.2" x14ac:dyDescent="0.55000000000000004">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16">
        <f t="shared" si="97"/>
        <v>18.581632653061224</v>
      </c>
      <c r="Q1082" t="str">
        <f t="shared" si="100"/>
        <v>games</v>
      </c>
      <c r="R1082" t="str">
        <f t="shared" si="101"/>
        <v>video games</v>
      </c>
      <c r="S1082" s="4">
        <f t="shared" si="98"/>
        <v>41740.138113425928</v>
      </c>
      <c r="T1082" s="4">
        <f t="shared" si="99"/>
        <v>41770.138113425928</v>
      </c>
      <c r="U1082" s="5">
        <f>VLOOKUP(currency,Tables!$A$1:$C$14,3,FALSE)*pledged</f>
        <v>1821</v>
      </c>
    </row>
    <row r="1083" spans="1:21" ht="43.2" x14ac:dyDescent="0.55000000000000004">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16">
        <f t="shared" si="97"/>
        <v>3</v>
      </c>
      <c r="Q1083" t="str">
        <f t="shared" si="100"/>
        <v>games</v>
      </c>
      <c r="R1083" t="str">
        <f t="shared" si="101"/>
        <v>video games</v>
      </c>
      <c r="S1083" s="4">
        <f t="shared" si="98"/>
        <v>42002.926990740743</v>
      </c>
      <c r="T1083" s="4">
        <f t="shared" si="99"/>
        <v>42032.926990740743</v>
      </c>
      <c r="U1083" s="5">
        <f>VLOOKUP(currency,Tables!$A$1:$C$14,3,FALSE)*pledged</f>
        <v>12</v>
      </c>
    </row>
    <row r="1084" spans="1:21" ht="28.8" x14ac:dyDescent="0.55000000000000004">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16">
        <f t="shared" si="97"/>
        <v>18.666666666666668</v>
      </c>
      <c r="Q1084" t="str">
        <f t="shared" si="100"/>
        <v>games</v>
      </c>
      <c r="R1084" t="str">
        <f t="shared" si="101"/>
        <v>video games</v>
      </c>
      <c r="S1084" s="4">
        <f t="shared" si="98"/>
        <v>41101.906111111115</v>
      </c>
      <c r="T1084" s="4">
        <f t="shared" si="99"/>
        <v>41131.906111111115</v>
      </c>
      <c r="U1084" s="5">
        <f>VLOOKUP(currency,Tables!$A$1:$C$14,3,FALSE)*pledged</f>
        <v>56</v>
      </c>
    </row>
    <row r="1085" spans="1:21" ht="43.2" x14ac:dyDescent="0.55000000000000004">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16">
        <f t="shared" si="97"/>
        <v>410</v>
      </c>
      <c r="Q1085" t="str">
        <f t="shared" si="100"/>
        <v>games</v>
      </c>
      <c r="R1085" t="str">
        <f t="shared" si="101"/>
        <v>video games</v>
      </c>
      <c r="S1085" s="4">
        <f t="shared" si="98"/>
        <v>41793.659525462965</v>
      </c>
      <c r="T1085" s="4">
        <f t="shared" si="99"/>
        <v>41853.659525462965</v>
      </c>
      <c r="U1085" s="5">
        <f>VLOOKUP(currency,Tables!$A$1:$C$14,3,FALSE)*pledged</f>
        <v>311.60000000000002</v>
      </c>
    </row>
    <row r="1086" spans="1:21" x14ac:dyDescent="0.55000000000000004">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96"/>
        <v>0</v>
      </c>
      <c r="P1086" s="16">
        <f t="shared" si="97"/>
        <v>0</v>
      </c>
      <c r="Q1086" t="str">
        <f t="shared" si="100"/>
        <v>games</v>
      </c>
      <c r="R1086" t="str">
        <f t="shared" si="101"/>
        <v>video games</v>
      </c>
      <c r="S1086" s="4">
        <f t="shared" si="98"/>
        <v>41829.912083333329</v>
      </c>
      <c r="T1086" s="4">
        <f t="shared" si="99"/>
        <v>41859.912083333329</v>
      </c>
      <c r="U1086" s="5">
        <f>VLOOKUP(currency,Tables!$A$1:$C$14,3,FALSE)*pledged</f>
        <v>0</v>
      </c>
    </row>
    <row r="1087" spans="1:21" ht="28.8" x14ac:dyDescent="0.55000000000000004">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16">
        <f t="shared" si="97"/>
        <v>114</v>
      </c>
      <c r="Q1087" t="str">
        <f t="shared" si="100"/>
        <v>games</v>
      </c>
      <c r="R1087" t="str">
        <f t="shared" si="101"/>
        <v>video games</v>
      </c>
      <c r="S1087" s="4">
        <f t="shared" si="98"/>
        <v>42413.671006944445</v>
      </c>
      <c r="T1087" s="4">
        <f t="shared" si="99"/>
        <v>42443.629340277781</v>
      </c>
      <c r="U1087" s="5">
        <f>VLOOKUP(currency,Tables!$A$1:$C$14,3,FALSE)*pledged</f>
        <v>779.76</v>
      </c>
    </row>
    <row r="1088" spans="1:21" x14ac:dyDescent="0.55000000000000004">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16">
        <f t="shared" si="97"/>
        <v>7.5</v>
      </c>
      <c r="Q1088" t="str">
        <f t="shared" si="100"/>
        <v>games</v>
      </c>
      <c r="R1088" t="str">
        <f t="shared" si="101"/>
        <v>video games</v>
      </c>
      <c r="S1088" s="4">
        <f t="shared" si="98"/>
        <v>41845.866793981484</v>
      </c>
      <c r="T1088" s="4">
        <f t="shared" si="99"/>
        <v>41875.866793981484</v>
      </c>
      <c r="U1088" s="5">
        <f>VLOOKUP(currency,Tables!$A$1:$C$14,3,FALSE)*pledged</f>
        <v>15</v>
      </c>
    </row>
    <row r="1089" spans="1:21" ht="43.2" x14ac:dyDescent="0.55000000000000004">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96"/>
        <v>0</v>
      </c>
      <c r="P1089" s="16">
        <f t="shared" si="97"/>
        <v>0</v>
      </c>
      <c r="Q1089" t="str">
        <f t="shared" si="100"/>
        <v>games</v>
      </c>
      <c r="R1089" t="str">
        <f t="shared" si="101"/>
        <v>video games</v>
      </c>
      <c r="S1089" s="4">
        <f t="shared" si="98"/>
        <v>41775.713969907411</v>
      </c>
      <c r="T1089" s="4">
        <f t="shared" si="99"/>
        <v>41805.713969907411</v>
      </c>
      <c r="U1089" s="5">
        <f>VLOOKUP(currency,Tables!$A$1:$C$14,3,FALSE)*pledged</f>
        <v>0</v>
      </c>
    </row>
    <row r="1090" spans="1:21" ht="28.8" x14ac:dyDescent="0.55000000000000004">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ref="O1090:O1153" si="102">pledged/goal</f>
        <v>0.14182977777777778</v>
      </c>
      <c r="P1090" s="16">
        <f t="shared" ref="P1090:P1153" si="103">IF(pledged=0,0,pledged/backers_count)</f>
        <v>43.41727891156463</v>
      </c>
      <c r="Q1090" t="str">
        <f t="shared" si="100"/>
        <v>games</v>
      </c>
      <c r="R1090" t="str">
        <f t="shared" si="101"/>
        <v>video games</v>
      </c>
      <c r="S1090" s="4">
        <f t="shared" ref="S1090:S1153" si="104">(((Unix_launched_date/60)/60)/24)+DATE(1970,1,1)</f>
        <v>41723.799386574072</v>
      </c>
      <c r="T1090" s="4">
        <f t="shared" ref="T1090:T1153" si="105">(((Unix_deadline/60)/60)/24)+DATE(1970,1,1)</f>
        <v>41753.799386574072</v>
      </c>
      <c r="U1090" s="5">
        <f>VLOOKUP(currency,Tables!$A$1:$C$14,3,FALSE)*pledged</f>
        <v>6382.34</v>
      </c>
    </row>
    <row r="1091" spans="1:21" ht="28.8" x14ac:dyDescent="0.55000000000000004">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si="102"/>
        <v>7.8266666666666665E-2</v>
      </c>
      <c r="P1091" s="16">
        <f t="shared" si="103"/>
        <v>23.959183673469386</v>
      </c>
      <c r="Q1091" t="str">
        <f t="shared" ref="Q1091:Q1154" si="106">LEFT(N1091,FIND("/",N1091,1)-1)</f>
        <v>games</v>
      </c>
      <c r="R1091" t="str">
        <f t="shared" ref="R1091:R1154" si="107">RIGHT(N1091,(LEN(N1091)-FIND("/",N1091,1)))</f>
        <v>video games</v>
      </c>
      <c r="S1091" s="4">
        <f t="shared" si="104"/>
        <v>42151.189525462964</v>
      </c>
      <c r="T1091" s="4">
        <f t="shared" si="105"/>
        <v>42181.189525462964</v>
      </c>
      <c r="U1091" s="5">
        <f>VLOOKUP(currency,Tables!$A$1:$C$14,3,FALSE)*pledged</f>
        <v>1385.32</v>
      </c>
    </row>
    <row r="1092" spans="1:21" ht="43.2" x14ac:dyDescent="0.55000000000000004">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16">
        <f t="shared" si="103"/>
        <v>5</v>
      </c>
      <c r="Q1092" t="str">
        <f t="shared" si="106"/>
        <v>games</v>
      </c>
      <c r="R1092" t="str">
        <f t="shared" si="107"/>
        <v>video games</v>
      </c>
      <c r="S1092" s="4">
        <f t="shared" si="104"/>
        <v>42123.185798611114</v>
      </c>
      <c r="T1092" s="4">
        <f t="shared" si="105"/>
        <v>42153.185798611114</v>
      </c>
      <c r="U1092" s="5">
        <f>VLOOKUP(currency,Tables!$A$1:$C$14,3,FALSE)*pledged</f>
        <v>3.65</v>
      </c>
    </row>
    <row r="1093" spans="1:21" ht="43.2" x14ac:dyDescent="0.55000000000000004">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102"/>
        <v>0.125</v>
      </c>
      <c r="P1093" s="16">
        <f t="shared" si="103"/>
        <v>12.5</v>
      </c>
      <c r="Q1093" t="str">
        <f t="shared" si="106"/>
        <v>games</v>
      </c>
      <c r="R1093" t="str">
        <f t="shared" si="107"/>
        <v>video games</v>
      </c>
      <c r="S1093" s="4">
        <f t="shared" si="104"/>
        <v>42440.820277777777</v>
      </c>
      <c r="T1093" s="4">
        <f t="shared" si="105"/>
        <v>42470.778611111105</v>
      </c>
      <c r="U1093" s="5">
        <f>VLOOKUP(currency,Tables!$A$1:$C$14,3,FALSE)*pledged</f>
        <v>33</v>
      </c>
    </row>
    <row r="1094" spans="1:21" ht="57.6" x14ac:dyDescent="0.55000000000000004">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16">
        <f t="shared" si="103"/>
        <v>3</v>
      </c>
      <c r="Q1094" t="str">
        <f t="shared" si="106"/>
        <v>games</v>
      </c>
      <c r="R1094" t="str">
        <f t="shared" si="107"/>
        <v>video games</v>
      </c>
      <c r="S1094" s="4">
        <f t="shared" si="104"/>
        <v>41250.025902777779</v>
      </c>
      <c r="T1094" s="4">
        <f t="shared" si="105"/>
        <v>41280.025902777779</v>
      </c>
      <c r="U1094" s="5">
        <f>VLOOKUP(currency,Tables!$A$1:$C$14,3,FALSE)*pledged</f>
        <v>21</v>
      </c>
    </row>
    <row r="1095" spans="1:21" ht="43.2" x14ac:dyDescent="0.55000000000000004">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16">
        <f t="shared" si="103"/>
        <v>10.5625</v>
      </c>
      <c r="Q1095" t="str">
        <f t="shared" si="106"/>
        <v>games</v>
      </c>
      <c r="R1095" t="str">
        <f t="shared" si="107"/>
        <v>video games</v>
      </c>
      <c r="S1095" s="4">
        <f t="shared" si="104"/>
        <v>42396.973807870367</v>
      </c>
      <c r="T1095" s="4">
        <f t="shared" si="105"/>
        <v>42411.973807870367</v>
      </c>
      <c r="U1095" s="5">
        <f>VLOOKUP(currency,Tables!$A$1:$C$14,3,FALSE)*pledged</f>
        <v>32.11</v>
      </c>
    </row>
    <row r="1096" spans="1:21" ht="43.2" x14ac:dyDescent="0.55000000000000004">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16">
        <f t="shared" si="103"/>
        <v>122.00037037037038</v>
      </c>
      <c r="Q1096" t="str">
        <f t="shared" si="106"/>
        <v>games</v>
      </c>
      <c r="R1096" t="str">
        <f t="shared" si="107"/>
        <v>video games</v>
      </c>
      <c r="S1096" s="4">
        <f t="shared" si="104"/>
        <v>40795.713344907403</v>
      </c>
      <c r="T1096" s="4">
        <f t="shared" si="105"/>
        <v>40825.713344907403</v>
      </c>
      <c r="U1096" s="5">
        <f>VLOOKUP(currency,Tables!$A$1:$C$14,3,FALSE)*pledged</f>
        <v>3294.01</v>
      </c>
    </row>
    <row r="1097" spans="1:21" ht="43.2" x14ac:dyDescent="0.55000000000000004">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16">
        <f t="shared" si="103"/>
        <v>267.80851063829789</v>
      </c>
      <c r="Q1097" t="str">
        <f t="shared" si="106"/>
        <v>games</v>
      </c>
      <c r="R1097" t="str">
        <f t="shared" si="107"/>
        <v>video games</v>
      </c>
      <c r="S1097" s="4">
        <f t="shared" si="104"/>
        <v>41486.537268518521</v>
      </c>
      <c r="T1097" s="4">
        <f t="shared" si="105"/>
        <v>41516.537268518521</v>
      </c>
      <c r="U1097" s="5">
        <f>VLOOKUP(currency,Tables!$A$1:$C$14,3,FALSE)*pledged</f>
        <v>25174</v>
      </c>
    </row>
    <row r="1098" spans="1:21" ht="43.2" x14ac:dyDescent="0.55000000000000004">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16">
        <f t="shared" si="103"/>
        <v>74.206896551724142</v>
      </c>
      <c r="Q1098" t="str">
        <f t="shared" si="106"/>
        <v>games</v>
      </c>
      <c r="R1098" t="str">
        <f t="shared" si="107"/>
        <v>video games</v>
      </c>
      <c r="S1098" s="4">
        <f t="shared" si="104"/>
        <v>41885.51798611111</v>
      </c>
      <c r="T1098" s="4">
        <f t="shared" si="105"/>
        <v>41916.145833333336</v>
      </c>
      <c r="U1098" s="5">
        <f>VLOOKUP(currency,Tables!$A$1:$C$14,3,FALSE)*pledged</f>
        <v>2152</v>
      </c>
    </row>
    <row r="1099" spans="1:21" ht="43.2" x14ac:dyDescent="0.55000000000000004">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16">
        <f t="shared" si="103"/>
        <v>6.7142857142857144</v>
      </c>
      <c r="Q1099" t="str">
        <f t="shared" si="106"/>
        <v>games</v>
      </c>
      <c r="R1099" t="str">
        <f t="shared" si="107"/>
        <v>video games</v>
      </c>
      <c r="S1099" s="4">
        <f t="shared" si="104"/>
        <v>41660.792557870373</v>
      </c>
      <c r="T1099" s="4">
        <f t="shared" si="105"/>
        <v>41700.792557870373</v>
      </c>
      <c r="U1099" s="5">
        <f>VLOOKUP(currency,Tables!$A$1:$C$14,3,FALSE)*pledged</f>
        <v>47</v>
      </c>
    </row>
    <row r="1100" spans="1:21" ht="28.8" x14ac:dyDescent="0.55000000000000004">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16">
        <f t="shared" si="103"/>
        <v>81.954545454545453</v>
      </c>
      <c r="Q1100" t="str">
        <f t="shared" si="106"/>
        <v>games</v>
      </c>
      <c r="R1100" t="str">
        <f t="shared" si="107"/>
        <v>video games</v>
      </c>
      <c r="S1100" s="4">
        <f t="shared" si="104"/>
        <v>41712.762673611112</v>
      </c>
      <c r="T1100" s="4">
        <f t="shared" si="105"/>
        <v>41742.762673611112</v>
      </c>
      <c r="U1100" s="5">
        <f>VLOOKUP(currency,Tables!$A$1:$C$14,3,FALSE)*pledged</f>
        <v>1803</v>
      </c>
    </row>
    <row r="1101" spans="1:21" ht="43.2" x14ac:dyDescent="0.55000000000000004">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16">
        <f t="shared" si="103"/>
        <v>25</v>
      </c>
      <c r="Q1101" t="str">
        <f t="shared" si="106"/>
        <v>games</v>
      </c>
      <c r="R1101" t="str">
        <f t="shared" si="107"/>
        <v>video games</v>
      </c>
      <c r="S1101" s="4">
        <f t="shared" si="104"/>
        <v>42107.836435185185</v>
      </c>
      <c r="T1101" s="4">
        <f t="shared" si="105"/>
        <v>42137.836435185185</v>
      </c>
      <c r="U1101" s="5">
        <f>VLOOKUP(currency,Tables!$A$1:$C$14,3,FALSE)*pledged</f>
        <v>33</v>
      </c>
    </row>
    <row r="1102" spans="1:21" ht="43.2" x14ac:dyDescent="0.55000000000000004">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16">
        <f t="shared" si="103"/>
        <v>10</v>
      </c>
      <c r="Q1102" t="str">
        <f t="shared" si="106"/>
        <v>games</v>
      </c>
      <c r="R1102" t="str">
        <f t="shared" si="107"/>
        <v>video games</v>
      </c>
      <c r="S1102" s="4">
        <f t="shared" si="104"/>
        <v>42384.110775462963</v>
      </c>
      <c r="T1102" s="4">
        <f t="shared" si="105"/>
        <v>42414.110775462963</v>
      </c>
      <c r="U1102" s="5">
        <f>VLOOKUP(currency,Tables!$A$1:$C$14,3,FALSE)*pledged</f>
        <v>118</v>
      </c>
    </row>
    <row r="1103" spans="1:21" ht="28.8" x14ac:dyDescent="0.55000000000000004">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16">
        <f t="shared" si="103"/>
        <v>6.833333333333333</v>
      </c>
      <c r="Q1103" t="str">
        <f t="shared" si="106"/>
        <v>games</v>
      </c>
      <c r="R1103" t="str">
        <f t="shared" si="107"/>
        <v>video games</v>
      </c>
      <c r="S1103" s="4">
        <f t="shared" si="104"/>
        <v>42538.77243055556</v>
      </c>
      <c r="T1103" s="4">
        <f t="shared" si="105"/>
        <v>42565.758333333331</v>
      </c>
      <c r="U1103" s="5">
        <f>VLOOKUP(currency,Tables!$A$1:$C$14,3,FALSE)*pledged</f>
        <v>41</v>
      </c>
    </row>
    <row r="1104" spans="1:21" ht="43.2" x14ac:dyDescent="0.55000000000000004">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16">
        <f t="shared" si="103"/>
        <v>17.708333333333332</v>
      </c>
      <c r="Q1104" t="str">
        <f t="shared" si="106"/>
        <v>games</v>
      </c>
      <c r="R1104" t="str">
        <f t="shared" si="107"/>
        <v>video games</v>
      </c>
      <c r="S1104" s="4">
        <f t="shared" si="104"/>
        <v>41577.045428240745</v>
      </c>
      <c r="T1104" s="4">
        <f t="shared" si="105"/>
        <v>41617.249305555553</v>
      </c>
      <c r="U1104" s="5">
        <f>VLOOKUP(currency,Tables!$A$1:$C$14,3,FALSE)*pledged</f>
        <v>425</v>
      </c>
    </row>
    <row r="1105" spans="1:21" ht="43.2" x14ac:dyDescent="0.55000000000000004">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16">
        <f t="shared" si="103"/>
        <v>16.2</v>
      </c>
      <c r="Q1105" t="str">
        <f t="shared" si="106"/>
        <v>games</v>
      </c>
      <c r="R1105" t="str">
        <f t="shared" si="107"/>
        <v>video games</v>
      </c>
      <c r="S1105" s="4">
        <f t="shared" si="104"/>
        <v>42479.22210648148</v>
      </c>
      <c r="T1105" s="4">
        <f t="shared" si="105"/>
        <v>42539.22210648148</v>
      </c>
      <c r="U1105" s="5">
        <f>VLOOKUP(currency,Tables!$A$1:$C$14,3,FALSE)*pledged</f>
        <v>243</v>
      </c>
    </row>
    <row r="1106" spans="1:21" ht="43.2" x14ac:dyDescent="0.55000000000000004">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16">
        <f t="shared" si="103"/>
        <v>80.297297297297291</v>
      </c>
      <c r="Q1106" t="str">
        <f t="shared" si="106"/>
        <v>games</v>
      </c>
      <c r="R1106" t="str">
        <f t="shared" si="107"/>
        <v>video games</v>
      </c>
      <c r="S1106" s="4">
        <f t="shared" si="104"/>
        <v>41771.40996527778</v>
      </c>
      <c r="T1106" s="4">
        <f t="shared" si="105"/>
        <v>41801.40996527778</v>
      </c>
      <c r="U1106" s="5">
        <f>VLOOKUP(currency,Tables!$A$1:$C$14,3,FALSE)*pledged</f>
        <v>3921.7200000000003</v>
      </c>
    </row>
    <row r="1107" spans="1:21" ht="43.2" x14ac:dyDescent="0.55000000000000004">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16">
        <f t="shared" si="103"/>
        <v>71.55</v>
      </c>
      <c r="Q1107" t="str">
        <f t="shared" si="106"/>
        <v>games</v>
      </c>
      <c r="R1107" t="str">
        <f t="shared" si="107"/>
        <v>video games</v>
      </c>
      <c r="S1107" s="4">
        <f t="shared" si="104"/>
        <v>41692.135729166665</v>
      </c>
      <c r="T1107" s="4">
        <f t="shared" si="105"/>
        <v>41722.0940625</v>
      </c>
      <c r="U1107" s="5">
        <f>VLOOKUP(currency,Tables!$A$1:$C$14,3,FALSE)*pledged</f>
        <v>1431</v>
      </c>
    </row>
    <row r="1108" spans="1:21" ht="43.2" x14ac:dyDescent="0.55000000000000004">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16">
        <f t="shared" si="103"/>
        <v>23.571428571428573</v>
      </c>
      <c r="Q1108" t="str">
        <f t="shared" si="106"/>
        <v>games</v>
      </c>
      <c r="R1108" t="str">
        <f t="shared" si="107"/>
        <v>video games</v>
      </c>
      <c r="S1108" s="4">
        <f t="shared" si="104"/>
        <v>40973.740451388891</v>
      </c>
      <c r="T1108" s="4">
        <f t="shared" si="105"/>
        <v>41003.698784722219</v>
      </c>
      <c r="U1108" s="5">
        <f>VLOOKUP(currency,Tables!$A$1:$C$14,3,FALSE)*pledged</f>
        <v>165</v>
      </c>
    </row>
    <row r="1109" spans="1:21" ht="57.6" x14ac:dyDescent="0.55000000000000004">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102"/>
        <v>0</v>
      </c>
      <c r="P1109" s="16">
        <f t="shared" si="103"/>
        <v>0</v>
      </c>
      <c r="Q1109" t="str">
        <f t="shared" si="106"/>
        <v>games</v>
      </c>
      <c r="R1109" t="str">
        <f t="shared" si="107"/>
        <v>video games</v>
      </c>
      <c r="S1109" s="4">
        <f t="shared" si="104"/>
        <v>41813.861388888887</v>
      </c>
      <c r="T1109" s="4">
        <f t="shared" si="105"/>
        <v>41843.861388888887</v>
      </c>
      <c r="U1109" s="5">
        <f>VLOOKUP(currency,Tables!$A$1:$C$14,3,FALSE)*pledged</f>
        <v>0</v>
      </c>
    </row>
    <row r="1110" spans="1:21" ht="43.2" x14ac:dyDescent="0.55000000000000004">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16">
        <f t="shared" si="103"/>
        <v>34.88095238095238</v>
      </c>
      <c r="Q1110" t="str">
        <f t="shared" si="106"/>
        <v>games</v>
      </c>
      <c r="R1110" t="str">
        <f t="shared" si="107"/>
        <v>video games</v>
      </c>
      <c r="S1110" s="4">
        <f t="shared" si="104"/>
        <v>40952.636979166666</v>
      </c>
      <c r="T1110" s="4">
        <f t="shared" si="105"/>
        <v>41012.595312500001</v>
      </c>
      <c r="U1110" s="5">
        <f>VLOOKUP(currency,Tables!$A$1:$C$14,3,FALSE)*pledged</f>
        <v>732.5</v>
      </c>
    </row>
    <row r="1111" spans="1:21" ht="43.2" x14ac:dyDescent="0.55000000000000004">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16">
        <f t="shared" si="103"/>
        <v>15</v>
      </c>
      <c r="Q1111" t="str">
        <f t="shared" si="106"/>
        <v>games</v>
      </c>
      <c r="R1111" t="str">
        <f t="shared" si="107"/>
        <v>video games</v>
      </c>
      <c r="S1111" s="4">
        <f t="shared" si="104"/>
        <v>42662.752199074079</v>
      </c>
      <c r="T1111" s="4">
        <f t="shared" si="105"/>
        <v>42692.793865740736</v>
      </c>
      <c r="U1111" s="5">
        <f>VLOOKUP(currency,Tables!$A$1:$C$14,3,FALSE)*pledged</f>
        <v>45</v>
      </c>
    </row>
    <row r="1112" spans="1:21" ht="43.2" x14ac:dyDescent="0.55000000000000004">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16">
        <f t="shared" si="103"/>
        <v>23.181818181818183</v>
      </c>
      <c r="Q1112" t="str">
        <f t="shared" si="106"/>
        <v>games</v>
      </c>
      <c r="R1112" t="str">
        <f t="shared" si="107"/>
        <v>video games</v>
      </c>
      <c r="S1112" s="4">
        <f t="shared" si="104"/>
        <v>41220.933124999996</v>
      </c>
      <c r="T1112" s="4">
        <f t="shared" si="105"/>
        <v>41250.933124999996</v>
      </c>
      <c r="U1112" s="5">
        <f>VLOOKUP(currency,Tables!$A$1:$C$14,3,FALSE)*pledged</f>
        <v>255</v>
      </c>
    </row>
    <row r="1113" spans="1:21" ht="43.2" x14ac:dyDescent="0.55000000000000004">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16">
        <f t="shared" si="103"/>
        <v>1</v>
      </c>
      <c r="Q1113" t="str">
        <f t="shared" si="106"/>
        <v>games</v>
      </c>
      <c r="R1113" t="str">
        <f t="shared" si="107"/>
        <v>video games</v>
      </c>
      <c r="S1113" s="4">
        <f t="shared" si="104"/>
        <v>42347.203587962969</v>
      </c>
      <c r="T1113" s="4">
        <f t="shared" si="105"/>
        <v>42377.203587962969</v>
      </c>
      <c r="U1113" s="5">
        <f>VLOOKUP(currency,Tables!$A$1:$C$14,3,FALSE)*pledged</f>
        <v>1</v>
      </c>
    </row>
    <row r="1114" spans="1:21" ht="43.2" x14ac:dyDescent="0.55000000000000004">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16">
        <f t="shared" si="103"/>
        <v>100.23371794871794</v>
      </c>
      <c r="Q1114" t="str">
        <f t="shared" si="106"/>
        <v>games</v>
      </c>
      <c r="R1114" t="str">
        <f t="shared" si="107"/>
        <v>video games</v>
      </c>
      <c r="S1114" s="4">
        <f t="shared" si="104"/>
        <v>41963.759386574078</v>
      </c>
      <c r="T1114" s="4">
        <f t="shared" si="105"/>
        <v>42023.354166666672</v>
      </c>
      <c r="U1114" s="5">
        <f>VLOOKUP(currency,Tables!$A$1:$C$14,3,FALSE)*pledged</f>
        <v>31272.92</v>
      </c>
    </row>
    <row r="1115" spans="1:21" ht="43.2" x14ac:dyDescent="0.55000000000000004">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16">
        <f t="shared" si="103"/>
        <v>5</v>
      </c>
      <c r="Q1115" t="str">
        <f t="shared" si="106"/>
        <v>games</v>
      </c>
      <c r="R1115" t="str">
        <f t="shared" si="107"/>
        <v>video games</v>
      </c>
      <c r="S1115" s="4">
        <f t="shared" si="104"/>
        <v>41835.977083333331</v>
      </c>
      <c r="T1115" s="4">
        <f t="shared" si="105"/>
        <v>41865.977083333331</v>
      </c>
      <c r="U1115" s="5">
        <f>VLOOKUP(currency,Tables!$A$1:$C$14,3,FALSE)*pledged</f>
        <v>6.6000000000000005</v>
      </c>
    </row>
    <row r="1116" spans="1:21" ht="43.2" x14ac:dyDescent="0.55000000000000004">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16">
        <f t="shared" si="103"/>
        <v>3.3333333333333335</v>
      </c>
      <c r="Q1116" t="str">
        <f t="shared" si="106"/>
        <v>games</v>
      </c>
      <c r="R1116" t="str">
        <f t="shared" si="107"/>
        <v>video games</v>
      </c>
      <c r="S1116" s="4">
        <f t="shared" si="104"/>
        <v>41526.345914351856</v>
      </c>
      <c r="T1116" s="4">
        <f t="shared" si="105"/>
        <v>41556.345914351856</v>
      </c>
      <c r="U1116" s="5">
        <f>VLOOKUP(currency,Tables!$A$1:$C$14,3,FALSE)*pledged</f>
        <v>13.200000000000001</v>
      </c>
    </row>
    <row r="1117" spans="1:21" ht="43.2" x14ac:dyDescent="0.55000000000000004">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16">
        <f t="shared" si="103"/>
        <v>13.25</v>
      </c>
      <c r="Q1117" t="str">
        <f t="shared" si="106"/>
        <v>games</v>
      </c>
      <c r="R1117" t="str">
        <f t="shared" si="107"/>
        <v>video games</v>
      </c>
      <c r="S1117" s="4">
        <f t="shared" si="104"/>
        <v>42429.695543981477</v>
      </c>
      <c r="T1117" s="4">
        <f t="shared" si="105"/>
        <v>42459.653877314813</v>
      </c>
      <c r="U1117" s="5">
        <f>VLOOKUP(currency,Tables!$A$1:$C$14,3,FALSE)*pledged</f>
        <v>53</v>
      </c>
    </row>
    <row r="1118" spans="1:21" ht="28.8" x14ac:dyDescent="0.55000000000000004">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16">
        <f t="shared" si="103"/>
        <v>17.852</v>
      </c>
      <c r="Q1118" t="str">
        <f t="shared" si="106"/>
        <v>games</v>
      </c>
      <c r="R1118" t="str">
        <f t="shared" si="107"/>
        <v>video games</v>
      </c>
      <c r="S1118" s="4">
        <f t="shared" si="104"/>
        <v>41009.847314814811</v>
      </c>
      <c r="T1118" s="4">
        <f t="shared" si="105"/>
        <v>41069.847314814811</v>
      </c>
      <c r="U1118" s="5">
        <f>VLOOKUP(currency,Tables!$A$1:$C$14,3,FALSE)*pledged</f>
        <v>178.52</v>
      </c>
    </row>
    <row r="1119" spans="1:21" ht="43.2" x14ac:dyDescent="0.55000000000000004">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16">
        <f t="shared" si="103"/>
        <v>10.375</v>
      </c>
      <c r="Q1119" t="str">
        <f t="shared" si="106"/>
        <v>games</v>
      </c>
      <c r="R1119" t="str">
        <f t="shared" si="107"/>
        <v>video games</v>
      </c>
      <c r="S1119" s="4">
        <f t="shared" si="104"/>
        <v>42333.598530092597</v>
      </c>
      <c r="T1119" s="4">
        <f t="shared" si="105"/>
        <v>42363.598530092597</v>
      </c>
      <c r="U1119" s="5">
        <f>VLOOKUP(currency,Tables!$A$1:$C$14,3,FALSE)*pledged</f>
        <v>97.94</v>
      </c>
    </row>
    <row r="1120" spans="1:21" ht="43.2" x14ac:dyDescent="0.55000000000000004">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16">
        <f t="shared" si="103"/>
        <v>36.333333333333336</v>
      </c>
      <c r="Q1120" t="str">
        <f t="shared" si="106"/>
        <v>games</v>
      </c>
      <c r="R1120" t="str">
        <f t="shared" si="107"/>
        <v>video games</v>
      </c>
      <c r="S1120" s="4">
        <f t="shared" si="104"/>
        <v>41704.16642361111</v>
      </c>
      <c r="T1120" s="4">
        <f t="shared" si="105"/>
        <v>41734.124756944446</v>
      </c>
      <c r="U1120" s="5">
        <f>VLOOKUP(currency,Tables!$A$1:$C$14,3,FALSE)*pledged</f>
        <v>79.569999999999993</v>
      </c>
    </row>
    <row r="1121" spans="1:21" ht="43.2" x14ac:dyDescent="0.55000000000000004">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16">
        <f t="shared" si="103"/>
        <v>5</v>
      </c>
      <c r="Q1121" t="str">
        <f t="shared" si="106"/>
        <v>games</v>
      </c>
      <c r="R1121" t="str">
        <f t="shared" si="107"/>
        <v>video games</v>
      </c>
      <c r="S1121" s="4">
        <f t="shared" si="104"/>
        <v>41722.792407407411</v>
      </c>
      <c r="T1121" s="4">
        <f t="shared" si="105"/>
        <v>41735.792407407411</v>
      </c>
      <c r="U1121" s="5">
        <f>VLOOKUP(currency,Tables!$A$1:$C$14,3,FALSE)*pledged</f>
        <v>5</v>
      </c>
    </row>
    <row r="1122" spans="1:21" ht="28.8" x14ac:dyDescent="0.55000000000000004">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102"/>
        <v>0</v>
      </c>
      <c r="P1122" s="16">
        <f t="shared" si="103"/>
        <v>0</v>
      </c>
      <c r="Q1122" t="str">
        <f t="shared" si="106"/>
        <v>games</v>
      </c>
      <c r="R1122" t="str">
        <f t="shared" si="107"/>
        <v>video games</v>
      </c>
      <c r="S1122" s="4">
        <f t="shared" si="104"/>
        <v>40799.872685185182</v>
      </c>
      <c r="T1122" s="4">
        <f t="shared" si="105"/>
        <v>40844.872685185182</v>
      </c>
      <c r="U1122" s="5">
        <f>VLOOKUP(currency,Tables!$A$1:$C$14,3,FALSE)*pledged</f>
        <v>0</v>
      </c>
    </row>
    <row r="1123" spans="1:21" ht="43.2" x14ac:dyDescent="0.55000000000000004">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16">
        <f t="shared" si="103"/>
        <v>5.8</v>
      </c>
      <c r="Q1123" t="str">
        <f t="shared" si="106"/>
        <v>games</v>
      </c>
      <c r="R1123" t="str">
        <f t="shared" si="107"/>
        <v>video games</v>
      </c>
      <c r="S1123" s="4">
        <f t="shared" si="104"/>
        <v>42412.934212962966</v>
      </c>
      <c r="T1123" s="4">
        <f t="shared" si="105"/>
        <v>42442.892546296294</v>
      </c>
      <c r="U1123" s="5">
        <f>VLOOKUP(currency,Tables!$A$1:$C$14,3,FALSE)*pledged</f>
        <v>29</v>
      </c>
    </row>
    <row r="1124" spans="1:21" ht="43.2" x14ac:dyDescent="0.55000000000000004">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102"/>
        <v>0</v>
      </c>
      <c r="P1124" s="16">
        <f t="shared" si="103"/>
        <v>0</v>
      </c>
      <c r="Q1124" t="str">
        <f t="shared" si="106"/>
        <v>games</v>
      </c>
      <c r="R1124" t="str">
        <f t="shared" si="107"/>
        <v>video games</v>
      </c>
      <c r="S1124" s="4">
        <f t="shared" si="104"/>
        <v>41410.703993055555</v>
      </c>
      <c r="T1124" s="4">
        <f t="shared" si="105"/>
        <v>41424.703993055555</v>
      </c>
      <c r="U1124" s="5">
        <f>VLOOKUP(currency,Tables!$A$1:$C$14,3,FALSE)*pledged</f>
        <v>0</v>
      </c>
    </row>
    <row r="1125" spans="1:21" ht="43.2" x14ac:dyDescent="0.55000000000000004">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16">
        <f t="shared" si="103"/>
        <v>3.6666666666666665</v>
      </c>
      <c r="Q1125" t="str">
        <f t="shared" si="106"/>
        <v>games</v>
      </c>
      <c r="R1125" t="str">
        <f t="shared" si="107"/>
        <v>video games</v>
      </c>
      <c r="S1125" s="4">
        <f t="shared" si="104"/>
        <v>41718.5237037037</v>
      </c>
      <c r="T1125" s="4">
        <f t="shared" si="105"/>
        <v>41748.5237037037</v>
      </c>
      <c r="U1125" s="5">
        <f>VLOOKUP(currency,Tables!$A$1:$C$14,3,FALSE)*pledged</f>
        <v>11</v>
      </c>
    </row>
    <row r="1126" spans="1:21" ht="43.2" x14ac:dyDescent="0.55000000000000004">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16">
        <f t="shared" si="103"/>
        <v>60.714285714285715</v>
      </c>
      <c r="Q1126" t="str">
        <f t="shared" si="106"/>
        <v>games</v>
      </c>
      <c r="R1126" t="str">
        <f t="shared" si="107"/>
        <v>mobile games</v>
      </c>
      <c r="S1126" s="4">
        <f t="shared" si="104"/>
        <v>42094.667256944449</v>
      </c>
      <c r="T1126" s="4">
        <f t="shared" si="105"/>
        <v>42124.667256944449</v>
      </c>
      <c r="U1126" s="5">
        <f>VLOOKUP(currency,Tables!$A$1:$C$14,3,FALSE)*pledged</f>
        <v>425</v>
      </c>
    </row>
    <row r="1127" spans="1:21" ht="43.2" x14ac:dyDescent="0.55000000000000004">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102"/>
        <v>0</v>
      </c>
      <c r="P1127" s="16">
        <f t="shared" si="103"/>
        <v>0</v>
      </c>
      <c r="Q1127" t="str">
        <f t="shared" si="106"/>
        <v>games</v>
      </c>
      <c r="R1127" t="str">
        <f t="shared" si="107"/>
        <v>mobile games</v>
      </c>
      <c r="S1127" s="4">
        <f t="shared" si="104"/>
        <v>42212.624189814815</v>
      </c>
      <c r="T1127" s="4">
        <f t="shared" si="105"/>
        <v>42272.624189814815</v>
      </c>
      <c r="U1127" s="5">
        <f>VLOOKUP(currency,Tables!$A$1:$C$14,3,FALSE)*pledged</f>
        <v>0</v>
      </c>
    </row>
    <row r="1128" spans="1:21" ht="43.2" x14ac:dyDescent="0.55000000000000004">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16">
        <f t="shared" si="103"/>
        <v>5</v>
      </c>
      <c r="Q1128" t="str">
        <f t="shared" si="106"/>
        <v>games</v>
      </c>
      <c r="R1128" t="str">
        <f t="shared" si="107"/>
        <v>mobile games</v>
      </c>
      <c r="S1128" s="4">
        <f t="shared" si="104"/>
        <v>42535.327476851846</v>
      </c>
      <c r="T1128" s="4">
        <f t="shared" si="105"/>
        <v>42565.327476851846</v>
      </c>
      <c r="U1128" s="5">
        <f>VLOOKUP(currency,Tables!$A$1:$C$14,3,FALSE)*pledged</f>
        <v>10</v>
      </c>
    </row>
    <row r="1129" spans="1:21" ht="57.6" x14ac:dyDescent="0.55000000000000004">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16">
        <f t="shared" si="103"/>
        <v>25.434782608695652</v>
      </c>
      <c r="Q1129" t="str">
        <f t="shared" si="106"/>
        <v>games</v>
      </c>
      <c r="R1129" t="str">
        <f t="shared" si="107"/>
        <v>mobile games</v>
      </c>
      <c r="S1129" s="4">
        <f t="shared" si="104"/>
        <v>41926.854166666664</v>
      </c>
      <c r="T1129" s="4">
        <f t="shared" si="105"/>
        <v>41957.895833333328</v>
      </c>
      <c r="U1129" s="5">
        <f>VLOOKUP(currency,Tables!$A$1:$C$14,3,FALSE)*pledged</f>
        <v>585</v>
      </c>
    </row>
    <row r="1130" spans="1:21" x14ac:dyDescent="0.55000000000000004">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102"/>
        <v>1E-3</v>
      </c>
      <c r="P1130" s="16">
        <f t="shared" si="103"/>
        <v>1</v>
      </c>
      <c r="Q1130" t="str">
        <f t="shared" si="106"/>
        <v>games</v>
      </c>
      <c r="R1130" t="str">
        <f t="shared" si="107"/>
        <v>mobile games</v>
      </c>
      <c r="S1130" s="4">
        <f t="shared" si="104"/>
        <v>41828.649502314816</v>
      </c>
      <c r="T1130" s="4">
        <f t="shared" si="105"/>
        <v>41858.649502314816</v>
      </c>
      <c r="U1130" s="5">
        <f>VLOOKUP(currency,Tables!$A$1:$C$14,3,FALSE)*pledged</f>
        <v>1.32</v>
      </c>
    </row>
    <row r="1131" spans="1:21" ht="43.2" x14ac:dyDescent="0.55000000000000004">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16">
        <f t="shared" si="103"/>
        <v>10.5</v>
      </c>
      <c r="Q1131" t="str">
        <f t="shared" si="106"/>
        <v>games</v>
      </c>
      <c r="R1131" t="str">
        <f t="shared" si="107"/>
        <v>mobile games</v>
      </c>
      <c r="S1131" s="4">
        <f t="shared" si="104"/>
        <v>42496.264965277776</v>
      </c>
      <c r="T1131" s="4">
        <f t="shared" si="105"/>
        <v>42526.264965277776</v>
      </c>
      <c r="U1131" s="5">
        <f>VLOOKUP(currency,Tables!$A$1:$C$14,3,FALSE)*pledged</f>
        <v>21</v>
      </c>
    </row>
    <row r="1132" spans="1:21" ht="43.2" x14ac:dyDescent="0.55000000000000004">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16">
        <f t="shared" si="103"/>
        <v>3.6666666666666665</v>
      </c>
      <c r="Q1132" t="str">
        <f t="shared" si="106"/>
        <v>games</v>
      </c>
      <c r="R1132" t="str">
        <f t="shared" si="107"/>
        <v>mobile games</v>
      </c>
      <c r="S1132" s="4">
        <f t="shared" si="104"/>
        <v>41908.996527777781</v>
      </c>
      <c r="T1132" s="4">
        <f t="shared" si="105"/>
        <v>41969.038194444445</v>
      </c>
      <c r="U1132" s="5">
        <f>VLOOKUP(currency,Tables!$A$1:$C$14,3,FALSE)*pledged</f>
        <v>11</v>
      </c>
    </row>
    <row r="1133" spans="1:21" ht="43.2" x14ac:dyDescent="0.55000000000000004">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102"/>
        <v>0</v>
      </c>
      <c r="P1133" s="16">
        <f t="shared" si="103"/>
        <v>0</v>
      </c>
      <c r="Q1133" t="str">
        <f t="shared" si="106"/>
        <v>games</v>
      </c>
      <c r="R1133" t="str">
        <f t="shared" si="107"/>
        <v>mobile games</v>
      </c>
      <c r="S1133" s="4">
        <f t="shared" si="104"/>
        <v>42332.908194444448</v>
      </c>
      <c r="T1133" s="4">
        <f t="shared" si="105"/>
        <v>42362.908194444448</v>
      </c>
      <c r="U1133" s="5">
        <f>VLOOKUP(currency,Tables!$A$1:$C$14,3,FALSE)*pledged</f>
        <v>0</v>
      </c>
    </row>
    <row r="1134" spans="1:21" ht="43.2" x14ac:dyDescent="0.55000000000000004">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16">
        <f t="shared" si="103"/>
        <v>110.61538461538461</v>
      </c>
      <c r="Q1134" t="str">
        <f t="shared" si="106"/>
        <v>games</v>
      </c>
      <c r="R1134" t="str">
        <f t="shared" si="107"/>
        <v>mobile games</v>
      </c>
      <c r="S1134" s="4">
        <f t="shared" si="104"/>
        <v>42706.115405092598</v>
      </c>
      <c r="T1134" s="4">
        <f t="shared" si="105"/>
        <v>42736.115405092598</v>
      </c>
      <c r="U1134" s="5">
        <f>VLOOKUP(currency,Tables!$A$1:$C$14,3,FALSE)*pledged</f>
        <v>1092.8800000000001</v>
      </c>
    </row>
    <row r="1135" spans="1:21" ht="43.2" x14ac:dyDescent="0.55000000000000004">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16">
        <f t="shared" si="103"/>
        <v>20</v>
      </c>
      <c r="Q1135" t="str">
        <f t="shared" si="106"/>
        <v>games</v>
      </c>
      <c r="R1135" t="str">
        <f t="shared" si="107"/>
        <v>mobile games</v>
      </c>
      <c r="S1135" s="4">
        <f t="shared" si="104"/>
        <v>41821.407187500001</v>
      </c>
      <c r="T1135" s="4">
        <f t="shared" si="105"/>
        <v>41851.407187500001</v>
      </c>
      <c r="U1135" s="5">
        <f>VLOOKUP(currency,Tables!$A$1:$C$14,3,FALSE)*pledged</f>
        <v>26.400000000000002</v>
      </c>
    </row>
    <row r="1136" spans="1:21" ht="43.2" x14ac:dyDescent="0.55000000000000004">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16">
        <f t="shared" si="103"/>
        <v>1</v>
      </c>
      <c r="Q1136" t="str">
        <f t="shared" si="106"/>
        <v>games</v>
      </c>
      <c r="R1136" t="str">
        <f t="shared" si="107"/>
        <v>mobile games</v>
      </c>
      <c r="S1136" s="4">
        <f t="shared" si="104"/>
        <v>41958.285046296296</v>
      </c>
      <c r="T1136" s="4">
        <f t="shared" si="105"/>
        <v>41972.189583333333</v>
      </c>
      <c r="U1136" s="5">
        <f>VLOOKUP(currency,Tables!$A$1:$C$14,3,FALSE)*pledged</f>
        <v>0.73</v>
      </c>
    </row>
    <row r="1137" spans="1:21" ht="57.6" x14ac:dyDescent="0.55000000000000004">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102"/>
        <v>0.05</v>
      </c>
      <c r="P1137" s="16">
        <f t="shared" si="103"/>
        <v>50</v>
      </c>
      <c r="Q1137" t="str">
        <f t="shared" si="106"/>
        <v>games</v>
      </c>
      <c r="R1137" t="str">
        <f t="shared" si="107"/>
        <v>mobile games</v>
      </c>
      <c r="S1137" s="4">
        <f t="shared" si="104"/>
        <v>42558.989513888882</v>
      </c>
      <c r="T1137" s="4">
        <f t="shared" si="105"/>
        <v>42588.989513888882</v>
      </c>
      <c r="U1137" s="5">
        <f>VLOOKUP(currency,Tables!$A$1:$C$14,3,FALSE)*pledged</f>
        <v>59</v>
      </c>
    </row>
    <row r="1138" spans="1:21" ht="43.2" x14ac:dyDescent="0.55000000000000004">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16">
        <f t="shared" si="103"/>
        <v>45</v>
      </c>
      <c r="Q1138" t="str">
        <f t="shared" si="106"/>
        <v>games</v>
      </c>
      <c r="R1138" t="str">
        <f t="shared" si="107"/>
        <v>mobile games</v>
      </c>
      <c r="S1138" s="4">
        <f t="shared" si="104"/>
        <v>42327.671631944439</v>
      </c>
      <c r="T1138" s="4">
        <f t="shared" si="105"/>
        <v>42357.671631944439</v>
      </c>
      <c r="U1138" s="5">
        <f>VLOOKUP(currency,Tables!$A$1:$C$14,3,FALSE)*pledged</f>
        <v>318.59999999999997</v>
      </c>
    </row>
    <row r="1139" spans="1:21" ht="43.2" x14ac:dyDescent="0.55000000000000004">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16">
        <f t="shared" si="103"/>
        <v>253.2051282051282</v>
      </c>
      <c r="Q1139" t="str">
        <f t="shared" si="106"/>
        <v>games</v>
      </c>
      <c r="R1139" t="str">
        <f t="shared" si="107"/>
        <v>mobile games</v>
      </c>
      <c r="S1139" s="4">
        <f t="shared" si="104"/>
        <v>42453.819687499999</v>
      </c>
      <c r="T1139" s="4">
        <f t="shared" si="105"/>
        <v>42483.819687499999</v>
      </c>
      <c r="U1139" s="5">
        <f>VLOOKUP(currency,Tables!$A$1:$C$14,3,FALSE)*pledged</f>
        <v>9875</v>
      </c>
    </row>
    <row r="1140" spans="1:21" ht="43.2" x14ac:dyDescent="0.55000000000000004">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16">
        <f t="shared" si="103"/>
        <v>31.25</v>
      </c>
      <c r="Q1140" t="str">
        <f t="shared" si="106"/>
        <v>games</v>
      </c>
      <c r="R1140" t="str">
        <f t="shared" si="107"/>
        <v>mobile games</v>
      </c>
      <c r="S1140" s="4">
        <f t="shared" si="104"/>
        <v>42736.9066087963</v>
      </c>
      <c r="T1140" s="4">
        <f t="shared" si="105"/>
        <v>42756.9066087963</v>
      </c>
      <c r="U1140" s="5">
        <f>VLOOKUP(currency,Tables!$A$1:$C$14,3,FALSE)*pledged</f>
        <v>125</v>
      </c>
    </row>
    <row r="1141" spans="1:21" ht="43.2" x14ac:dyDescent="0.55000000000000004">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16">
        <f t="shared" si="103"/>
        <v>5</v>
      </c>
      <c r="Q1141" t="str">
        <f t="shared" si="106"/>
        <v>games</v>
      </c>
      <c r="R1141" t="str">
        <f t="shared" si="107"/>
        <v>mobile games</v>
      </c>
      <c r="S1141" s="4">
        <f t="shared" si="104"/>
        <v>41975.347523148142</v>
      </c>
      <c r="T1141" s="4">
        <f t="shared" si="105"/>
        <v>42005.347523148142</v>
      </c>
      <c r="U1141" s="5">
        <f>VLOOKUP(currency,Tables!$A$1:$C$14,3,FALSE)*pledged</f>
        <v>5</v>
      </c>
    </row>
    <row r="1142" spans="1:21" ht="43.2" x14ac:dyDescent="0.55000000000000004">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102"/>
        <v>0</v>
      </c>
      <c r="P1142" s="16">
        <f t="shared" si="103"/>
        <v>0</v>
      </c>
      <c r="Q1142" t="str">
        <f t="shared" si="106"/>
        <v>games</v>
      </c>
      <c r="R1142" t="str">
        <f t="shared" si="107"/>
        <v>mobile games</v>
      </c>
      <c r="S1142" s="4">
        <f t="shared" si="104"/>
        <v>42192.462048611109</v>
      </c>
      <c r="T1142" s="4">
        <f t="shared" si="105"/>
        <v>42222.462048611109</v>
      </c>
      <c r="U1142" s="5">
        <f>VLOOKUP(currency,Tables!$A$1:$C$14,3,FALSE)*pledged</f>
        <v>0</v>
      </c>
    </row>
    <row r="1143" spans="1:21" x14ac:dyDescent="0.55000000000000004">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102"/>
        <v>0</v>
      </c>
      <c r="P1143" s="16">
        <f t="shared" si="103"/>
        <v>0</v>
      </c>
      <c r="Q1143" t="str">
        <f t="shared" si="106"/>
        <v>games</v>
      </c>
      <c r="R1143" t="str">
        <f t="shared" si="107"/>
        <v>mobile games</v>
      </c>
      <c r="S1143" s="4">
        <f t="shared" si="104"/>
        <v>42164.699652777781</v>
      </c>
      <c r="T1143" s="4">
        <f t="shared" si="105"/>
        <v>42194.699652777781</v>
      </c>
      <c r="U1143" s="5">
        <f>VLOOKUP(currency,Tables!$A$1:$C$14,3,FALSE)*pledged</f>
        <v>0</v>
      </c>
    </row>
    <row r="1144" spans="1:21" ht="43.2" x14ac:dyDescent="0.55000000000000004">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102"/>
        <v>0</v>
      </c>
      <c r="P1144" s="16">
        <f t="shared" si="103"/>
        <v>0</v>
      </c>
      <c r="Q1144" t="str">
        <f t="shared" si="106"/>
        <v>games</v>
      </c>
      <c r="R1144" t="str">
        <f t="shared" si="107"/>
        <v>mobile games</v>
      </c>
      <c r="S1144" s="4">
        <f t="shared" si="104"/>
        <v>42022.006099537044</v>
      </c>
      <c r="T1144" s="4">
        <f t="shared" si="105"/>
        <v>42052.006099537044</v>
      </c>
      <c r="U1144" s="5">
        <f>VLOOKUP(currency,Tables!$A$1:$C$14,3,FALSE)*pledged</f>
        <v>0</v>
      </c>
    </row>
    <row r="1145" spans="1:21" ht="43.2" x14ac:dyDescent="0.55000000000000004">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16">
        <f t="shared" si="103"/>
        <v>23.25</v>
      </c>
      <c r="Q1145" t="str">
        <f t="shared" si="106"/>
        <v>games</v>
      </c>
      <c r="R1145" t="str">
        <f t="shared" si="107"/>
        <v>mobile games</v>
      </c>
      <c r="S1145" s="4">
        <f t="shared" si="104"/>
        <v>42325.19358796296</v>
      </c>
      <c r="T1145" s="4">
        <f t="shared" si="105"/>
        <v>42355.19358796296</v>
      </c>
      <c r="U1145" s="5">
        <f>VLOOKUP(currency,Tables!$A$1:$C$14,3,FALSE)*pledged</f>
        <v>186</v>
      </c>
    </row>
    <row r="1146" spans="1:21" ht="43.2" x14ac:dyDescent="0.55000000000000004">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102"/>
        <v>0</v>
      </c>
      <c r="P1146" s="16">
        <f t="shared" si="103"/>
        <v>0</v>
      </c>
      <c r="Q1146" t="str">
        <f t="shared" si="106"/>
        <v>food</v>
      </c>
      <c r="R1146" t="str">
        <f t="shared" si="107"/>
        <v>food trucks</v>
      </c>
      <c r="S1146" s="4">
        <f t="shared" si="104"/>
        <v>42093.181944444441</v>
      </c>
      <c r="T1146" s="4">
        <f t="shared" si="105"/>
        <v>42123.181944444441</v>
      </c>
      <c r="U1146" s="5">
        <f>VLOOKUP(currency,Tables!$A$1:$C$14,3,FALSE)*pledged</f>
        <v>0</v>
      </c>
    </row>
    <row r="1147" spans="1:21" ht="43.2" x14ac:dyDescent="0.55000000000000004">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16">
        <f t="shared" si="103"/>
        <v>100</v>
      </c>
      <c r="Q1147" t="str">
        <f t="shared" si="106"/>
        <v>food</v>
      </c>
      <c r="R1147" t="str">
        <f t="shared" si="107"/>
        <v>food trucks</v>
      </c>
      <c r="S1147" s="4">
        <f t="shared" si="104"/>
        <v>41854.747592592597</v>
      </c>
      <c r="T1147" s="4">
        <f t="shared" si="105"/>
        <v>41914.747592592597</v>
      </c>
      <c r="U1147" s="5">
        <f>VLOOKUP(currency,Tables!$A$1:$C$14,3,FALSE)*pledged</f>
        <v>100</v>
      </c>
    </row>
    <row r="1148" spans="1:21" ht="43.2" x14ac:dyDescent="0.55000000000000004">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16">
        <f t="shared" si="103"/>
        <v>44.166666666666664</v>
      </c>
      <c r="Q1148" t="str">
        <f t="shared" si="106"/>
        <v>food</v>
      </c>
      <c r="R1148" t="str">
        <f t="shared" si="107"/>
        <v>food trucks</v>
      </c>
      <c r="S1148" s="4">
        <f t="shared" si="104"/>
        <v>41723.9533912037</v>
      </c>
      <c r="T1148" s="4">
        <f t="shared" si="105"/>
        <v>41761.9533912037</v>
      </c>
      <c r="U1148" s="5">
        <f>VLOOKUP(currency,Tables!$A$1:$C$14,3,FALSE)*pledged</f>
        <v>530</v>
      </c>
    </row>
    <row r="1149" spans="1:21" ht="43.2" x14ac:dyDescent="0.55000000000000004">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102"/>
        <v>0</v>
      </c>
      <c r="P1149" s="16">
        <f t="shared" si="103"/>
        <v>0</v>
      </c>
      <c r="Q1149" t="str">
        <f t="shared" si="106"/>
        <v>food</v>
      </c>
      <c r="R1149" t="str">
        <f t="shared" si="107"/>
        <v>food trucks</v>
      </c>
      <c r="S1149" s="4">
        <f t="shared" si="104"/>
        <v>41871.972025462965</v>
      </c>
      <c r="T1149" s="4">
        <f t="shared" si="105"/>
        <v>41931.972025462965</v>
      </c>
      <c r="U1149" s="5">
        <f>VLOOKUP(currency,Tables!$A$1:$C$14,3,FALSE)*pledged</f>
        <v>0</v>
      </c>
    </row>
    <row r="1150" spans="1:21" ht="28.8" x14ac:dyDescent="0.55000000000000004">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16">
        <f t="shared" si="103"/>
        <v>24.333333333333332</v>
      </c>
      <c r="Q1150" t="str">
        <f t="shared" si="106"/>
        <v>food</v>
      </c>
      <c r="R1150" t="str">
        <f t="shared" si="107"/>
        <v>food trucks</v>
      </c>
      <c r="S1150" s="4">
        <f t="shared" si="104"/>
        <v>42675.171076388884</v>
      </c>
      <c r="T1150" s="4">
        <f t="shared" si="105"/>
        <v>42705.212743055556</v>
      </c>
      <c r="U1150" s="5">
        <f>VLOOKUP(currency,Tables!$A$1:$C$14,3,FALSE)*pledged</f>
        <v>73</v>
      </c>
    </row>
    <row r="1151" spans="1:21" ht="28.8" x14ac:dyDescent="0.55000000000000004">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102"/>
        <v>1.5E-3</v>
      </c>
      <c r="P1151" s="16">
        <f t="shared" si="103"/>
        <v>37.5</v>
      </c>
      <c r="Q1151" t="str">
        <f t="shared" si="106"/>
        <v>food</v>
      </c>
      <c r="R1151" t="str">
        <f t="shared" si="107"/>
        <v>food trucks</v>
      </c>
      <c r="S1151" s="4">
        <f t="shared" si="104"/>
        <v>42507.71025462963</v>
      </c>
      <c r="T1151" s="4">
        <f t="shared" si="105"/>
        <v>42537.71025462963</v>
      </c>
      <c r="U1151" s="5">
        <f>VLOOKUP(currency,Tables!$A$1:$C$14,3,FALSE)*pledged</f>
        <v>75</v>
      </c>
    </row>
    <row r="1152" spans="1:21" ht="28.8" x14ac:dyDescent="0.55000000000000004">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102"/>
        <v>0.1008</v>
      </c>
      <c r="P1152" s="16">
        <f t="shared" si="103"/>
        <v>42</v>
      </c>
      <c r="Q1152" t="str">
        <f t="shared" si="106"/>
        <v>food</v>
      </c>
      <c r="R1152" t="str">
        <f t="shared" si="107"/>
        <v>food trucks</v>
      </c>
      <c r="S1152" s="4">
        <f t="shared" si="104"/>
        <v>42317.954571759255</v>
      </c>
      <c r="T1152" s="4">
        <f t="shared" si="105"/>
        <v>42377.954571759255</v>
      </c>
      <c r="U1152" s="5">
        <f>VLOOKUP(currency,Tables!$A$1:$C$14,3,FALSE)*pledged</f>
        <v>252</v>
      </c>
    </row>
    <row r="1153" spans="1:21" ht="43.2" x14ac:dyDescent="0.55000000000000004">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102"/>
        <v>0</v>
      </c>
      <c r="P1153" s="16">
        <f t="shared" si="103"/>
        <v>0</v>
      </c>
      <c r="Q1153" t="str">
        <f t="shared" si="106"/>
        <v>food</v>
      </c>
      <c r="R1153" t="str">
        <f t="shared" si="107"/>
        <v>food trucks</v>
      </c>
      <c r="S1153" s="4">
        <f t="shared" si="104"/>
        <v>42224.102581018517</v>
      </c>
      <c r="T1153" s="4">
        <f t="shared" si="105"/>
        <v>42254.102581018517</v>
      </c>
      <c r="U1153" s="5">
        <f>VLOOKUP(currency,Tables!$A$1:$C$14,3,FALSE)*pledged</f>
        <v>0</v>
      </c>
    </row>
    <row r="1154" spans="1:21" x14ac:dyDescent="0.55000000000000004">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ref="O1154:O1217" si="108">pledged/goal</f>
        <v>5.6937500000000002E-2</v>
      </c>
      <c r="P1154" s="16">
        <f t="shared" ref="P1154:P1217" si="109">IF(pledged=0,0,pledged/backers_count)</f>
        <v>60.733333333333334</v>
      </c>
      <c r="Q1154" t="str">
        <f t="shared" si="106"/>
        <v>food</v>
      </c>
      <c r="R1154" t="str">
        <f t="shared" si="107"/>
        <v>food trucks</v>
      </c>
      <c r="S1154" s="4">
        <f t="shared" ref="S1154:S1217" si="110">(((Unix_launched_date/60)/60)/24)+DATE(1970,1,1)</f>
        <v>42109.709629629629</v>
      </c>
      <c r="T1154" s="4">
        <f t="shared" ref="T1154:T1217" si="111">(((Unix_deadline/60)/60)/24)+DATE(1970,1,1)</f>
        <v>42139.709629629629</v>
      </c>
      <c r="U1154" s="5">
        <f>VLOOKUP(currency,Tables!$A$1:$C$14,3,FALSE)*pledged</f>
        <v>911</v>
      </c>
    </row>
    <row r="1155" spans="1:21" ht="28.8" x14ac:dyDescent="0.55000000000000004">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si="108"/>
        <v>6.2500000000000003E-3</v>
      </c>
      <c r="P1155" s="16">
        <f t="shared" si="109"/>
        <v>50</v>
      </c>
      <c r="Q1155" t="str">
        <f t="shared" ref="Q1155:Q1218" si="112">LEFT(N1155,FIND("/",N1155,1)-1)</f>
        <v>food</v>
      </c>
      <c r="R1155" t="str">
        <f t="shared" ref="R1155:R1218" si="113">RIGHT(N1155,(LEN(N1155)-FIND("/",N1155,1)))</f>
        <v>food trucks</v>
      </c>
      <c r="S1155" s="4">
        <f t="shared" si="110"/>
        <v>42143.714178240742</v>
      </c>
      <c r="T1155" s="4">
        <f t="shared" si="111"/>
        <v>42173.714178240742</v>
      </c>
      <c r="U1155" s="5">
        <f>VLOOKUP(currency,Tables!$A$1:$C$14,3,FALSE)*pledged</f>
        <v>50</v>
      </c>
    </row>
    <row r="1156" spans="1:21" ht="43.2" x14ac:dyDescent="0.55000000000000004">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16">
        <f t="shared" si="109"/>
        <v>108.33333333333333</v>
      </c>
      <c r="Q1156" t="str">
        <f t="shared" si="112"/>
        <v>food</v>
      </c>
      <c r="R1156" t="str">
        <f t="shared" si="113"/>
        <v>food trucks</v>
      </c>
      <c r="S1156" s="4">
        <f t="shared" si="110"/>
        <v>42223.108865740738</v>
      </c>
      <c r="T1156" s="4">
        <f t="shared" si="111"/>
        <v>42253.108865740738</v>
      </c>
      <c r="U1156" s="5">
        <f>VLOOKUP(currency,Tables!$A$1:$C$14,3,FALSE)*pledged</f>
        <v>325</v>
      </c>
    </row>
    <row r="1157" spans="1:21" ht="43.2" x14ac:dyDescent="0.55000000000000004">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16">
        <f t="shared" si="109"/>
        <v>23.5</v>
      </c>
      <c r="Q1157" t="str">
        <f t="shared" si="112"/>
        <v>food</v>
      </c>
      <c r="R1157" t="str">
        <f t="shared" si="113"/>
        <v>food trucks</v>
      </c>
      <c r="S1157" s="4">
        <f t="shared" si="110"/>
        <v>41835.763981481483</v>
      </c>
      <c r="T1157" s="4">
        <f t="shared" si="111"/>
        <v>41865.763981481483</v>
      </c>
      <c r="U1157" s="5">
        <f>VLOOKUP(currency,Tables!$A$1:$C$14,3,FALSE)*pledged</f>
        <v>188</v>
      </c>
    </row>
    <row r="1158" spans="1:21" ht="43.2" x14ac:dyDescent="0.55000000000000004">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108"/>
        <v>0</v>
      </c>
      <c r="P1158" s="16">
        <f t="shared" si="109"/>
        <v>0</v>
      </c>
      <c r="Q1158" t="str">
        <f t="shared" si="112"/>
        <v>food</v>
      </c>
      <c r="R1158" t="str">
        <f t="shared" si="113"/>
        <v>food trucks</v>
      </c>
      <c r="S1158" s="4">
        <f t="shared" si="110"/>
        <v>42029.07131944444</v>
      </c>
      <c r="T1158" s="4">
        <f t="shared" si="111"/>
        <v>42059.07131944444</v>
      </c>
      <c r="U1158" s="5">
        <f>VLOOKUP(currency,Tables!$A$1:$C$14,3,FALSE)*pledged</f>
        <v>0</v>
      </c>
    </row>
    <row r="1159" spans="1:21" ht="43.2" x14ac:dyDescent="0.55000000000000004">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16">
        <f t="shared" si="109"/>
        <v>50.333333333333336</v>
      </c>
      <c r="Q1159" t="str">
        <f t="shared" si="112"/>
        <v>food</v>
      </c>
      <c r="R1159" t="str">
        <f t="shared" si="113"/>
        <v>food trucks</v>
      </c>
      <c r="S1159" s="4">
        <f t="shared" si="110"/>
        <v>41918.628240740742</v>
      </c>
      <c r="T1159" s="4">
        <f t="shared" si="111"/>
        <v>41978.669907407413</v>
      </c>
      <c r="U1159" s="5">
        <f>VLOOKUP(currency,Tables!$A$1:$C$14,3,FALSE)*pledged</f>
        <v>151</v>
      </c>
    </row>
    <row r="1160" spans="1:21" ht="43.2" x14ac:dyDescent="0.55000000000000004">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16">
        <f t="shared" si="109"/>
        <v>11.666666666666666</v>
      </c>
      <c r="Q1160" t="str">
        <f t="shared" si="112"/>
        <v>food</v>
      </c>
      <c r="R1160" t="str">
        <f t="shared" si="113"/>
        <v>food trucks</v>
      </c>
      <c r="S1160" s="4">
        <f t="shared" si="110"/>
        <v>41952.09175925926</v>
      </c>
      <c r="T1160" s="4">
        <f t="shared" si="111"/>
        <v>41982.09175925926</v>
      </c>
      <c r="U1160" s="5">
        <f>VLOOKUP(currency,Tables!$A$1:$C$14,3,FALSE)*pledged</f>
        <v>35</v>
      </c>
    </row>
    <row r="1161" spans="1:21" ht="43.2" x14ac:dyDescent="0.55000000000000004">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108"/>
        <v>0</v>
      </c>
      <c r="P1161" s="16">
        <f t="shared" si="109"/>
        <v>0</v>
      </c>
      <c r="Q1161" t="str">
        <f t="shared" si="112"/>
        <v>food</v>
      </c>
      <c r="R1161" t="str">
        <f t="shared" si="113"/>
        <v>food trucks</v>
      </c>
      <c r="S1161" s="4">
        <f t="shared" si="110"/>
        <v>42154.726446759261</v>
      </c>
      <c r="T1161" s="4">
        <f t="shared" si="111"/>
        <v>42185.65625</v>
      </c>
      <c r="U1161" s="5">
        <f>VLOOKUP(currency,Tables!$A$1:$C$14,3,FALSE)*pledged</f>
        <v>0</v>
      </c>
    </row>
    <row r="1162" spans="1:21" ht="43.2" x14ac:dyDescent="0.55000000000000004">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16">
        <f t="shared" si="109"/>
        <v>60.789473684210527</v>
      </c>
      <c r="Q1162" t="str">
        <f t="shared" si="112"/>
        <v>food</v>
      </c>
      <c r="R1162" t="str">
        <f t="shared" si="113"/>
        <v>food trucks</v>
      </c>
      <c r="S1162" s="4">
        <f t="shared" si="110"/>
        <v>42061.154930555553</v>
      </c>
      <c r="T1162" s="4">
        <f t="shared" si="111"/>
        <v>42091.113263888896</v>
      </c>
      <c r="U1162" s="5">
        <f>VLOOKUP(currency,Tables!$A$1:$C$14,3,FALSE)*pledged</f>
        <v>1155</v>
      </c>
    </row>
    <row r="1163" spans="1:21" ht="43.2" x14ac:dyDescent="0.55000000000000004">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108"/>
        <v>0</v>
      </c>
      <c r="P1163" s="16">
        <f t="shared" si="109"/>
        <v>0</v>
      </c>
      <c r="Q1163" t="str">
        <f t="shared" si="112"/>
        <v>food</v>
      </c>
      <c r="R1163" t="str">
        <f t="shared" si="113"/>
        <v>food trucks</v>
      </c>
      <c r="S1163" s="4">
        <f t="shared" si="110"/>
        <v>42122.629502314812</v>
      </c>
      <c r="T1163" s="4">
        <f t="shared" si="111"/>
        <v>42143.629502314812</v>
      </c>
      <c r="U1163" s="5">
        <f>VLOOKUP(currency,Tables!$A$1:$C$14,3,FALSE)*pledged</f>
        <v>0</v>
      </c>
    </row>
    <row r="1164" spans="1:21" ht="43.2" x14ac:dyDescent="0.55000000000000004">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16">
        <f t="shared" si="109"/>
        <v>17.5</v>
      </c>
      <c r="Q1164" t="str">
        <f t="shared" si="112"/>
        <v>food</v>
      </c>
      <c r="R1164" t="str">
        <f t="shared" si="113"/>
        <v>food trucks</v>
      </c>
      <c r="S1164" s="4">
        <f t="shared" si="110"/>
        <v>41876.683611111112</v>
      </c>
      <c r="T1164" s="4">
        <f t="shared" si="111"/>
        <v>41907.683611111112</v>
      </c>
      <c r="U1164" s="5">
        <f>VLOOKUP(currency,Tables!$A$1:$C$14,3,FALSE)*pledged</f>
        <v>35</v>
      </c>
    </row>
    <row r="1165" spans="1:21" ht="43.2" x14ac:dyDescent="0.55000000000000004">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108"/>
        <v>0</v>
      </c>
      <c r="P1165" s="16">
        <f t="shared" si="109"/>
        <v>0</v>
      </c>
      <c r="Q1165" t="str">
        <f t="shared" si="112"/>
        <v>food</v>
      </c>
      <c r="R1165" t="str">
        <f t="shared" si="113"/>
        <v>food trucks</v>
      </c>
      <c r="S1165" s="4">
        <f t="shared" si="110"/>
        <v>41830.723611111112</v>
      </c>
      <c r="T1165" s="4">
        <f t="shared" si="111"/>
        <v>41860.723611111112</v>
      </c>
      <c r="U1165" s="5">
        <f>VLOOKUP(currency,Tables!$A$1:$C$14,3,FALSE)*pledged</f>
        <v>0</v>
      </c>
    </row>
    <row r="1166" spans="1:21" ht="57.6" x14ac:dyDescent="0.55000000000000004">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108"/>
        <v>0</v>
      </c>
      <c r="P1166" s="16">
        <f t="shared" si="109"/>
        <v>0</v>
      </c>
      <c r="Q1166" t="str">
        <f t="shared" si="112"/>
        <v>food</v>
      </c>
      <c r="R1166" t="str">
        <f t="shared" si="113"/>
        <v>food trucks</v>
      </c>
      <c r="S1166" s="4">
        <f t="shared" si="110"/>
        <v>42509.724328703705</v>
      </c>
      <c r="T1166" s="4">
        <f t="shared" si="111"/>
        <v>42539.724328703705</v>
      </c>
      <c r="U1166" s="5">
        <f>VLOOKUP(currency,Tables!$A$1:$C$14,3,FALSE)*pledged</f>
        <v>0</v>
      </c>
    </row>
    <row r="1167" spans="1:21" ht="43.2" x14ac:dyDescent="0.55000000000000004">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16">
        <f t="shared" si="109"/>
        <v>82.82</v>
      </c>
      <c r="Q1167" t="str">
        <f t="shared" si="112"/>
        <v>food</v>
      </c>
      <c r="R1167" t="str">
        <f t="shared" si="113"/>
        <v>food trucks</v>
      </c>
      <c r="S1167" s="4">
        <f t="shared" si="110"/>
        <v>41792.214467592588</v>
      </c>
      <c r="T1167" s="4">
        <f t="shared" si="111"/>
        <v>41826.214467592588</v>
      </c>
      <c r="U1167" s="5">
        <f>VLOOKUP(currency,Tables!$A$1:$C$14,3,FALSE)*pledged</f>
        <v>2070.5</v>
      </c>
    </row>
    <row r="1168" spans="1:21" ht="43.2" x14ac:dyDescent="0.55000000000000004">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16">
        <f t="shared" si="109"/>
        <v>358.875</v>
      </c>
      <c r="Q1168" t="str">
        <f t="shared" si="112"/>
        <v>food</v>
      </c>
      <c r="R1168" t="str">
        <f t="shared" si="113"/>
        <v>food trucks</v>
      </c>
      <c r="S1168" s="4">
        <f t="shared" si="110"/>
        <v>42150.485439814816</v>
      </c>
      <c r="T1168" s="4">
        <f t="shared" si="111"/>
        <v>42181.166666666672</v>
      </c>
      <c r="U1168" s="5">
        <f>VLOOKUP(currency,Tables!$A$1:$C$14,3,FALSE)*pledged</f>
        <v>2871</v>
      </c>
    </row>
    <row r="1169" spans="1:21" ht="43.2" x14ac:dyDescent="0.55000000000000004">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16">
        <f t="shared" si="109"/>
        <v>61.1875</v>
      </c>
      <c r="Q1169" t="str">
        <f t="shared" si="112"/>
        <v>food</v>
      </c>
      <c r="R1169" t="str">
        <f t="shared" si="113"/>
        <v>food trucks</v>
      </c>
      <c r="S1169" s="4">
        <f t="shared" si="110"/>
        <v>41863.734895833331</v>
      </c>
      <c r="T1169" s="4">
        <f t="shared" si="111"/>
        <v>41894.734895833331</v>
      </c>
      <c r="U1169" s="5">
        <f>VLOOKUP(currency,Tables!$A$1:$C$14,3,FALSE)*pledged</f>
        <v>979</v>
      </c>
    </row>
    <row r="1170" spans="1:21" ht="43.2" x14ac:dyDescent="0.55000000000000004">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16">
        <f t="shared" si="109"/>
        <v>340</v>
      </c>
      <c r="Q1170" t="str">
        <f t="shared" si="112"/>
        <v>food</v>
      </c>
      <c r="R1170" t="str">
        <f t="shared" si="113"/>
        <v>food trucks</v>
      </c>
      <c r="S1170" s="4">
        <f t="shared" si="110"/>
        <v>42605.053993055553</v>
      </c>
      <c r="T1170" s="4">
        <f t="shared" si="111"/>
        <v>42635.053993055553</v>
      </c>
      <c r="U1170" s="5">
        <f>VLOOKUP(currency,Tables!$A$1:$C$14,3,FALSE)*pledged</f>
        <v>1020</v>
      </c>
    </row>
    <row r="1171" spans="1:21" ht="43.2" x14ac:dyDescent="0.55000000000000004">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16">
        <f t="shared" si="109"/>
        <v>5.666666666666667</v>
      </c>
      <c r="Q1171" t="str">
        <f t="shared" si="112"/>
        <v>food</v>
      </c>
      <c r="R1171" t="str">
        <f t="shared" si="113"/>
        <v>food trucks</v>
      </c>
      <c r="S1171" s="4">
        <f t="shared" si="110"/>
        <v>42027.353738425925</v>
      </c>
      <c r="T1171" s="4">
        <f t="shared" si="111"/>
        <v>42057.353738425925</v>
      </c>
      <c r="U1171" s="5">
        <f>VLOOKUP(currency,Tables!$A$1:$C$14,3,FALSE)*pledged</f>
        <v>17</v>
      </c>
    </row>
    <row r="1172" spans="1:21" ht="43.2" x14ac:dyDescent="0.55000000000000004">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16">
        <f t="shared" si="109"/>
        <v>50</v>
      </c>
      <c r="Q1172" t="str">
        <f t="shared" si="112"/>
        <v>food</v>
      </c>
      <c r="R1172" t="str">
        <f t="shared" si="113"/>
        <v>food trucks</v>
      </c>
      <c r="S1172" s="4">
        <f t="shared" si="110"/>
        <v>42124.893182870372</v>
      </c>
      <c r="T1172" s="4">
        <f t="shared" si="111"/>
        <v>42154.893182870372</v>
      </c>
      <c r="U1172" s="5">
        <f>VLOOKUP(currency,Tables!$A$1:$C$14,3,FALSE)*pledged</f>
        <v>132</v>
      </c>
    </row>
    <row r="1173" spans="1:21" ht="28.8" x14ac:dyDescent="0.55000000000000004">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108"/>
        <v>1E-3</v>
      </c>
      <c r="P1173" s="16">
        <f t="shared" si="109"/>
        <v>25</v>
      </c>
      <c r="Q1173" t="str">
        <f t="shared" si="112"/>
        <v>food</v>
      </c>
      <c r="R1173" t="str">
        <f t="shared" si="113"/>
        <v>food trucks</v>
      </c>
      <c r="S1173" s="4">
        <f t="shared" si="110"/>
        <v>41938.804710648146</v>
      </c>
      <c r="T1173" s="4">
        <f t="shared" si="111"/>
        <v>41956.846377314811</v>
      </c>
      <c r="U1173" s="5">
        <f>VLOOKUP(currency,Tables!$A$1:$C$14,3,FALSE)*pledged</f>
        <v>25</v>
      </c>
    </row>
    <row r="1174" spans="1:21" x14ac:dyDescent="0.55000000000000004">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108"/>
        <v>0</v>
      </c>
      <c r="P1174" s="16">
        <f t="shared" si="109"/>
        <v>0</v>
      </c>
      <c r="Q1174" t="str">
        <f t="shared" si="112"/>
        <v>food</v>
      </c>
      <c r="R1174" t="str">
        <f t="shared" si="113"/>
        <v>food trucks</v>
      </c>
      <c r="S1174" s="4">
        <f t="shared" si="110"/>
        <v>41841.682314814818</v>
      </c>
      <c r="T1174" s="4">
        <f t="shared" si="111"/>
        <v>41871.682314814818</v>
      </c>
      <c r="U1174" s="5">
        <f>VLOOKUP(currency,Tables!$A$1:$C$14,3,FALSE)*pledged</f>
        <v>0</v>
      </c>
    </row>
    <row r="1175" spans="1:21" ht="43.2" x14ac:dyDescent="0.55000000000000004">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16">
        <f t="shared" si="109"/>
        <v>30</v>
      </c>
      <c r="Q1175" t="str">
        <f t="shared" si="112"/>
        <v>food</v>
      </c>
      <c r="R1175" t="str">
        <f t="shared" si="113"/>
        <v>food trucks</v>
      </c>
      <c r="S1175" s="4">
        <f t="shared" si="110"/>
        <v>42184.185844907406</v>
      </c>
      <c r="T1175" s="4">
        <f t="shared" si="111"/>
        <v>42219.185844907406</v>
      </c>
      <c r="U1175" s="5">
        <f>VLOOKUP(currency,Tables!$A$1:$C$14,3,FALSE)*pledged</f>
        <v>30</v>
      </c>
    </row>
    <row r="1176" spans="1:21" ht="43.2" x14ac:dyDescent="0.55000000000000004">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16">
        <f t="shared" si="109"/>
        <v>46.631578947368418</v>
      </c>
      <c r="Q1176" t="str">
        <f t="shared" si="112"/>
        <v>food</v>
      </c>
      <c r="R1176" t="str">
        <f t="shared" si="113"/>
        <v>food trucks</v>
      </c>
      <c r="S1176" s="4">
        <f t="shared" si="110"/>
        <v>42468.84174768519</v>
      </c>
      <c r="T1176" s="4">
        <f t="shared" si="111"/>
        <v>42498.84174768519</v>
      </c>
      <c r="U1176" s="5">
        <f>VLOOKUP(currency,Tables!$A$1:$C$14,3,FALSE)*pledged</f>
        <v>886</v>
      </c>
    </row>
    <row r="1177" spans="1:21" ht="43.2" x14ac:dyDescent="0.55000000000000004">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16">
        <f t="shared" si="109"/>
        <v>65</v>
      </c>
      <c r="Q1177" t="str">
        <f t="shared" si="112"/>
        <v>food</v>
      </c>
      <c r="R1177" t="str">
        <f t="shared" si="113"/>
        <v>food trucks</v>
      </c>
      <c r="S1177" s="4">
        <f t="shared" si="110"/>
        <v>42170.728460648148</v>
      </c>
      <c r="T1177" s="4">
        <f t="shared" si="111"/>
        <v>42200.728460648148</v>
      </c>
      <c r="U1177" s="5">
        <f>VLOOKUP(currency,Tables!$A$1:$C$14,3,FALSE)*pledged</f>
        <v>585</v>
      </c>
    </row>
    <row r="1178" spans="1:21" ht="57.6" x14ac:dyDescent="0.55000000000000004">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16">
        <f t="shared" si="109"/>
        <v>10</v>
      </c>
      <c r="Q1178" t="str">
        <f t="shared" si="112"/>
        <v>food</v>
      </c>
      <c r="R1178" t="str">
        <f t="shared" si="113"/>
        <v>food trucks</v>
      </c>
      <c r="S1178" s="4">
        <f t="shared" si="110"/>
        <v>42746.019652777773</v>
      </c>
      <c r="T1178" s="4">
        <f t="shared" si="111"/>
        <v>42800.541666666672</v>
      </c>
      <c r="U1178" s="5">
        <f>VLOOKUP(currency,Tables!$A$1:$C$14,3,FALSE)*pledged</f>
        <v>7.3</v>
      </c>
    </row>
    <row r="1179" spans="1:21" ht="43.2" x14ac:dyDescent="0.55000000000000004">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108"/>
        <v>0</v>
      </c>
      <c r="P1179" s="16">
        <f t="shared" si="109"/>
        <v>0</v>
      </c>
      <c r="Q1179" t="str">
        <f t="shared" si="112"/>
        <v>food</v>
      </c>
      <c r="R1179" t="str">
        <f t="shared" si="113"/>
        <v>food trucks</v>
      </c>
      <c r="S1179" s="4">
        <f t="shared" si="110"/>
        <v>41897.660833333335</v>
      </c>
      <c r="T1179" s="4">
        <f t="shared" si="111"/>
        <v>41927.660833333335</v>
      </c>
      <c r="U1179" s="5">
        <f>VLOOKUP(currency,Tables!$A$1:$C$14,3,FALSE)*pledged</f>
        <v>0</v>
      </c>
    </row>
    <row r="1180" spans="1:21" ht="43.2" x14ac:dyDescent="0.55000000000000004">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16">
        <f t="shared" si="109"/>
        <v>5</v>
      </c>
      <c r="Q1180" t="str">
        <f t="shared" si="112"/>
        <v>food</v>
      </c>
      <c r="R1180" t="str">
        <f t="shared" si="113"/>
        <v>food trucks</v>
      </c>
      <c r="S1180" s="4">
        <f t="shared" si="110"/>
        <v>41837.905694444446</v>
      </c>
      <c r="T1180" s="4">
        <f t="shared" si="111"/>
        <v>41867.905694444446</v>
      </c>
      <c r="U1180" s="5">
        <f>VLOOKUP(currency,Tables!$A$1:$C$14,3,FALSE)*pledged</f>
        <v>5</v>
      </c>
    </row>
    <row r="1181" spans="1:21" ht="43.2" x14ac:dyDescent="0.55000000000000004">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16">
        <f t="shared" si="109"/>
        <v>640</v>
      </c>
      <c r="Q1181" t="str">
        <f t="shared" si="112"/>
        <v>food</v>
      </c>
      <c r="R1181" t="str">
        <f t="shared" si="113"/>
        <v>food trucks</v>
      </c>
      <c r="S1181" s="4">
        <f t="shared" si="110"/>
        <v>42275.720219907409</v>
      </c>
      <c r="T1181" s="4">
        <f t="shared" si="111"/>
        <v>42305.720219907409</v>
      </c>
      <c r="U1181" s="5">
        <f>VLOOKUP(currency,Tables!$A$1:$C$14,3,FALSE)*pledged</f>
        <v>2432</v>
      </c>
    </row>
    <row r="1182" spans="1:21" ht="28.8" x14ac:dyDescent="0.55000000000000004">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16">
        <f t="shared" si="109"/>
        <v>69.117647058823536</v>
      </c>
      <c r="Q1182" t="str">
        <f t="shared" si="112"/>
        <v>food</v>
      </c>
      <c r="R1182" t="str">
        <f t="shared" si="113"/>
        <v>food trucks</v>
      </c>
      <c r="S1182" s="4">
        <f t="shared" si="110"/>
        <v>41781.806875000002</v>
      </c>
      <c r="T1182" s="4">
        <f t="shared" si="111"/>
        <v>41818.806875000002</v>
      </c>
      <c r="U1182" s="5">
        <f>VLOOKUP(currency,Tables!$A$1:$C$14,3,FALSE)*pledged</f>
        <v>5875</v>
      </c>
    </row>
    <row r="1183" spans="1:21" x14ac:dyDescent="0.55000000000000004">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16">
        <f t="shared" si="109"/>
        <v>1.3333333333333333</v>
      </c>
      <c r="Q1183" t="str">
        <f t="shared" si="112"/>
        <v>food</v>
      </c>
      <c r="R1183" t="str">
        <f t="shared" si="113"/>
        <v>food trucks</v>
      </c>
      <c r="S1183" s="4">
        <f t="shared" si="110"/>
        <v>42034.339363425926</v>
      </c>
      <c r="T1183" s="4">
        <f t="shared" si="111"/>
        <v>42064.339363425926</v>
      </c>
      <c r="U1183" s="5">
        <f>VLOOKUP(currency,Tables!$A$1:$C$14,3,FALSE)*pledged</f>
        <v>4</v>
      </c>
    </row>
    <row r="1184" spans="1:21" ht="43.2" x14ac:dyDescent="0.55000000000000004">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16">
        <f t="shared" si="109"/>
        <v>10.5</v>
      </c>
      <c r="Q1184" t="str">
        <f t="shared" si="112"/>
        <v>food</v>
      </c>
      <c r="R1184" t="str">
        <f t="shared" si="113"/>
        <v>food trucks</v>
      </c>
      <c r="S1184" s="4">
        <f t="shared" si="110"/>
        <v>42728.827407407407</v>
      </c>
      <c r="T1184" s="4">
        <f t="shared" si="111"/>
        <v>42747.695833333331</v>
      </c>
      <c r="U1184" s="5">
        <f>VLOOKUP(currency,Tables!$A$1:$C$14,3,FALSE)*pledged</f>
        <v>42</v>
      </c>
    </row>
    <row r="1185" spans="1:21" ht="43.2" x14ac:dyDescent="0.55000000000000004">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108"/>
        <v>0.04</v>
      </c>
      <c r="P1185" s="16">
        <f t="shared" si="109"/>
        <v>33.333333333333336</v>
      </c>
      <c r="Q1185" t="str">
        <f t="shared" si="112"/>
        <v>food</v>
      </c>
      <c r="R1185" t="str">
        <f t="shared" si="113"/>
        <v>food trucks</v>
      </c>
      <c r="S1185" s="4">
        <f t="shared" si="110"/>
        <v>42656.86137731481</v>
      </c>
      <c r="T1185" s="4">
        <f t="shared" si="111"/>
        <v>42676.165972222225</v>
      </c>
      <c r="U1185" s="5">
        <f>VLOOKUP(currency,Tables!$A$1:$C$14,3,FALSE)*pledged</f>
        <v>100</v>
      </c>
    </row>
    <row r="1186" spans="1:21" ht="43.2" x14ac:dyDescent="0.55000000000000004">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16">
        <f t="shared" si="109"/>
        <v>61.562666666666665</v>
      </c>
      <c r="Q1186" t="str">
        <f t="shared" si="112"/>
        <v>photography</v>
      </c>
      <c r="R1186" t="str">
        <f t="shared" si="113"/>
        <v>photobooks</v>
      </c>
      <c r="S1186" s="4">
        <f t="shared" si="110"/>
        <v>42741.599664351852</v>
      </c>
      <c r="T1186" s="4">
        <f t="shared" si="111"/>
        <v>42772.599664351852</v>
      </c>
      <c r="U1186" s="5">
        <f>VLOOKUP(currency,Tables!$A$1:$C$14,3,FALSE)*pledged</f>
        <v>30473.52</v>
      </c>
    </row>
    <row r="1187" spans="1:21" ht="57.6" x14ac:dyDescent="0.55000000000000004">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16">
        <f t="shared" si="109"/>
        <v>118.73873873873873</v>
      </c>
      <c r="Q1187" t="str">
        <f t="shared" si="112"/>
        <v>photography</v>
      </c>
      <c r="R1187" t="str">
        <f t="shared" si="113"/>
        <v>photobooks</v>
      </c>
      <c r="S1187" s="4">
        <f t="shared" si="110"/>
        <v>42130.865150462967</v>
      </c>
      <c r="T1187" s="4">
        <f t="shared" si="111"/>
        <v>42163.166666666672</v>
      </c>
      <c r="U1187" s="5">
        <f>VLOOKUP(currency,Tables!$A$1:$C$14,3,FALSE)*pledged</f>
        <v>13180</v>
      </c>
    </row>
    <row r="1188" spans="1:21" ht="43.2" x14ac:dyDescent="0.55000000000000004">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16">
        <f t="shared" si="109"/>
        <v>65.081300813008127</v>
      </c>
      <c r="Q1188" t="str">
        <f t="shared" si="112"/>
        <v>photography</v>
      </c>
      <c r="R1188" t="str">
        <f t="shared" si="113"/>
        <v>photobooks</v>
      </c>
      <c r="S1188" s="4">
        <f t="shared" si="110"/>
        <v>42123.86336805555</v>
      </c>
      <c r="T1188" s="4">
        <f t="shared" si="111"/>
        <v>42156.945833333331</v>
      </c>
      <c r="U1188" s="5">
        <f>VLOOKUP(currency,Tables!$A$1:$C$14,3,FALSE)*pledged</f>
        <v>10566.6</v>
      </c>
    </row>
    <row r="1189" spans="1:21" ht="43.2" x14ac:dyDescent="0.55000000000000004">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16">
        <f t="shared" si="109"/>
        <v>130.15714285714284</v>
      </c>
      <c r="Q1189" t="str">
        <f t="shared" si="112"/>
        <v>photography</v>
      </c>
      <c r="R1189" t="str">
        <f t="shared" si="113"/>
        <v>photobooks</v>
      </c>
      <c r="S1189" s="4">
        <f t="shared" si="110"/>
        <v>42109.894942129627</v>
      </c>
      <c r="T1189" s="4">
        <f t="shared" si="111"/>
        <v>42141.75</v>
      </c>
      <c r="U1189" s="5">
        <f>VLOOKUP(currency,Tables!$A$1:$C$14,3,FALSE)*pledged</f>
        <v>9111</v>
      </c>
    </row>
    <row r="1190" spans="1:21" ht="43.2" x14ac:dyDescent="0.55000000000000004">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16">
        <f t="shared" si="109"/>
        <v>37.776470588235291</v>
      </c>
      <c r="Q1190" t="str">
        <f t="shared" si="112"/>
        <v>photography</v>
      </c>
      <c r="R1190" t="str">
        <f t="shared" si="113"/>
        <v>photobooks</v>
      </c>
      <c r="S1190" s="4">
        <f t="shared" si="110"/>
        <v>42711.700694444444</v>
      </c>
      <c r="T1190" s="4">
        <f t="shared" si="111"/>
        <v>42732.700694444444</v>
      </c>
      <c r="U1190" s="5">
        <f>VLOOKUP(currency,Tables!$A$1:$C$14,3,FALSE)*pledged</f>
        <v>2440.36</v>
      </c>
    </row>
    <row r="1191" spans="1:21" ht="43.2" x14ac:dyDescent="0.55000000000000004">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16">
        <f t="shared" si="109"/>
        <v>112.79069767441861</v>
      </c>
      <c r="Q1191" t="str">
        <f t="shared" si="112"/>
        <v>photography</v>
      </c>
      <c r="R1191" t="str">
        <f t="shared" si="113"/>
        <v>photobooks</v>
      </c>
      <c r="S1191" s="4">
        <f t="shared" si="110"/>
        <v>42529.979108796295</v>
      </c>
      <c r="T1191" s="4">
        <f t="shared" si="111"/>
        <v>42550.979108796295</v>
      </c>
      <c r="U1191" s="5">
        <f>VLOOKUP(currency,Tables!$A$1:$C$14,3,FALSE)*pledged</f>
        <v>9700</v>
      </c>
    </row>
    <row r="1192" spans="1:21" ht="28.8" x14ac:dyDescent="0.55000000000000004">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108"/>
        <v>1.35</v>
      </c>
      <c r="P1192" s="16">
        <f t="shared" si="109"/>
        <v>51.92307692307692</v>
      </c>
      <c r="Q1192" t="str">
        <f t="shared" si="112"/>
        <v>photography</v>
      </c>
      <c r="R1192" t="str">
        <f t="shared" si="113"/>
        <v>photobooks</v>
      </c>
      <c r="S1192" s="4">
        <f t="shared" si="110"/>
        <v>41852.665798611109</v>
      </c>
      <c r="T1192" s="4">
        <f t="shared" si="111"/>
        <v>41882.665798611109</v>
      </c>
      <c r="U1192" s="5">
        <f>VLOOKUP(currency,Tables!$A$1:$C$14,3,FALSE)*pledged</f>
        <v>675</v>
      </c>
    </row>
    <row r="1193" spans="1:21" ht="43.2" x14ac:dyDescent="0.55000000000000004">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16">
        <f t="shared" si="109"/>
        <v>89.242424242424249</v>
      </c>
      <c r="Q1193" t="str">
        <f t="shared" si="112"/>
        <v>photography</v>
      </c>
      <c r="R1193" t="str">
        <f t="shared" si="113"/>
        <v>photobooks</v>
      </c>
      <c r="S1193" s="4">
        <f t="shared" si="110"/>
        <v>42419.603703703702</v>
      </c>
      <c r="T1193" s="4">
        <f t="shared" si="111"/>
        <v>42449.562037037031</v>
      </c>
      <c r="U1193" s="5">
        <f>VLOOKUP(currency,Tables!$A$1:$C$14,3,FALSE)*pledged</f>
        <v>2945</v>
      </c>
    </row>
    <row r="1194" spans="1:21" ht="28.8" x14ac:dyDescent="0.55000000000000004">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108"/>
        <v>2.9</v>
      </c>
      <c r="P1194" s="16">
        <f t="shared" si="109"/>
        <v>19.333333333333332</v>
      </c>
      <c r="Q1194" t="str">
        <f t="shared" si="112"/>
        <v>photography</v>
      </c>
      <c r="R1194" t="str">
        <f t="shared" si="113"/>
        <v>photobooks</v>
      </c>
      <c r="S1194" s="4">
        <f t="shared" si="110"/>
        <v>42747.506689814814</v>
      </c>
      <c r="T1194" s="4">
        <f t="shared" si="111"/>
        <v>42777.506689814814</v>
      </c>
      <c r="U1194" s="5">
        <f>VLOOKUP(currency,Tables!$A$1:$C$14,3,FALSE)*pledged</f>
        <v>382.8</v>
      </c>
    </row>
    <row r="1195" spans="1:21" ht="43.2" x14ac:dyDescent="0.55000000000000004">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16">
        <f t="shared" si="109"/>
        <v>79.967032967032964</v>
      </c>
      <c r="Q1195" t="str">
        <f t="shared" si="112"/>
        <v>photography</v>
      </c>
      <c r="R1195" t="str">
        <f t="shared" si="113"/>
        <v>photobooks</v>
      </c>
      <c r="S1195" s="4">
        <f t="shared" si="110"/>
        <v>42409.776076388895</v>
      </c>
      <c r="T1195" s="4">
        <f t="shared" si="111"/>
        <v>42469.734409722223</v>
      </c>
      <c r="U1195" s="5">
        <f>VLOOKUP(currency,Tables!$A$1:$C$14,3,FALSE)*pledged</f>
        <v>21831</v>
      </c>
    </row>
    <row r="1196" spans="1:21" ht="43.2" x14ac:dyDescent="0.55000000000000004">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16">
        <f t="shared" si="109"/>
        <v>56.414565826330531</v>
      </c>
      <c r="Q1196" t="str">
        <f t="shared" si="112"/>
        <v>photography</v>
      </c>
      <c r="R1196" t="str">
        <f t="shared" si="113"/>
        <v>photobooks</v>
      </c>
      <c r="S1196" s="4">
        <f t="shared" si="110"/>
        <v>42072.488182870366</v>
      </c>
      <c r="T1196" s="4">
        <f t="shared" si="111"/>
        <v>42102.488182870366</v>
      </c>
      <c r="U1196" s="5">
        <f>VLOOKUP(currency,Tables!$A$1:$C$14,3,FALSE)*pledged</f>
        <v>47530.399999999994</v>
      </c>
    </row>
    <row r="1197" spans="1:21" ht="57.6" x14ac:dyDescent="0.55000000000000004">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16">
        <f t="shared" si="109"/>
        <v>79.411764705882348</v>
      </c>
      <c r="Q1197" t="str">
        <f t="shared" si="112"/>
        <v>photography</v>
      </c>
      <c r="R1197" t="str">
        <f t="shared" si="113"/>
        <v>photobooks</v>
      </c>
      <c r="S1197" s="4">
        <f t="shared" si="110"/>
        <v>42298.34783564815</v>
      </c>
      <c r="T1197" s="4">
        <f t="shared" si="111"/>
        <v>42358.375</v>
      </c>
      <c r="U1197" s="5">
        <f>VLOOKUP(currency,Tables!$A$1:$C$14,3,FALSE)*pledged</f>
        <v>15930</v>
      </c>
    </row>
    <row r="1198" spans="1:21" ht="28.8" x14ac:dyDescent="0.55000000000000004">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16">
        <f t="shared" si="109"/>
        <v>76.439453125</v>
      </c>
      <c r="Q1198" t="str">
        <f t="shared" si="112"/>
        <v>photography</v>
      </c>
      <c r="R1198" t="str">
        <f t="shared" si="113"/>
        <v>photobooks</v>
      </c>
      <c r="S1198" s="4">
        <f t="shared" si="110"/>
        <v>42326.818738425922</v>
      </c>
      <c r="T1198" s="4">
        <f t="shared" si="111"/>
        <v>42356.818738425922</v>
      </c>
      <c r="U1198" s="5">
        <f>VLOOKUP(currency,Tables!$A$1:$C$14,3,FALSE)*pledged</f>
        <v>51660.840000000004</v>
      </c>
    </row>
    <row r="1199" spans="1:21" ht="43.2" x14ac:dyDescent="0.55000000000000004">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16">
        <f t="shared" si="109"/>
        <v>121</v>
      </c>
      <c r="Q1199" t="str">
        <f t="shared" si="112"/>
        <v>photography</v>
      </c>
      <c r="R1199" t="str">
        <f t="shared" si="113"/>
        <v>photobooks</v>
      </c>
      <c r="S1199" s="4">
        <f t="shared" si="110"/>
        <v>42503.66474537037</v>
      </c>
      <c r="T1199" s="4">
        <f t="shared" si="111"/>
        <v>42534.249305555553</v>
      </c>
      <c r="U1199" s="5">
        <f>VLOOKUP(currency,Tables!$A$1:$C$14,3,FALSE)*pledged</f>
        <v>37994</v>
      </c>
    </row>
    <row r="1200" spans="1:21" ht="43.2" x14ac:dyDescent="0.55000000000000004">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16">
        <f t="shared" si="109"/>
        <v>54.616766467065865</v>
      </c>
      <c r="Q1200" t="str">
        <f t="shared" si="112"/>
        <v>photography</v>
      </c>
      <c r="R1200" t="str">
        <f t="shared" si="113"/>
        <v>photobooks</v>
      </c>
      <c r="S1200" s="4">
        <f t="shared" si="110"/>
        <v>42333.619050925925</v>
      </c>
      <c r="T1200" s="4">
        <f t="shared" si="111"/>
        <v>42369.125</v>
      </c>
      <c r="U1200" s="5">
        <f>VLOOKUP(currency,Tables!$A$1:$C$14,3,FALSE)*pledged</f>
        <v>9121</v>
      </c>
    </row>
    <row r="1201" spans="1:21" ht="43.2" x14ac:dyDescent="0.55000000000000004">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16">
        <f t="shared" si="109"/>
        <v>299.22222222222223</v>
      </c>
      <c r="Q1201" t="str">
        <f t="shared" si="112"/>
        <v>photography</v>
      </c>
      <c r="R1201" t="str">
        <f t="shared" si="113"/>
        <v>photobooks</v>
      </c>
      <c r="S1201" s="4">
        <f t="shared" si="110"/>
        <v>42161.770833333328</v>
      </c>
      <c r="T1201" s="4">
        <f t="shared" si="111"/>
        <v>42193.770833333328</v>
      </c>
      <c r="U1201" s="5">
        <f>VLOOKUP(currency,Tables!$A$1:$C$14,3,FALSE)*pledged</f>
        <v>3554.76</v>
      </c>
    </row>
    <row r="1202" spans="1:21" ht="43.2" x14ac:dyDescent="0.55000000000000004">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16">
        <f t="shared" si="109"/>
        <v>58.533980582524272</v>
      </c>
      <c r="Q1202" t="str">
        <f t="shared" si="112"/>
        <v>photography</v>
      </c>
      <c r="R1202" t="str">
        <f t="shared" si="113"/>
        <v>photobooks</v>
      </c>
      <c r="S1202" s="4">
        <f t="shared" si="110"/>
        <v>42089.477500000001</v>
      </c>
      <c r="T1202" s="4">
        <f t="shared" si="111"/>
        <v>42110.477500000001</v>
      </c>
      <c r="U1202" s="5">
        <f>VLOOKUP(currency,Tables!$A$1:$C$14,3,FALSE)*pledged</f>
        <v>6029</v>
      </c>
    </row>
    <row r="1203" spans="1:21" ht="43.2" x14ac:dyDescent="0.55000000000000004">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16">
        <f t="shared" si="109"/>
        <v>55.371801801801809</v>
      </c>
      <c r="Q1203" t="str">
        <f t="shared" si="112"/>
        <v>photography</v>
      </c>
      <c r="R1203" t="str">
        <f t="shared" si="113"/>
        <v>photobooks</v>
      </c>
      <c r="S1203" s="4">
        <f t="shared" si="110"/>
        <v>42536.60701388889</v>
      </c>
      <c r="T1203" s="4">
        <f t="shared" si="111"/>
        <v>42566.60701388889</v>
      </c>
      <c r="U1203" s="5">
        <f>VLOOKUP(currency,Tables!$A$1:$C$14,3,FALSE)*pledged</f>
        <v>8113.0764000000008</v>
      </c>
    </row>
    <row r="1204" spans="1:21" ht="43.2" x14ac:dyDescent="0.55000000000000004">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16">
        <f t="shared" si="109"/>
        <v>183.80442804428046</v>
      </c>
      <c r="Q1204" t="str">
        <f t="shared" si="112"/>
        <v>photography</v>
      </c>
      <c r="R1204" t="str">
        <f t="shared" si="113"/>
        <v>photobooks</v>
      </c>
      <c r="S1204" s="4">
        <f t="shared" si="110"/>
        <v>42152.288819444439</v>
      </c>
      <c r="T1204" s="4">
        <f t="shared" si="111"/>
        <v>42182.288819444439</v>
      </c>
      <c r="U1204" s="5">
        <f>VLOOKUP(currency,Tables!$A$1:$C$14,3,FALSE)*pledged</f>
        <v>36362.03</v>
      </c>
    </row>
    <row r="1205" spans="1:21" ht="43.2" x14ac:dyDescent="0.55000000000000004">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16">
        <f t="shared" si="109"/>
        <v>165.34653465346534</v>
      </c>
      <c r="Q1205" t="str">
        <f t="shared" si="112"/>
        <v>photography</v>
      </c>
      <c r="R1205" t="str">
        <f t="shared" si="113"/>
        <v>photobooks</v>
      </c>
      <c r="S1205" s="4">
        <f t="shared" si="110"/>
        <v>42125.614895833336</v>
      </c>
      <c r="T1205" s="4">
        <f t="shared" si="111"/>
        <v>42155.614895833336</v>
      </c>
      <c r="U1205" s="5">
        <f>VLOOKUP(currency,Tables!$A$1:$C$14,3,FALSE)*pledged</f>
        <v>16700</v>
      </c>
    </row>
    <row r="1206" spans="1:21" ht="43.2" x14ac:dyDescent="0.55000000000000004">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16">
        <f t="shared" si="109"/>
        <v>234.78947368421052</v>
      </c>
      <c r="Q1206" t="str">
        <f t="shared" si="112"/>
        <v>photography</v>
      </c>
      <c r="R1206" t="str">
        <f t="shared" si="113"/>
        <v>photobooks</v>
      </c>
      <c r="S1206" s="4">
        <f t="shared" si="110"/>
        <v>42297.748067129629</v>
      </c>
      <c r="T1206" s="4">
        <f t="shared" si="111"/>
        <v>42342.208333333328</v>
      </c>
      <c r="U1206" s="5">
        <f>VLOOKUP(currency,Tables!$A$1:$C$14,3,FALSE)*pledged</f>
        <v>13383</v>
      </c>
    </row>
    <row r="1207" spans="1:21" ht="43.2" x14ac:dyDescent="0.55000000000000004">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16">
        <f t="shared" si="109"/>
        <v>211.48387096774192</v>
      </c>
      <c r="Q1207" t="str">
        <f t="shared" si="112"/>
        <v>photography</v>
      </c>
      <c r="R1207" t="str">
        <f t="shared" si="113"/>
        <v>photobooks</v>
      </c>
      <c r="S1207" s="4">
        <f t="shared" si="110"/>
        <v>42138.506377314814</v>
      </c>
      <c r="T1207" s="4">
        <f t="shared" si="111"/>
        <v>42168.506377314814</v>
      </c>
      <c r="U1207" s="5">
        <f>VLOOKUP(currency,Tables!$A$1:$C$14,3,FALSE)*pledged</f>
        <v>15472.16</v>
      </c>
    </row>
    <row r="1208" spans="1:21" ht="43.2" x14ac:dyDescent="0.55000000000000004">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16">
        <f t="shared" si="109"/>
        <v>32.34375</v>
      </c>
      <c r="Q1208" t="str">
        <f t="shared" si="112"/>
        <v>photography</v>
      </c>
      <c r="R1208" t="str">
        <f t="shared" si="113"/>
        <v>photobooks</v>
      </c>
      <c r="S1208" s="4">
        <f t="shared" si="110"/>
        <v>42772.776076388895</v>
      </c>
      <c r="T1208" s="4">
        <f t="shared" si="111"/>
        <v>42805.561805555553</v>
      </c>
      <c r="U1208" s="5">
        <f>VLOOKUP(currency,Tables!$A$1:$C$14,3,FALSE)*pledged</f>
        <v>1221.3</v>
      </c>
    </row>
    <row r="1209" spans="1:21" ht="28.8" x14ac:dyDescent="0.55000000000000004">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16">
        <f t="shared" si="109"/>
        <v>123.37588652482269</v>
      </c>
      <c r="Q1209" t="str">
        <f t="shared" si="112"/>
        <v>photography</v>
      </c>
      <c r="R1209" t="str">
        <f t="shared" si="113"/>
        <v>photobooks</v>
      </c>
      <c r="S1209" s="4">
        <f t="shared" si="110"/>
        <v>42430.430243055554</v>
      </c>
      <c r="T1209" s="4">
        <f t="shared" si="111"/>
        <v>42460.416666666672</v>
      </c>
      <c r="U1209" s="5">
        <f>VLOOKUP(currency,Tables!$A$1:$C$14,3,FALSE)*pledged</f>
        <v>20527.28</v>
      </c>
    </row>
    <row r="1210" spans="1:21" ht="43.2" x14ac:dyDescent="0.55000000000000004">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16">
        <f t="shared" si="109"/>
        <v>207.06666666666666</v>
      </c>
      <c r="Q1210" t="str">
        <f t="shared" si="112"/>
        <v>photography</v>
      </c>
      <c r="R1210" t="str">
        <f t="shared" si="113"/>
        <v>photobooks</v>
      </c>
      <c r="S1210" s="4">
        <f t="shared" si="110"/>
        <v>42423.709074074075</v>
      </c>
      <c r="T1210" s="4">
        <f t="shared" si="111"/>
        <v>42453.667407407411</v>
      </c>
      <c r="U1210" s="5">
        <f>VLOOKUP(currency,Tables!$A$1:$C$14,3,FALSE)*pledged</f>
        <v>15530</v>
      </c>
    </row>
    <row r="1211" spans="1:21" ht="43.2" x14ac:dyDescent="0.55000000000000004">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108"/>
        <v>1.06</v>
      </c>
      <c r="P1211" s="16">
        <f t="shared" si="109"/>
        <v>138.2608695652174</v>
      </c>
      <c r="Q1211" t="str">
        <f t="shared" si="112"/>
        <v>photography</v>
      </c>
      <c r="R1211" t="str">
        <f t="shared" si="113"/>
        <v>photobooks</v>
      </c>
      <c r="S1211" s="4">
        <f t="shared" si="110"/>
        <v>42761.846122685187</v>
      </c>
      <c r="T1211" s="4">
        <f t="shared" si="111"/>
        <v>42791.846122685187</v>
      </c>
      <c r="U1211" s="5">
        <f>VLOOKUP(currency,Tables!$A$1:$C$14,3,FALSE)*pledged</f>
        <v>6360</v>
      </c>
    </row>
    <row r="1212" spans="1:21" ht="28.8" x14ac:dyDescent="0.55000000000000004">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16">
        <f t="shared" si="109"/>
        <v>493.81553398058253</v>
      </c>
      <c r="Q1212" t="str">
        <f t="shared" si="112"/>
        <v>photography</v>
      </c>
      <c r="R1212" t="str">
        <f t="shared" si="113"/>
        <v>photobooks</v>
      </c>
      <c r="S1212" s="4">
        <f t="shared" si="110"/>
        <v>42132.941805555558</v>
      </c>
      <c r="T1212" s="4">
        <f t="shared" si="111"/>
        <v>42155.875</v>
      </c>
      <c r="U1212" s="5">
        <f>VLOOKUP(currency,Tables!$A$1:$C$14,3,FALSE)*pledged</f>
        <v>5594.93</v>
      </c>
    </row>
    <row r="1213" spans="1:21" ht="43.2" x14ac:dyDescent="0.55000000000000004">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16">
        <f t="shared" si="109"/>
        <v>168.5</v>
      </c>
      <c r="Q1213" t="str">
        <f t="shared" si="112"/>
        <v>photography</v>
      </c>
      <c r="R1213" t="str">
        <f t="shared" si="113"/>
        <v>photobooks</v>
      </c>
      <c r="S1213" s="4">
        <f t="shared" si="110"/>
        <v>42515.866446759261</v>
      </c>
      <c r="T1213" s="4">
        <f t="shared" si="111"/>
        <v>42530.866446759261</v>
      </c>
      <c r="U1213" s="5">
        <f>VLOOKUP(currency,Tables!$A$1:$C$14,3,FALSE)*pledged</f>
        <v>768.36</v>
      </c>
    </row>
    <row r="1214" spans="1:21" ht="43.2" x14ac:dyDescent="0.55000000000000004">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16">
        <f t="shared" si="109"/>
        <v>38.867469879518069</v>
      </c>
      <c r="Q1214" t="str">
        <f t="shared" si="112"/>
        <v>photography</v>
      </c>
      <c r="R1214" t="str">
        <f t="shared" si="113"/>
        <v>photobooks</v>
      </c>
      <c r="S1214" s="4">
        <f t="shared" si="110"/>
        <v>42318.950173611112</v>
      </c>
      <c r="T1214" s="4">
        <f t="shared" si="111"/>
        <v>42335.041666666672</v>
      </c>
      <c r="U1214" s="5">
        <f>VLOOKUP(currency,Tables!$A$1:$C$14,3,FALSE)*pledged</f>
        <v>3226</v>
      </c>
    </row>
    <row r="1215" spans="1:21" ht="43.2" x14ac:dyDescent="0.55000000000000004">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16">
        <f t="shared" si="109"/>
        <v>61.527777777777779</v>
      </c>
      <c r="Q1215" t="str">
        <f t="shared" si="112"/>
        <v>photography</v>
      </c>
      <c r="R1215" t="str">
        <f t="shared" si="113"/>
        <v>photobooks</v>
      </c>
      <c r="S1215" s="4">
        <f t="shared" si="110"/>
        <v>42731.755787037036</v>
      </c>
      <c r="T1215" s="4">
        <f t="shared" si="111"/>
        <v>42766.755787037036</v>
      </c>
      <c r="U1215" s="5">
        <f>VLOOKUP(currency,Tables!$A$1:$C$14,3,FALSE)*pledged</f>
        <v>8771.4</v>
      </c>
    </row>
    <row r="1216" spans="1:21" ht="43.2" x14ac:dyDescent="0.55000000000000004">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16">
        <f t="shared" si="109"/>
        <v>105.44</v>
      </c>
      <c r="Q1216" t="str">
        <f t="shared" si="112"/>
        <v>photography</v>
      </c>
      <c r="R1216" t="str">
        <f t="shared" si="113"/>
        <v>photobooks</v>
      </c>
      <c r="S1216" s="4">
        <f t="shared" si="110"/>
        <v>42104.840335648143</v>
      </c>
      <c r="T1216" s="4">
        <f t="shared" si="111"/>
        <v>42164.840335648143</v>
      </c>
      <c r="U1216" s="5">
        <f>VLOOKUP(currency,Tables!$A$1:$C$14,3,FALSE)*pledged</f>
        <v>2636</v>
      </c>
    </row>
    <row r="1217" spans="1:21" ht="43.2" x14ac:dyDescent="0.55000000000000004">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16">
        <f t="shared" si="109"/>
        <v>71.592003642987251</v>
      </c>
      <c r="Q1217" t="str">
        <f t="shared" si="112"/>
        <v>photography</v>
      </c>
      <c r="R1217" t="str">
        <f t="shared" si="113"/>
        <v>photobooks</v>
      </c>
      <c r="S1217" s="4">
        <f t="shared" si="110"/>
        <v>41759.923101851848</v>
      </c>
      <c r="T1217" s="4">
        <f t="shared" si="111"/>
        <v>41789.923101851848</v>
      </c>
      <c r="U1217" s="5">
        <f>VLOOKUP(currency,Tables!$A$1:$C$14,3,FALSE)*pledged</f>
        <v>39304.01</v>
      </c>
    </row>
    <row r="1218" spans="1:21" ht="28.8" x14ac:dyDescent="0.55000000000000004">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ref="O1218:O1281" si="114">pledged/goal</f>
        <v>1.4570000000000001</v>
      </c>
      <c r="P1218" s="16">
        <f t="shared" ref="P1218:P1281" si="115">IF(pledged=0,0,pledged/backers_count)</f>
        <v>91.882882882882882</v>
      </c>
      <c r="Q1218" t="str">
        <f t="shared" si="112"/>
        <v>photography</v>
      </c>
      <c r="R1218" t="str">
        <f t="shared" si="113"/>
        <v>photobooks</v>
      </c>
      <c r="S1218" s="4">
        <f t="shared" ref="S1218:S1281" si="116">(((Unix_launched_date/60)/60)/24)+DATE(1970,1,1)</f>
        <v>42247.616400462968</v>
      </c>
      <c r="T1218" s="4">
        <f t="shared" ref="T1218:T1281" si="117">(((Unix_deadline/60)/60)/24)+DATE(1970,1,1)</f>
        <v>42279.960416666669</v>
      </c>
      <c r="U1218" s="5">
        <f>VLOOKUP(currency,Tables!$A$1:$C$14,3,FALSE)*pledged</f>
        <v>20398</v>
      </c>
    </row>
    <row r="1219" spans="1:21" ht="43.2" x14ac:dyDescent="0.55000000000000004">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si="114"/>
        <v>1.026</v>
      </c>
      <c r="P1219" s="16">
        <f t="shared" si="115"/>
        <v>148.57377049180329</v>
      </c>
      <c r="Q1219" t="str">
        <f t="shared" ref="Q1219:Q1282" si="118">LEFT(N1219,FIND("/",N1219,1)-1)</f>
        <v>photography</v>
      </c>
      <c r="R1219" t="str">
        <f t="shared" ref="R1219:R1282" si="119">RIGHT(N1219,(LEN(N1219)-FIND("/",N1219,1)))</f>
        <v>photobooks</v>
      </c>
      <c r="S1219" s="4">
        <f t="shared" si="116"/>
        <v>42535.809490740736</v>
      </c>
      <c r="T1219" s="4">
        <f t="shared" si="117"/>
        <v>42565.809490740736</v>
      </c>
      <c r="U1219" s="5">
        <f>VLOOKUP(currency,Tables!$A$1:$C$14,3,FALSE)*pledged</f>
        <v>27189</v>
      </c>
    </row>
    <row r="1220" spans="1:21" ht="43.2" x14ac:dyDescent="0.55000000000000004">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16">
        <f t="shared" si="115"/>
        <v>174.2134831460674</v>
      </c>
      <c r="Q1220" t="str">
        <f t="shared" si="118"/>
        <v>photography</v>
      </c>
      <c r="R1220" t="str">
        <f t="shared" si="119"/>
        <v>photobooks</v>
      </c>
      <c r="S1220" s="4">
        <f t="shared" si="116"/>
        <v>42278.662037037036</v>
      </c>
      <c r="T1220" s="4">
        <f t="shared" si="117"/>
        <v>42309.125</v>
      </c>
      <c r="U1220" s="5">
        <f>VLOOKUP(currency,Tables!$A$1:$C$14,3,FALSE)*pledged</f>
        <v>15505</v>
      </c>
    </row>
    <row r="1221" spans="1:21" ht="28.8" x14ac:dyDescent="0.55000000000000004">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16">
        <f t="shared" si="115"/>
        <v>102.86166007905139</v>
      </c>
      <c r="Q1221" t="str">
        <f t="shared" si="118"/>
        <v>photography</v>
      </c>
      <c r="R1221" t="str">
        <f t="shared" si="119"/>
        <v>photobooks</v>
      </c>
      <c r="S1221" s="4">
        <f t="shared" si="116"/>
        <v>42633.461956018517</v>
      </c>
      <c r="T1221" s="4">
        <f t="shared" si="117"/>
        <v>42663.461956018517</v>
      </c>
      <c r="U1221" s="5">
        <f>VLOOKUP(currency,Tables!$A$1:$C$14,3,FALSE)*pledged</f>
        <v>26024</v>
      </c>
    </row>
    <row r="1222" spans="1:21" ht="43.2" x14ac:dyDescent="0.55000000000000004">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16">
        <f t="shared" si="115"/>
        <v>111.17857142857143</v>
      </c>
      <c r="Q1222" t="str">
        <f t="shared" si="118"/>
        <v>photography</v>
      </c>
      <c r="R1222" t="str">
        <f t="shared" si="119"/>
        <v>photobooks</v>
      </c>
      <c r="S1222" s="4">
        <f t="shared" si="116"/>
        <v>42211.628611111111</v>
      </c>
      <c r="T1222" s="4">
        <f t="shared" si="117"/>
        <v>42241.628611111111</v>
      </c>
      <c r="U1222" s="5">
        <f>VLOOKUP(currency,Tables!$A$1:$C$14,3,FALSE)*pledged</f>
        <v>18366.7</v>
      </c>
    </row>
    <row r="1223" spans="1:21" ht="43.2" x14ac:dyDescent="0.55000000000000004">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16">
        <f t="shared" si="115"/>
        <v>23.796213592233013</v>
      </c>
      <c r="Q1223" t="str">
        <f t="shared" si="118"/>
        <v>photography</v>
      </c>
      <c r="R1223" t="str">
        <f t="shared" si="119"/>
        <v>photobooks</v>
      </c>
      <c r="S1223" s="4">
        <f t="shared" si="116"/>
        <v>42680.47555555556</v>
      </c>
      <c r="T1223" s="4">
        <f t="shared" si="117"/>
        <v>42708</v>
      </c>
      <c r="U1223" s="5">
        <f>VLOOKUP(currency,Tables!$A$1:$C$14,3,FALSE)*pledged</f>
        <v>3235.3332000000005</v>
      </c>
    </row>
    <row r="1224" spans="1:21" ht="28.8" x14ac:dyDescent="0.55000000000000004">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16">
        <f t="shared" si="115"/>
        <v>81.268115942028984</v>
      </c>
      <c r="Q1224" t="str">
        <f t="shared" si="118"/>
        <v>photography</v>
      </c>
      <c r="R1224" t="str">
        <f t="shared" si="119"/>
        <v>photobooks</v>
      </c>
      <c r="S1224" s="4">
        <f t="shared" si="116"/>
        <v>42430.720451388886</v>
      </c>
      <c r="T1224" s="4">
        <f t="shared" si="117"/>
        <v>42461.166666666672</v>
      </c>
      <c r="U1224" s="5">
        <f>VLOOKUP(currency,Tables!$A$1:$C$14,3,FALSE)*pledged</f>
        <v>8523.4</v>
      </c>
    </row>
    <row r="1225" spans="1:21" ht="28.8" x14ac:dyDescent="0.55000000000000004">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16">
        <f t="shared" si="115"/>
        <v>116.21465968586388</v>
      </c>
      <c r="Q1225" t="str">
        <f t="shared" si="118"/>
        <v>photography</v>
      </c>
      <c r="R1225" t="str">
        <f t="shared" si="119"/>
        <v>photobooks</v>
      </c>
      <c r="S1225" s="4">
        <f t="shared" si="116"/>
        <v>42654.177187499998</v>
      </c>
      <c r="T1225" s="4">
        <f t="shared" si="117"/>
        <v>42684.218854166669</v>
      </c>
      <c r="U1225" s="5">
        <f>VLOOKUP(currency,Tables!$A$1:$C$14,3,FALSE)*pledged</f>
        <v>22197</v>
      </c>
    </row>
    <row r="1226" spans="1:21" ht="28.8" x14ac:dyDescent="0.55000000000000004">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16">
        <f t="shared" si="115"/>
        <v>58.888888888888886</v>
      </c>
      <c r="Q1226" t="str">
        <f t="shared" si="118"/>
        <v>music</v>
      </c>
      <c r="R1226" t="str">
        <f t="shared" si="119"/>
        <v>world music</v>
      </c>
      <c r="S1226" s="4">
        <f t="shared" si="116"/>
        <v>41736.549791666665</v>
      </c>
      <c r="T1226" s="4">
        <f t="shared" si="117"/>
        <v>41796.549791666665</v>
      </c>
      <c r="U1226" s="5">
        <f>VLOOKUP(currency,Tables!$A$1:$C$14,3,FALSE)*pledged</f>
        <v>1060</v>
      </c>
    </row>
    <row r="1227" spans="1:21" ht="43.2" x14ac:dyDescent="0.55000000000000004">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16">
        <f t="shared" si="115"/>
        <v>44</v>
      </c>
      <c r="Q1227" t="str">
        <f t="shared" si="118"/>
        <v>music</v>
      </c>
      <c r="R1227" t="str">
        <f t="shared" si="119"/>
        <v>world music</v>
      </c>
      <c r="S1227" s="4">
        <f t="shared" si="116"/>
        <v>41509.905995370369</v>
      </c>
      <c r="T1227" s="4">
        <f t="shared" si="117"/>
        <v>41569.905995370369</v>
      </c>
      <c r="U1227" s="5">
        <f>VLOOKUP(currency,Tables!$A$1:$C$14,3,FALSE)*pledged</f>
        <v>132</v>
      </c>
    </row>
    <row r="1228" spans="1:21" ht="43.2" x14ac:dyDescent="0.55000000000000004">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16">
        <f t="shared" si="115"/>
        <v>48.424999999999997</v>
      </c>
      <c r="Q1228" t="str">
        <f t="shared" si="118"/>
        <v>music</v>
      </c>
      <c r="R1228" t="str">
        <f t="shared" si="119"/>
        <v>world music</v>
      </c>
      <c r="S1228" s="4">
        <f t="shared" si="116"/>
        <v>41715.874780092592</v>
      </c>
      <c r="T1228" s="4">
        <f t="shared" si="117"/>
        <v>41750.041666666664</v>
      </c>
      <c r="U1228" s="5">
        <f>VLOOKUP(currency,Tables!$A$1:$C$14,3,FALSE)*pledged</f>
        <v>1937</v>
      </c>
    </row>
    <row r="1229" spans="1:21" ht="43.2" x14ac:dyDescent="0.55000000000000004">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114"/>
        <v>0</v>
      </c>
      <c r="P1229" s="16">
        <f t="shared" si="115"/>
        <v>0</v>
      </c>
      <c r="Q1229" t="str">
        <f t="shared" si="118"/>
        <v>music</v>
      </c>
      <c r="R1229" t="str">
        <f t="shared" si="119"/>
        <v>world music</v>
      </c>
      <c r="S1229" s="4">
        <f t="shared" si="116"/>
        <v>41827.919166666667</v>
      </c>
      <c r="T1229" s="4">
        <f t="shared" si="117"/>
        <v>41858.291666666664</v>
      </c>
      <c r="U1229" s="5">
        <f>VLOOKUP(currency,Tables!$A$1:$C$14,3,FALSE)*pledged</f>
        <v>0</v>
      </c>
    </row>
    <row r="1230" spans="1:21" ht="43.2" x14ac:dyDescent="0.55000000000000004">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16">
        <f t="shared" si="115"/>
        <v>61.041666666666664</v>
      </c>
      <c r="Q1230" t="str">
        <f t="shared" si="118"/>
        <v>music</v>
      </c>
      <c r="R1230" t="str">
        <f t="shared" si="119"/>
        <v>world music</v>
      </c>
      <c r="S1230" s="4">
        <f t="shared" si="116"/>
        <v>40754.729259259257</v>
      </c>
      <c r="T1230" s="4">
        <f t="shared" si="117"/>
        <v>40814.729259259257</v>
      </c>
      <c r="U1230" s="5">
        <f>VLOOKUP(currency,Tables!$A$1:$C$14,3,FALSE)*pledged</f>
        <v>1465</v>
      </c>
    </row>
    <row r="1231" spans="1:21" ht="43.2" x14ac:dyDescent="0.55000000000000004">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16">
        <f t="shared" si="115"/>
        <v>25</v>
      </c>
      <c r="Q1231" t="str">
        <f t="shared" si="118"/>
        <v>music</v>
      </c>
      <c r="R1231" t="str">
        <f t="shared" si="119"/>
        <v>world music</v>
      </c>
      <c r="S1231" s="4">
        <f t="shared" si="116"/>
        <v>40985.459803240738</v>
      </c>
      <c r="T1231" s="4">
        <f t="shared" si="117"/>
        <v>41015.666666666664</v>
      </c>
      <c r="U1231" s="5">
        <f>VLOOKUP(currency,Tables!$A$1:$C$14,3,FALSE)*pledged</f>
        <v>25</v>
      </c>
    </row>
    <row r="1232" spans="1:21" ht="43.2" x14ac:dyDescent="0.55000000000000004">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114"/>
        <v>0</v>
      </c>
      <c r="P1232" s="16">
        <f t="shared" si="115"/>
        <v>0</v>
      </c>
      <c r="Q1232" t="str">
        <f t="shared" si="118"/>
        <v>music</v>
      </c>
      <c r="R1232" t="str">
        <f t="shared" si="119"/>
        <v>world music</v>
      </c>
      <c r="S1232" s="4">
        <f t="shared" si="116"/>
        <v>40568.972569444442</v>
      </c>
      <c r="T1232" s="4">
        <f t="shared" si="117"/>
        <v>40598.972569444442</v>
      </c>
      <c r="U1232" s="5">
        <f>VLOOKUP(currency,Tables!$A$1:$C$14,3,FALSE)*pledged</f>
        <v>0</v>
      </c>
    </row>
    <row r="1233" spans="1:21" ht="43.2" x14ac:dyDescent="0.55000000000000004">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114"/>
        <v>0</v>
      </c>
      <c r="P1233" s="16">
        <f t="shared" si="115"/>
        <v>0</v>
      </c>
      <c r="Q1233" t="str">
        <f t="shared" si="118"/>
        <v>music</v>
      </c>
      <c r="R1233" t="str">
        <f t="shared" si="119"/>
        <v>world music</v>
      </c>
      <c r="S1233" s="4">
        <f t="shared" si="116"/>
        <v>42193.941759259258</v>
      </c>
      <c r="T1233" s="4">
        <f t="shared" si="117"/>
        <v>42244.041666666672</v>
      </c>
      <c r="U1233" s="5">
        <f>VLOOKUP(currency,Tables!$A$1:$C$14,3,FALSE)*pledged</f>
        <v>0</v>
      </c>
    </row>
    <row r="1234" spans="1:21" ht="43.2" x14ac:dyDescent="0.55000000000000004">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16">
        <f t="shared" si="115"/>
        <v>40</v>
      </c>
      <c r="Q1234" t="str">
        <f t="shared" si="118"/>
        <v>music</v>
      </c>
      <c r="R1234" t="str">
        <f t="shared" si="119"/>
        <v>world music</v>
      </c>
      <c r="S1234" s="4">
        <f t="shared" si="116"/>
        <v>41506.848032407412</v>
      </c>
      <c r="T1234" s="4">
        <f t="shared" si="117"/>
        <v>41553.848032407412</v>
      </c>
      <c r="U1234" s="5">
        <f>VLOOKUP(currency,Tables!$A$1:$C$14,3,FALSE)*pledged</f>
        <v>40</v>
      </c>
    </row>
    <row r="1235" spans="1:21" ht="43.2" x14ac:dyDescent="0.55000000000000004">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16">
        <f t="shared" si="115"/>
        <v>19.333333333333332</v>
      </c>
      <c r="Q1235" t="str">
        <f t="shared" si="118"/>
        <v>music</v>
      </c>
      <c r="R1235" t="str">
        <f t="shared" si="119"/>
        <v>world music</v>
      </c>
      <c r="S1235" s="4">
        <f t="shared" si="116"/>
        <v>40939.948773148149</v>
      </c>
      <c r="T1235" s="4">
        <f t="shared" si="117"/>
        <v>40960.948773148149</v>
      </c>
      <c r="U1235" s="5">
        <f>VLOOKUP(currency,Tables!$A$1:$C$14,3,FALSE)*pledged</f>
        <v>116</v>
      </c>
    </row>
    <row r="1236" spans="1:21" ht="43.2" x14ac:dyDescent="0.55000000000000004">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114"/>
        <v>0</v>
      </c>
      <c r="P1236" s="16">
        <f t="shared" si="115"/>
        <v>0</v>
      </c>
      <c r="Q1236" t="str">
        <f t="shared" si="118"/>
        <v>music</v>
      </c>
      <c r="R1236" t="str">
        <f t="shared" si="119"/>
        <v>world music</v>
      </c>
      <c r="S1236" s="4">
        <f t="shared" si="116"/>
        <v>42007.788680555561</v>
      </c>
      <c r="T1236" s="4">
        <f t="shared" si="117"/>
        <v>42037.788680555561</v>
      </c>
      <c r="U1236" s="5">
        <f>VLOOKUP(currency,Tables!$A$1:$C$14,3,FALSE)*pledged</f>
        <v>0</v>
      </c>
    </row>
    <row r="1237" spans="1:21" ht="43.2" x14ac:dyDescent="0.55000000000000004">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16">
        <f t="shared" si="115"/>
        <v>35</v>
      </c>
      <c r="Q1237" t="str">
        <f t="shared" si="118"/>
        <v>music</v>
      </c>
      <c r="R1237" t="str">
        <f t="shared" si="119"/>
        <v>world music</v>
      </c>
      <c r="S1237" s="4">
        <f t="shared" si="116"/>
        <v>41583.135405092595</v>
      </c>
      <c r="T1237" s="4">
        <f t="shared" si="117"/>
        <v>41623.135405092595</v>
      </c>
      <c r="U1237" s="5">
        <f>VLOOKUP(currency,Tables!$A$1:$C$14,3,FALSE)*pledged</f>
        <v>210</v>
      </c>
    </row>
    <row r="1238" spans="1:21" x14ac:dyDescent="0.55000000000000004">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114"/>
        <v>0</v>
      </c>
      <c r="P1238" s="16">
        <f t="shared" si="115"/>
        <v>0</v>
      </c>
      <c r="Q1238" t="str">
        <f t="shared" si="118"/>
        <v>music</v>
      </c>
      <c r="R1238" t="str">
        <f t="shared" si="119"/>
        <v>world music</v>
      </c>
      <c r="S1238" s="4">
        <f t="shared" si="116"/>
        <v>41110.680138888885</v>
      </c>
      <c r="T1238" s="4">
        <f t="shared" si="117"/>
        <v>41118.666666666664</v>
      </c>
      <c r="U1238" s="5">
        <f>VLOOKUP(currency,Tables!$A$1:$C$14,3,FALSE)*pledged</f>
        <v>0</v>
      </c>
    </row>
    <row r="1239" spans="1:21" ht="43.2" x14ac:dyDescent="0.55000000000000004">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114"/>
        <v>0</v>
      </c>
      <c r="P1239" s="16">
        <f t="shared" si="115"/>
        <v>0</v>
      </c>
      <c r="Q1239" t="str">
        <f t="shared" si="118"/>
        <v>music</v>
      </c>
      <c r="R1239" t="str">
        <f t="shared" si="119"/>
        <v>world music</v>
      </c>
      <c r="S1239" s="4">
        <f t="shared" si="116"/>
        <v>41125.283159722225</v>
      </c>
      <c r="T1239" s="4">
        <f t="shared" si="117"/>
        <v>41145.283159722225</v>
      </c>
      <c r="U1239" s="5">
        <f>VLOOKUP(currency,Tables!$A$1:$C$14,3,FALSE)*pledged</f>
        <v>0</v>
      </c>
    </row>
    <row r="1240" spans="1:21" ht="57.6" x14ac:dyDescent="0.55000000000000004">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16">
        <f t="shared" si="115"/>
        <v>59.333333333333336</v>
      </c>
      <c r="Q1240" t="str">
        <f t="shared" si="118"/>
        <v>music</v>
      </c>
      <c r="R1240" t="str">
        <f t="shared" si="119"/>
        <v>world music</v>
      </c>
      <c r="S1240" s="4">
        <f t="shared" si="116"/>
        <v>40731.61037037037</v>
      </c>
      <c r="T1240" s="4">
        <f t="shared" si="117"/>
        <v>40761.61037037037</v>
      </c>
      <c r="U1240" s="5">
        <f>VLOOKUP(currency,Tables!$A$1:$C$14,3,FALSE)*pledged</f>
        <v>178</v>
      </c>
    </row>
    <row r="1241" spans="1:21" ht="28.8" x14ac:dyDescent="0.55000000000000004">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114"/>
        <v>0</v>
      </c>
      <c r="P1241" s="16">
        <f t="shared" si="115"/>
        <v>0</v>
      </c>
      <c r="Q1241" t="str">
        <f t="shared" si="118"/>
        <v>music</v>
      </c>
      <c r="R1241" t="str">
        <f t="shared" si="119"/>
        <v>world music</v>
      </c>
      <c r="S1241" s="4">
        <f t="shared" si="116"/>
        <v>40883.962581018517</v>
      </c>
      <c r="T1241" s="4">
        <f t="shared" si="117"/>
        <v>40913.962581018517</v>
      </c>
      <c r="U1241" s="5">
        <f>VLOOKUP(currency,Tables!$A$1:$C$14,3,FALSE)*pledged</f>
        <v>0</v>
      </c>
    </row>
    <row r="1242" spans="1:21" ht="28.8" x14ac:dyDescent="0.55000000000000004">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16">
        <f t="shared" si="115"/>
        <v>30.125</v>
      </c>
      <c r="Q1242" t="str">
        <f t="shared" si="118"/>
        <v>music</v>
      </c>
      <c r="R1242" t="str">
        <f t="shared" si="119"/>
        <v>world music</v>
      </c>
      <c r="S1242" s="4">
        <f t="shared" si="116"/>
        <v>41409.040011574078</v>
      </c>
      <c r="T1242" s="4">
        <f t="shared" si="117"/>
        <v>41467.910416666666</v>
      </c>
      <c r="U1242" s="5">
        <f>VLOOKUP(currency,Tables!$A$1:$C$14,3,FALSE)*pledged</f>
        <v>241</v>
      </c>
    </row>
    <row r="1243" spans="1:21" ht="43.2" x14ac:dyDescent="0.55000000000000004">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16">
        <f t="shared" si="115"/>
        <v>74.617647058823536</v>
      </c>
      <c r="Q1243" t="str">
        <f t="shared" si="118"/>
        <v>music</v>
      </c>
      <c r="R1243" t="str">
        <f t="shared" si="119"/>
        <v>world music</v>
      </c>
      <c r="S1243" s="4">
        <f t="shared" si="116"/>
        <v>41923.837731481479</v>
      </c>
      <c r="T1243" s="4">
        <f t="shared" si="117"/>
        <v>41946.249305555553</v>
      </c>
      <c r="U1243" s="5">
        <f>VLOOKUP(currency,Tables!$A$1:$C$14,3,FALSE)*pledged</f>
        <v>2537</v>
      </c>
    </row>
    <row r="1244" spans="1:21" ht="43.2" x14ac:dyDescent="0.55000000000000004">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16">
        <f t="shared" si="115"/>
        <v>5</v>
      </c>
      <c r="Q1244" t="str">
        <f t="shared" si="118"/>
        <v>music</v>
      </c>
      <c r="R1244" t="str">
        <f t="shared" si="119"/>
        <v>world music</v>
      </c>
      <c r="S1244" s="4">
        <f t="shared" si="116"/>
        <v>40782.165532407409</v>
      </c>
      <c r="T1244" s="4">
        <f t="shared" si="117"/>
        <v>40797.554166666669</v>
      </c>
      <c r="U1244" s="5">
        <f>VLOOKUP(currency,Tables!$A$1:$C$14,3,FALSE)*pledged</f>
        <v>5</v>
      </c>
    </row>
    <row r="1245" spans="1:21" ht="43.2" x14ac:dyDescent="0.55000000000000004">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16">
        <f t="shared" si="115"/>
        <v>44.5</v>
      </c>
      <c r="Q1245" t="str">
        <f t="shared" si="118"/>
        <v>music</v>
      </c>
      <c r="R1245" t="str">
        <f t="shared" si="119"/>
        <v>world music</v>
      </c>
      <c r="S1245" s="4">
        <f t="shared" si="116"/>
        <v>40671.879293981481</v>
      </c>
      <c r="T1245" s="4">
        <f t="shared" si="117"/>
        <v>40732.875</v>
      </c>
      <c r="U1245" s="5">
        <f>VLOOKUP(currency,Tables!$A$1:$C$14,3,FALSE)*pledged</f>
        <v>1691</v>
      </c>
    </row>
    <row r="1246" spans="1:21" ht="43.2" x14ac:dyDescent="0.55000000000000004">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16">
        <f t="shared" si="115"/>
        <v>46.133333333333333</v>
      </c>
      <c r="Q1246" t="str">
        <f t="shared" si="118"/>
        <v>music</v>
      </c>
      <c r="R1246" t="str">
        <f t="shared" si="119"/>
        <v>rock</v>
      </c>
      <c r="S1246" s="4">
        <f t="shared" si="116"/>
        <v>41355.825497685182</v>
      </c>
      <c r="T1246" s="4">
        <f t="shared" si="117"/>
        <v>41386.875</v>
      </c>
      <c r="U1246" s="5">
        <f>VLOOKUP(currency,Tables!$A$1:$C$14,3,FALSE)*pledged</f>
        <v>2076</v>
      </c>
    </row>
    <row r="1247" spans="1:21" ht="43.2" x14ac:dyDescent="0.55000000000000004">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16">
        <f t="shared" si="115"/>
        <v>141.47058823529412</v>
      </c>
      <c r="Q1247" t="str">
        <f t="shared" si="118"/>
        <v>music</v>
      </c>
      <c r="R1247" t="str">
        <f t="shared" si="119"/>
        <v>rock</v>
      </c>
      <c r="S1247" s="4">
        <f t="shared" si="116"/>
        <v>41774.599930555552</v>
      </c>
      <c r="T1247" s="4">
        <f t="shared" si="117"/>
        <v>41804.599930555552</v>
      </c>
      <c r="U1247" s="5">
        <f>VLOOKUP(currency,Tables!$A$1:$C$14,3,FALSE)*pledged</f>
        <v>2405</v>
      </c>
    </row>
    <row r="1248" spans="1:21" ht="43.2" x14ac:dyDescent="0.55000000000000004">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114"/>
        <v>1.17</v>
      </c>
      <c r="P1248" s="16">
        <f t="shared" si="115"/>
        <v>75.483870967741936</v>
      </c>
      <c r="Q1248" t="str">
        <f t="shared" si="118"/>
        <v>music</v>
      </c>
      <c r="R1248" t="str">
        <f t="shared" si="119"/>
        <v>rock</v>
      </c>
      <c r="S1248" s="4">
        <f t="shared" si="116"/>
        <v>40838.043391203704</v>
      </c>
      <c r="T1248" s="4">
        <f t="shared" si="117"/>
        <v>40883.085057870368</v>
      </c>
      <c r="U1248" s="5">
        <f>VLOOKUP(currency,Tables!$A$1:$C$14,3,FALSE)*pledged</f>
        <v>2340</v>
      </c>
    </row>
    <row r="1249" spans="1:21" ht="28.8" x14ac:dyDescent="0.55000000000000004">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16">
        <f t="shared" si="115"/>
        <v>85.5</v>
      </c>
      <c r="Q1249" t="str">
        <f t="shared" si="118"/>
        <v>music</v>
      </c>
      <c r="R1249" t="str">
        <f t="shared" si="119"/>
        <v>rock</v>
      </c>
      <c r="S1249" s="4">
        <f t="shared" si="116"/>
        <v>41370.292303240742</v>
      </c>
      <c r="T1249" s="4">
        <f t="shared" si="117"/>
        <v>41400.292303240742</v>
      </c>
      <c r="U1249" s="5">
        <f>VLOOKUP(currency,Tables!$A$1:$C$14,3,FALSE)*pledged</f>
        <v>4275</v>
      </c>
    </row>
    <row r="1250" spans="1:21" ht="28.8" x14ac:dyDescent="0.55000000000000004">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16">
        <f t="shared" si="115"/>
        <v>64.254237288135599</v>
      </c>
      <c r="Q1250" t="str">
        <f t="shared" si="118"/>
        <v>music</v>
      </c>
      <c r="R1250" t="str">
        <f t="shared" si="119"/>
        <v>rock</v>
      </c>
      <c r="S1250" s="4">
        <f t="shared" si="116"/>
        <v>41767.656863425924</v>
      </c>
      <c r="T1250" s="4">
        <f t="shared" si="117"/>
        <v>41803.290972222225</v>
      </c>
      <c r="U1250" s="5">
        <f>VLOOKUP(currency,Tables!$A$1:$C$14,3,FALSE)*pledged</f>
        <v>3791</v>
      </c>
    </row>
    <row r="1251" spans="1:21" ht="43.2" x14ac:dyDescent="0.55000000000000004">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16">
        <f t="shared" si="115"/>
        <v>64.46913580246914</v>
      </c>
      <c r="Q1251" t="str">
        <f t="shared" si="118"/>
        <v>music</v>
      </c>
      <c r="R1251" t="str">
        <f t="shared" si="119"/>
        <v>rock</v>
      </c>
      <c r="S1251" s="4">
        <f t="shared" si="116"/>
        <v>41067.74086805556</v>
      </c>
      <c r="T1251" s="4">
        <f t="shared" si="117"/>
        <v>41097.74086805556</v>
      </c>
      <c r="U1251" s="5">
        <f>VLOOKUP(currency,Tables!$A$1:$C$14,3,FALSE)*pledged</f>
        <v>5222</v>
      </c>
    </row>
    <row r="1252" spans="1:21" ht="43.2" x14ac:dyDescent="0.55000000000000004">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16">
        <f t="shared" si="115"/>
        <v>118.2007874015748</v>
      </c>
      <c r="Q1252" t="str">
        <f t="shared" si="118"/>
        <v>music</v>
      </c>
      <c r="R1252" t="str">
        <f t="shared" si="119"/>
        <v>rock</v>
      </c>
      <c r="S1252" s="4">
        <f t="shared" si="116"/>
        <v>41843.64271990741</v>
      </c>
      <c r="T1252" s="4">
        <f t="shared" si="117"/>
        <v>41888.64271990741</v>
      </c>
      <c r="U1252" s="5">
        <f>VLOOKUP(currency,Tables!$A$1:$C$14,3,FALSE)*pledged</f>
        <v>60046</v>
      </c>
    </row>
    <row r="1253" spans="1:21" ht="28.8" x14ac:dyDescent="0.55000000000000004">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16">
        <f t="shared" si="115"/>
        <v>82.540540540540547</v>
      </c>
      <c r="Q1253" t="str">
        <f t="shared" si="118"/>
        <v>music</v>
      </c>
      <c r="R1253" t="str">
        <f t="shared" si="119"/>
        <v>rock</v>
      </c>
      <c r="S1253" s="4">
        <f t="shared" si="116"/>
        <v>40751.814432870371</v>
      </c>
      <c r="T1253" s="4">
        <f t="shared" si="117"/>
        <v>40811.814432870371</v>
      </c>
      <c r="U1253" s="5">
        <f>VLOOKUP(currency,Tables!$A$1:$C$14,3,FALSE)*pledged</f>
        <v>6108</v>
      </c>
    </row>
    <row r="1254" spans="1:21" ht="43.2" x14ac:dyDescent="0.55000000000000004">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16">
        <f t="shared" si="115"/>
        <v>34.170212765957444</v>
      </c>
      <c r="Q1254" t="str">
        <f t="shared" si="118"/>
        <v>music</v>
      </c>
      <c r="R1254" t="str">
        <f t="shared" si="119"/>
        <v>rock</v>
      </c>
      <c r="S1254" s="4">
        <f t="shared" si="116"/>
        <v>41543.988067129627</v>
      </c>
      <c r="T1254" s="4">
        <f t="shared" si="117"/>
        <v>41571.988067129627</v>
      </c>
      <c r="U1254" s="5">
        <f>VLOOKUP(currency,Tables!$A$1:$C$14,3,FALSE)*pledged</f>
        <v>4818</v>
      </c>
    </row>
    <row r="1255" spans="1:21" ht="43.2" x14ac:dyDescent="0.55000000000000004">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16">
        <f t="shared" si="115"/>
        <v>42.73322081575246</v>
      </c>
      <c r="Q1255" t="str">
        <f t="shared" si="118"/>
        <v>music</v>
      </c>
      <c r="R1255" t="str">
        <f t="shared" si="119"/>
        <v>rock</v>
      </c>
      <c r="S1255" s="4">
        <f t="shared" si="116"/>
        <v>41855.783645833333</v>
      </c>
      <c r="T1255" s="4">
        <f t="shared" si="117"/>
        <v>41885.783645833333</v>
      </c>
      <c r="U1255" s="5">
        <f>VLOOKUP(currency,Tables!$A$1:$C$14,3,FALSE)*pledged</f>
        <v>30383.32</v>
      </c>
    </row>
    <row r="1256" spans="1:21" ht="43.2" x14ac:dyDescent="0.55000000000000004">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16">
        <f t="shared" si="115"/>
        <v>94.489361702127653</v>
      </c>
      <c r="Q1256" t="str">
        <f t="shared" si="118"/>
        <v>music</v>
      </c>
      <c r="R1256" t="str">
        <f t="shared" si="119"/>
        <v>rock</v>
      </c>
      <c r="S1256" s="4">
        <f t="shared" si="116"/>
        <v>40487.621365740742</v>
      </c>
      <c r="T1256" s="4">
        <f t="shared" si="117"/>
        <v>40544.207638888889</v>
      </c>
      <c r="U1256" s="5">
        <f>VLOOKUP(currency,Tables!$A$1:$C$14,3,FALSE)*pledged</f>
        <v>13323</v>
      </c>
    </row>
    <row r="1257" spans="1:21" ht="43.2" x14ac:dyDescent="0.55000000000000004">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16">
        <f t="shared" si="115"/>
        <v>55.697247706422019</v>
      </c>
      <c r="Q1257" t="str">
        <f t="shared" si="118"/>
        <v>music</v>
      </c>
      <c r="R1257" t="str">
        <f t="shared" si="119"/>
        <v>rock</v>
      </c>
      <c r="S1257" s="4">
        <f t="shared" si="116"/>
        <v>41579.845509259263</v>
      </c>
      <c r="T1257" s="4">
        <f t="shared" si="117"/>
        <v>41609.887175925927</v>
      </c>
      <c r="U1257" s="5">
        <f>VLOOKUP(currency,Tables!$A$1:$C$14,3,FALSE)*pledged</f>
        <v>6071</v>
      </c>
    </row>
    <row r="1258" spans="1:21" ht="43.2" x14ac:dyDescent="0.55000000000000004">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16">
        <f t="shared" si="115"/>
        <v>98.030831024930734</v>
      </c>
      <c r="Q1258" t="str">
        <f t="shared" si="118"/>
        <v>music</v>
      </c>
      <c r="R1258" t="str">
        <f t="shared" si="119"/>
        <v>rock</v>
      </c>
      <c r="S1258" s="4">
        <f t="shared" si="116"/>
        <v>40921.919340277782</v>
      </c>
      <c r="T1258" s="4">
        <f t="shared" si="117"/>
        <v>40951.919340277782</v>
      </c>
      <c r="U1258" s="5">
        <f>VLOOKUP(currency,Tables!$A$1:$C$14,3,FALSE)*pledged</f>
        <v>35389.129999999997</v>
      </c>
    </row>
    <row r="1259" spans="1:21" ht="43.2" x14ac:dyDescent="0.55000000000000004">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16">
        <f t="shared" si="115"/>
        <v>92.102272727272734</v>
      </c>
      <c r="Q1259" t="str">
        <f t="shared" si="118"/>
        <v>music</v>
      </c>
      <c r="R1259" t="str">
        <f t="shared" si="119"/>
        <v>rock</v>
      </c>
      <c r="S1259" s="4">
        <f t="shared" si="116"/>
        <v>40587.085532407407</v>
      </c>
      <c r="T1259" s="4">
        <f t="shared" si="117"/>
        <v>40636.043865740743</v>
      </c>
      <c r="U1259" s="5">
        <f>VLOOKUP(currency,Tables!$A$1:$C$14,3,FALSE)*pledged</f>
        <v>16210</v>
      </c>
    </row>
    <row r="1260" spans="1:21" ht="43.2" x14ac:dyDescent="0.55000000000000004">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16">
        <f t="shared" si="115"/>
        <v>38.175462686567165</v>
      </c>
      <c r="Q1260" t="str">
        <f t="shared" si="118"/>
        <v>music</v>
      </c>
      <c r="R1260" t="str">
        <f t="shared" si="119"/>
        <v>rock</v>
      </c>
      <c r="S1260" s="4">
        <f t="shared" si="116"/>
        <v>41487.611250000002</v>
      </c>
      <c r="T1260" s="4">
        <f t="shared" si="117"/>
        <v>41517.611250000002</v>
      </c>
      <c r="U1260" s="5">
        <f>VLOOKUP(currency,Tables!$A$1:$C$14,3,FALSE)*pledged</f>
        <v>25577.56</v>
      </c>
    </row>
    <row r="1261" spans="1:21" ht="28.8" x14ac:dyDescent="0.55000000000000004">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16">
        <f t="shared" si="115"/>
        <v>27.145833333333332</v>
      </c>
      <c r="Q1261" t="str">
        <f t="shared" si="118"/>
        <v>music</v>
      </c>
      <c r="R1261" t="str">
        <f t="shared" si="119"/>
        <v>rock</v>
      </c>
      <c r="S1261" s="4">
        <f t="shared" si="116"/>
        <v>41766.970648148148</v>
      </c>
      <c r="T1261" s="4">
        <f t="shared" si="117"/>
        <v>41799.165972222225</v>
      </c>
      <c r="U1261" s="5">
        <f>VLOOKUP(currency,Tables!$A$1:$C$14,3,FALSE)*pledged</f>
        <v>2606</v>
      </c>
    </row>
    <row r="1262" spans="1:21" ht="43.2" x14ac:dyDescent="0.55000000000000004">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16">
        <f t="shared" si="115"/>
        <v>50.689189189189186</v>
      </c>
      <c r="Q1262" t="str">
        <f t="shared" si="118"/>
        <v>music</v>
      </c>
      <c r="R1262" t="str">
        <f t="shared" si="119"/>
        <v>rock</v>
      </c>
      <c r="S1262" s="4">
        <f t="shared" si="116"/>
        <v>41666.842824074076</v>
      </c>
      <c r="T1262" s="4">
        <f t="shared" si="117"/>
        <v>41696.842824074076</v>
      </c>
      <c r="U1262" s="5">
        <f>VLOOKUP(currency,Tables!$A$1:$C$14,3,FALSE)*pledged</f>
        <v>3751</v>
      </c>
    </row>
    <row r="1263" spans="1:21" ht="28.8" x14ac:dyDescent="0.55000000000000004">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16">
        <f t="shared" si="115"/>
        <v>38.942307692307693</v>
      </c>
      <c r="Q1263" t="str">
        <f t="shared" si="118"/>
        <v>music</v>
      </c>
      <c r="R1263" t="str">
        <f t="shared" si="119"/>
        <v>rock</v>
      </c>
      <c r="S1263" s="4">
        <f t="shared" si="116"/>
        <v>41638.342905092592</v>
      </c>
      <c r="T1263" s="4">
        <f t="shared" si="117"/>
        <v>41668.342905092592</v>
      </c>
      <c r="U1263" s="5">
        <f>VLOOKUP(currency,Tables!$A$1:$C$14,3,FALSE)*pledged</f>
        <v>2025</v>
      </c>
    </row>
    <row r="1264" spans="1:21" ht="43.2" x14ac:dyDescent="0.55000000000000004">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16">
        <f t="shared" si="115"/>
        <v>77.638095238095232</v>
      </c>
      <c r="Q1264" t="str">
        <f t="shared" si="118"/>
        <v>music</v>
      </c>
      <c r="R1264" t="str">
        <f t="shared" si="119"/>
        <v>rock</v>
      </c>
      <c r="S1264" s="4">
        <f t="shared" si="116"/>
        <v>41656.762638888889</v>
      </c>
      <c r="T1264" s="4">
        <f t="shared" si="117"/>
        <v>41686.762638888889</v>
      </c>
      <c r="U1264" s="5">
        <f>VLOOKUP(currency,Tables!$A$1:$C$14,3,FALSE)*pledged</f>
        <v>6195.52</v>
      </c>
    </row>
    <row r="1265" spans="1:21" ht="28.8" x14ac:dyDescent="0.55000000000000004">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114"/>
        <v>1.19</v>
      </c>
      <c r="P1265" s="16">
        <f t="shared" si="115"/>
        <v>43.536585365853661</v>
      </c>
      <c r="Q1265" t="str">
        <f t="shared" si="118"/>
        <v>music</v>
      </c>
      <c r="R1265" t="str">
        <f t="shared" si="119"/>
        <v>rock</v>
      </c>
      <c r="S1265" s="4">
        <f t="shared" si="116"/>
        <v>41692.084143518521</v>
      </c>
      <c r="T1265" s="4">
        <f t="shared" si="117"/>
        <v>41727.041666666664</v>
      </c>
      <c r="U1265" s="5">
        <f>VLOOKUP(currency,Tables!$A$1:$C$14,3,FALSE)*pledged</f>
        <v>1785</v>
      </c>
    </row>
    <row r="1266" spans="1:21" ht="43.2" x14ac:dyDescent="0.55000000000000004">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16">
        <f t="shared" si="115"/>
        <v>31.823529411764707</v>
      </c>
      <c r="Q1266" t="str">
        <f t="shared" si="118"/>
        <v>music</v>
      </c>
      <c r="R1266" t="str">
        <f t="shared" si="119"/>
        <v>rock</v>
      </c>
      <c r="S1266" s="4">
        <f t="shared" si="116"/>
        <v>41547.662997685184</v>
      </c>
      <c r="T1266" s="4">
        <f t="shared" si="117"/>
        <v>41576.662997685184</v>
      </c>
      <c r="U1266" s="5">
        <f>VLOOKUP(currency,Tables!$A$1:$C$14,3,FALSE)*pledged</f>
        <v>1082</v>
      </c>
    </row>
    <row r="1267" spans="1:21" ht="57.6" x14ac:dyDescent="0.55000000000000004">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16">
        <f t="shared" si="115"/>
        <v>63.184393939393942</v>
      </c>
      <c r="Q1267" t="str">
        <f t="shared" si="118"/>
        <v>music</v>
      </c>
      <c r="R1267" t="str">
        <f t="shared" si="119"/>
        <v>rock</v>
      </c>
      <c r="S1267" s="4">
        <f t="shared" si="116"/>
        <v>40465.655266203699</v>
      </c>
      <c r="T1267" s="4">
        <f t="shared" si="117"/>
        <v>40512.655266203699</v>
      </c>
      <c r="U1267" s="5">
        <f>VLOOKUP(currency,Tables!$A$1:$C$14,3,FALSE)*pledged</f>
        <v>4170.17</v>
      </c>
    </row>
    <row r="1268" spans="1:21" ht="28.8" x14ac:dyDescent="0.55000000000000004">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16">
        <f t="shared" si="115"/>
        <v>190.9</v>
      </c>
      <c r="Q1268" t="str">
        <f t="shared" si="118"/>
        <v>music</v>
      </c>
      <c r="R1268" t="str">
        <f t="shared" si="119"/>
        <v>rock</v>
      </c>
      <c r="S1268" s="4">
        <f t="shared" si="116"/>
        <v>41620.87667824074</v>
      </c>
      <c r="T1268" s="4">
        <f t="shared" si="117"/>
        <v>41650.87667824074</v>
      </c>
      <c r="U1268" s="5">
        <f>VLOOKUP(currency,Tables!$A$1:$C$14,3,FALSE)*pledged</f>
        <v>9545</v>
      </c>
    </row>
    <row r="1269" spans="1:21" ht="43.2" x14ac:dyDescent="0.55000000000000004">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16">
        <f t="shared" si="115"/>
        <v>140.85534591194968</v>
      </c>
      <c r="Q1269" t="str">
        <f t="shared" si="118"/>
        <v>music</v>
      </c>
      <c r="R1269" t="str">
        <f t="shared" si="119"/>
        <v>rock</v>
      </c>
      <c r="S1269" s="4">
        <f t="shared" si="116"/>
        <v>41449.585162037038</v>
      </c>
      <c r="T1269" s="4">
        <f t="shared" si="117"/>
        <v>41479.585162037038</v>
      </c>
      <c r="U1269" s="5">
        <f>VLOOKUP(currency,Tables!$A$1:$C$14,3,FALSE)*pledged</f>
        <v>22396</v>
      </c>
    </row>
    <row r="1270" spans="1:21" ht="28.8" x14ac:dyDescent="0.55000000000000004">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16">
        <f t="shared" si="115"/>
        <v>76.92307692307692</v>
      </c>
      <c r="Q1270" t="str">
        <f t="shared" si="118"/>
        <v>music</v>
      </c>
      <c r="R1270" t="str">
        <f t="shared" si="119"/>
        <v>rock</v>
      </c>
      <c r="S1270" s="4">
        <f t="shared" si="116"/>
        <v>41507.845451388886</v>
      </c>
      <c r="T1270" s="4">
        <f t="shared" si="117"/>
        <v>41537.845451388886</v>
      </c>
      <c r="U1270" s="5">
        <f>VLOOKUP(currency,Tables!$A$1:$C$14,3,FALSE)*pledged</f>
        <v>14000</v>
      </c>
    </row>
    <row r="1271" spans="1:21" ht="43.2" x14ac:dyDescent="0.55000000000000004">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16">
        <f t="shared" si="115"/>
        <v>99.15533980582525</v>
      </c>
      <c r="Q1271" t="str">
        <f t="shared" si="118"/>
        <v>music</v>
      </c>
      <c r="R1271" t="str">
        <f t="shared" si="119"/>
        <v>rock</v>
      </c>
      <c r="S1271" s="4">
        <f t="shared" si="116"/>
        <v>42445.823055555549</v>
      </c>
      <c r="T1271" s="4">
        <f t="shared" si="117"/>
        <v>42476</v>
      </c>
      <c r="U1271" s="5">
        <f>VLOOKUP(currency,Tables!$A$1:$C$14,3,FALSE)*pledged</f>
        <v>20426</v>
      </c>
    </row>
    <row r="1272" spans="1:21" ht="28.8" x14ac:dyDescent="0.55000000000000004">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16">
        <f t="shared" si="115"/>
        <v>67.881656804733723</v>
      </c>
      <c r="Q1272" t="str">
        <f t="shared" si="118"/>
        <v>music</v>
      </c>
      <c r="R1272" t="str">
        <f t="shared" si="119"/>
        <v>rock</v>
      </c>
      <c r="S1272" s="4">
        <f t="shared" si="116"/>
        <v>40933.856967592597</v>
      </c>
      <c r="T1272" s="4">
        <f t="shared" si="117"/>
        <v>40993.815300925926</v>
      </c>
      <c r="U1272" s="5">
        <f>VLOOKUP(currency,Tables!$A$1:$C$14,3,FALSE)*pledged</f>
        <v>11472</v>
      </c>
    </row>
    <row r="1273" spans="1:21" ht="43.2" x14ac:dyDescent="0.55000000000000004">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16">
        <f t="shared" si="115"/>
        <v>246.29032258064515</v>
      </c>
      <c r="Q1273" t="str">
        <f t="shared" si="118"/>
        <v>music</v>
      </c>
      <c r="R1273" t="str">
        <f t="shared" si="119"/>
        <v>rock</v>
      </c>
      <c r="S1273" s="4">
        <f t="shared" si="116"/>
        <v>41561.683553240742</v>
      </c>
      <c r="T1273" s="4">
        <f t="shared" si="117"/>
        <v>41591.725219907406</v>
      </c>
      <c r="U1273" s="5">
        <f>VLOOKUP(currency,Tables!$A$1:$C$14,3,FALSE)*pledged</f>
        <v>7635</v>
      </c>
    </row>
    <row r="1274" spans="1:21" ht="57.6" x14ac:dyDescent="0.55000000000000004">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114"/>
        <v>1.06</v>
      </c>
      <c r="P1274" s="16">
        <f t="shared" si="115"/>
        <v>189.28571428571428</v>
      </c>
      <c r="Q1274" t="str">
        <f t="shared" si="118"/>
        <v>music</v>
      </c>
      <c r="R1274" t="str">
        <f t="shared" si="119"/>
        <v>rock</v>
      </c>
      <c r="S1274" s="4">
        <f t="shared" si="116"/>
        <v>40274.745127314818</v>
      </c>
      <c r="T1274" s="4">
        <f t="shared" si="117"/>
        <v>40344.166666666664</v>
      </c>
      <c r="U1274" s="5">
        <f>VLOOKUP(currency,Tables!$A$1:$C$14,3,FALSE)*pledged</f>
        <v>5300</v>
      </c>
    </row>
    <row r="1275" spans="1:21" ht="28.8" x14ac:dyDescent="0.55000000000000004">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16">
        <f t="shared" si="115"/>
        <v>76.666666666666671</v>
      </c>
      <c r="Q1275" t="str">
        <f t="shared" si="118"/>
        <v>music</v>
      </c>
      <c r="R1275" t="str">
        <f t="shared" si="119"/>
        <v>rock</v>
      </c>
      <c r="S1275" s="4">
        <f t="shared" si="116"/>
        <v>41852.730219907404</v>
      </c>
      <c r="T1275" s="4">
        <f t="shared" si="117"/>
        <v>41882.730219907404</v>
      </c>
      <c r="U1275" s="5">
        <f>VLOOKUP(currency,Tables!$A$1:$C$14,3,FALSE)*pledged</f>
        <v>3146.4</v>
      </c>
    </row>
    <row r="1276" spans="1:21" ht="43.2" x14ac:dyDescent="0.55000000000000004">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16">
        <f t="shared" si="115"/>
        <v>82.963254817987149</v>
      </c>
      <c r="Q1276" t="str">
        <f t="shared" si="118"/>
        <v>music</v>
      </c>
      <c r="R1276" t="str">
        <f t="shared" si="119"/>
        <v>rock</v>
      </c>
      <c r="S1276" s="4">
        <f t="shared" si="116"/>
        <v>41116.690104166664</v>
      </c>
      <c r="T1276" s="4">
        <f t="shared" si="117"/>
        <v>41151.690104166664</v>
      </c>
      <c r="U1276" s="5">
        <f>VLOOKUP(currency,Tables!$A$1:$C$14,3,FALSE)*pledged</f>
        <v>38743.839999999997</v>
      </c>
    </row>
    <row r="1277" spans="1:21" ht="43.2" x14ac:dyDescent="0.55000000000000004">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16">
        <f t="shared" si="115"/>
        <v>62.522107969151669</v>
      </c>
      <c r="Q1277" t="str">
        <f t="shared" si="118"/>
        <v>music</v>
      </c>
      <c r="R1277" t="str">
        <f t="shared" si="119"/>
        <v>rock</v>
      </c>
      <c r="S1277" s="4">
        <f t="shared" si="116"/>
        <v>41458.867905092593</v>
      </c>
      <c r="T1277" s="4">
        <f t="shared" si="117"/>
        <v>41493.867905092593</v>
      </c>
      <c r="U1277" s="5">
        <f>VLOOKUP(currency,Tables!$A$1:$C$14,3,FALSE)*pledged</f>
        <v>24321.1</v>
      </c>
    </row>
    <row r="1278" spans="1:21" ht="28.8" x14ac:dyDescent="0.55000000000000004">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16">
        <f t="shared" si="115"/>
        <v>46.06808823529412</v>
      </c>
      <c r="Q1278" t="str">
        <f t="shared" si="118"/>
        <v>music</v>
      </c>
      <c r="R1278" t="str">
        <f t="shared" si="119"/>
        <v>rock</v>
      </c>
      <c r="S1278" s="4">
        <f t="shared" si="116"/>
        <v>40007.704247685186</v>
      </c>
      <c r="T1278" s="4">
        <f t="shared" si="117"/>
        <v>40057.166666666664</v>
      </c>
      <c r="U1278" s="5">
        <f>VLOOKUP(currency,Tables!$A$1:$C$14,3,FALSE)*pledged</f>
        <v>3132.63</v>
      </c>
    </row>
    <row r="1279" spans="1:21" ht="43.2" x14ac:dyDescent="0.55000000000000004">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16">
        <f t="shared" si="115"/>
        <v>38.543946731234868</v>
      </c>
      <c r="Q1279" t="str">
        <f t="shared" si="118"/>
        <v>music</v>
      </c>
      <c r="R1279" t="str">
        <f t="shared" si="119"/>
        <v>rock</v>
      </c>
      <c r="S1279" s="4">
        <f t="shared" si="116"/>
        <v>41121.561886574076</v>
      </c>
      <c r="T1279" s="4">
        <f t="shared" si="117"/>
        <v>41156.561886574076</v>
      </c>
      <c r="U1279" s="5">
        <f>VLOOKUP(currency,Tables!$A$1:$C$14,3,FALSE)*pledged</f>
        <v>15918.65</v>
      </c>
    </row>
    <row r="1280" spans="1:21" ht="43.2" x14ac:dyDescent="0.55000000000000004">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16">
        <f t="shared" si="115"/>
        <v>53.005263157894738</v>
      </c>
      <c r="Q1280" t="str">
        <f t="shared" si="118"/>
        <v>music</v>
      </c>
      <c r="R1280" t="str">
        <f t="shared" si="119"/>
        <v>rock</v>
      </c>
      <c r="S1280" s="4">
        <f t="shared" si="116"/>
        <v>41786.555162037039</v>
      </c>
      <c r="T1280" s="4">
        <f t="shared" si="117"/>
        <v>41815.083333333336</v>
      </c>
      <c r="U1280" s="5">
        <f>VLOOKUP(currency,Tables!$A$1:$C$14,3,FALSE)*pledged</f>
        <v>10071</v>
      </c>
    </row>
    <row r="1281" spans="1:21" ht="43.2" x14ac:dyDescent="0.55000000000000004">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16">
        <f t="shared" si="115"/>
        <v>73.355396825396824</v>
      </c>
      <c r="Q1281" t="str">
        <f t="shared" si="118"/>
        <v>music</v>
      </c>
      <c r="R1281" t="str">
        <f t="shared" si="119"/>
        <v>rock</v>
      </c>
      <c r="S1281" s="4">
        <f t="shared" si="116"/>
        <v>41682.099189814813</v>
      </c>
      <c r="T1281" s="4">
        <f t="shared" si="117"/>
        <v>41722.057523148149</v>
      </c>
      <c r="U1281" s="5">
        <f>VLOOKUP(currency,Tables!$A$1:$C$14,3,FALSE)*pledged</f>
        <v>13864.17</v>
      </c>
    </row>
    <row r="1282" spans="1:21" ht="43.2" x14ac:dyDescent="0.55000000000000004">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ref="O1282:O1345" si="120">pledged/goal</f>
        <v>1.1091186666666666</v>
      </c>
      <c r="P1282" s="16">
        <f t="shared" ref="P1282:P1345" si="121">IF(pledged=0,0,pledged/backers_count)</f>
        <v>127.97523076923076</v>
      </c>
      <c r="Q1282" t="str">
        <f t="shared" si="118"/>
        <v>music</v>
      </c>
      <c r="R1282" t="str">
        <f t="shared" si="119"/>
        <v>rock</v>
      </c>
      <c r="S1282" s="4">
        <f t="shared" ref="S1282:S1345" si="122">(((Unix_launched_date/60)/60)/24)+DATE(1970,1,1)</f>
        <v>40513.757569444446</v>
      </c>
      <c r="T1282" s="4">
        <f t="shared" ref="T1282:T1345" si="123">(((Unix_deadline/60)/60)/24)+DATE(1970,1,1)</f>
        <v>40603.757569444446</v>
      </c>
      <c r="U1282" s="5">
        <f>VLOOKUP(currency,Tables!$A$1:$C$14,3,FALSE)*pledged</f>
        <v>16636.78</v>
      </c>
    </row>
    <row r="1283" spans="1:21" ht="43.2" x14ac:dyDescent="0.55000000000000004">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si="120"/>
        <v>1.1071428571428572</v>
      </c>
      <c r="P1283" s="16">
        <f t="shared" si="121"/>
        <v>104.72972972972973</v>
      </c>
      <c r="Q1283" t="str">
        <f t="shared" ref="Q1283:Q1346" si="124">LEFT(N1283,FIND("/",N1283,1)-1)</f>
        <v>music</v>
      </c>
      <c r="R1283" t="str">
        <f t="shared" ref="R1283:R1346" si="125">RIGHT(N1283,(LEN(N1283)-FIND("/",N1283,1)))</f>
        <v>rock</v>
      </c>
      <c r="S1283" s="4">
        <f t="shared" si="122"/>
        <v>41463.743472222224</v>
      </c>
      <c r="T1283" s="4">
        <f t="shared" si="123"/>
        <v>41483.743472222224</v>
      </c>
      <c r="U1283" s="5">
        <f>VLOOKUP(currency,Tables!$A$1:$C$14,3,FALSE)*pledged</f>
        <v>7750</v>
      </c>
    </row>
    <row r="1284" spans="1:21" ht="43.2" x14ac:dyDescent="0.55000000000000004">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16">
        <f t="shared" si="121"/>
        <v>67.671532846715323</v>
      </c>
      <c r="Q1284" t="str">
        <f t="shared" si="124"/>
        <v>music</v>
      </c>
      <c r="R1284" t="str">
        <f t="shared" si="125"/>
        <v>rock</v>
      </c>
      <c r="S1284" s="4">
        <f t="shared" si="122"/>
        <v>41586.475173611114</v>
      </c>
      <c r="T1284" s="4">
        <f t="shared" si="123"/>
        <v>41617.207638888889</v>
      </c>
      <c r="U1284" s="5">
        <f>VLOOKUP(currency,Tables!$A$1:$C$14,3,FALSE)*pledged</f>
        <v>18542</v>
      </c>
    </row>
    <row r="1285" spans="1:21" ht="43.2" x14ac:dyDescent="0.55000000000000004">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16">
        <f t="shared" si="121"/>
        <v>95.931818181818187</v>
      </c>
      <c r="Q1285" t="str">
        <f t="shared" si="124"/>
        <v>music</v>
      </c>
      <c r="R1285" t="str">
        <f t="shared" si="125"/>
        <v>rock</v>
      </c>
      <c r="S1285" s="4">
        <f t="shared" si="122"/>
        <v>41320.717465277776</v>
      </c>
      <c r="T1285" s="4">
        <f t="shared" si="123"/>
        <v>41344.166666666664</v>
      </c>
      <c r="U1285" s="5">
        <f>VLOOKUP(currency,Tables!$A$1:$C$14,3,FALSE)*pledged</f>
        <v>2110.5</v>
      </c>
    </row>
    <row r="1286" spans="1:21" ht="43.2" x14ac:dyDescent="0.55000000000000004">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120"/>
        <v>1.01</v>
      </c>
      <c r="P1286" s="16">
        <f t="shared" si="121"/>
        <v>65.161290322580641</v>
      </c>
      <c r="Q1286" t="str">
        <f t="shared" si="124"/>
        <v>theater</v>
      </c>
      <c r="R1286" t="str">
        <f t="shared" si="125"/>
        <v>plays</v>
      </c>
      <c r="S1286" s="4">
        <f t="shared" si="122"/>
        <v>42712.23474537037</v>
      </c>
      <c r="T1286" s="4">
        <f t="shared" si="123"/>
        <v>42735.707638888889</v>
      </c>
      <c r="U1286" s="5">
        <f>VLOOKUP(currency,Tables!$A$1:$C$14,3,FALSE)*pledged</f>
        <v>2020</v>
      </c>
    </row>
    <row r="1287" spans="1:21" ht="43.2" x14ac:dyDescent="0.55000000000000004">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16">
        <f t="shared" si="121"/>
        <v>32.269841269841272</v>
      </c>
      <c r="Q1287" t="str">
        <f t="shared" si="124"/>
        <v>theater</v>
      </c>
      <c r="R1287" t="str">
        <f t="shared" si="125"/>
        <v>plays</v>
      </c>
      <c r="S1287" s="4">
        <f t="shared" si="122"/>
        <v>42160.583043981482</v>
      </c>
      <c r="T1287" s="4">
        <f t="shared" si="123"/>
        <v>42175.583043981482</v>
      </c>
      <c r="U1287" s="5">
        <f>VLOOKUP(currency,Tables!$A$1:$C$14,3,FALSE)*pledged</f>
        <v>2683.56</v>
      </c>
    </row>
    <row r="1288" spans="1:21" ht="43.2" x14ac:dyDescent="0.55000000000000004">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16">
        <f t="shared" si="121"/>
        <v>81.25</v>
      </c>
      <c r="Q1288" t="str">
        <f t="shared" si="124"/>
        <v>theater</v>
      </c>
      <c r="R1288" t="str">
        <f t="shared" si="125"/>
        <v>plays</v>
      </c>
      <c r="S1288" s="4">
        <f t="shared" si="122"/>
        <v>42039.384571759263</v>
      </c>
      <c r="T1288" s="4">
        <f t="shared" si="123"/>
        <v>42052.583333333328</v>
      </c>
      <c r="U1288" s="5">
        <f>VLOOKUP(currency,Tables!$A$1:$C$14,3,FALSE)*pledged</f>
        <v>2145</v>
      </c>
    </row>
    <row r="1289" spans="1:21" ht="57.6" x14ac:dyDescent="0.55000000000000004">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120"/>
        <v>2.42</v>
      </c>
      <c r="P1289" s="16">
        <f t="shared" si="121"/>
        <v>24.2</v>
      </c>
      <c r="Q1289" t="str">
        <f t="shared" si="124"/>
        <v>theater</v>
      </c>
      <c r="R1289" t="str">
        <f t="shared" si="125"/>
        <v>plays</v>
      </c>
      <c r="S1289" s="4">
        <f t="shared" si="122"/>
        <v>42107.621018518519</v>
      </c>
      <c r="T1289" s="4">
        <f t="shared" si="123"/>
        <v>42167.621018518519</v>
      </c>
      <c r="U1289" s="5">
        <f>VLOOKUP(currency,Tables!$A$1:$C$14,3,FALSE)*pledged</f>
        <v>798.6</v>
      </c>
    </row>
    <row r="1290" spans="1:21" ht="43.2" x14ac:dyDescent="0.55000000000000004">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16">
        <f t="shared" si="121"/>
        <v>65.868852459016395</v>
      </c>
      <c r="Q1290" t="str">
        <f t="shared" si="124"/>
        <v>theater</v>
      </c>
      <c r="R1290" t="str">
        <f t="shared" si="125"/>
        <v>plays</v>
      </c>
      <c r="S1290" s="4">
        <f t="shared" si="122"/>
        <v>42561.154664351852</v>
      </c>
      <c r="T1290" s="4">
        <f t="shared" si="123"/>
        <v>42592.166666666672</v>
      </c>
      <c r="U1290" s="5">
        <f>VLOOKUP(currency,Tables!$A$1:$C$14,3,FALSE)*pledged</f>
        <v>4018</v>
      </c>
    </row>
    <row r="1291" spans="1:21" ht="43.2" x14ac:dyDescent="0.55000000000000004">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16">
        <f t="shared" si="121"/>
        <v>36.07692307692308</v>
      </c>
      <c r="Q1291" t="str">
        <f t="shared" si="124"/>
        <v>theater</v>
      </c>
      <c r="R1291" t="str">
        <f t="shared" si="125"/>
        <v>plays</v>
      </c>
      <c r="S1291" s="4">
        <f t="shared" si="122"/>
        <v>42709.134780092587</v>
      </c>
      <c r="T1291" s="4">
        <f t="shared" si="123"/>
        <v>42739.134780092587</v>
      </c>
      <c r="U1291" s="5">
        <f>VLOOKUP(currency,Tables!$A$1:$C$14,3,FALSE)*pledged</f>
        <v>1876</v>
      </c>
    </row>
    <row r="1292" spans="1:21" ht="28.8" x14ac:dyDescent="0.55000000000000004">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16">
        <f t="shared" si="121"/>
        <v>44.186046511627907</v>
      </c>
      <c r="Q1292" t="str">
        <f t="shared" si="124"/>
        <v>theater</v>
      </c>
      <c r="R1292" t="str">
        <f t="shared" si="125"/>
        <v>plays</v>
      </c>
      <c r="S1292" s="4">
        <f t="shared" si="122"/>
        <v>42086.614942129629</v>
      </c>
      <c r="T1292" s="4">
        <f t="shared" si="123"/>
        <v>42117.290972222225</v>
      </c>
      <c r="U1292" s="5">
        <f>VLOOKUP(currency,Tables!$A$1:$C$14,3,FALSE)*pledged</f>
        <v>3800</v>
      </c>
    </row>
    <row r="1293" spans="1:21" ht="43.2" x14ac:dyDescent="0.55000000000000004">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16">
        <f t="shared" si="121"/>
        <v>104.07142857142857</v>
      </c>
      <c r="Q1293" t="str">
        <f t="shared" si="124"/>
        <v>theater</v>
      </c>
      <c r="R1293" t="str">
        <f t="shared" si="125"/>
        <v>plays</v>
      </c>
      <c r="S1293" s="4">
        <f t="shared" si="122"/>
        <v>42064.652673611112</v>
      </c>
      <c r="T1293" s="4">
        <f t="shared" si="123"/>
        <v>42101.291666666672</v>
      </c>
      <c r="U1293" s="5">
        <f>VLOOKUP(currency,Tables!$A$1:$C$14,3,FALSE)*pledged</f>
        <v>4371</v>
      </c>
    </row>
    <row r="1294" spans="1:21" ht="43.2" x14ac:dyDescent="0.55000000000000004">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16">
        <f t="shared" si="121"/>
        <v>35.96153846153846</v>
      </c>
      <c r="Q1294" t="str">
        <f t="shared" si="124"/>
        <v>theater</v>
      </c>
      <c r="R1294" t="str">
        <f t="shared" si="125"/>
        <v>plays</v>
      </c>
      <c r="S1294" s="4">
        <f t="shared" si="122"/>
        <v>42256.764212962968</v>
      </c>
      <c r="T1294" s="4">
        <f t="shared" si="123"/>
        <v>42283.957638888889</v>
      </c>
      <c r="U1294" s="5">
        <f>VLOOKUP(currency,Tables!$A$1:$C$14,3,FALSE)*pledged</f>
        <v>2468.4</v>
      </c>
    </row>
    <row r="1295" spans="1:21" ht="43.2" x14ac:dyDescent="0.55000000000000004">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16">
        <f t="shared" si="121"/>
        <v>127.79166666666667</v>
      </c>
      <c r="Q1295" t="str">
        <f t="shared" si="124"/>
        <v>theater</v>
      </c>
      <c r="R1295" t="str">
        <f t="shared" si="125"/>
        <v>plays</v>
      </c>
      <c r="S1295" s="4">
        <f t="shared" si="122"/>
        <v>42292.701053240744</v>
      </c>
      <c r="T1295" s="4">
        <f t="shared" si="123"/>
        <v>42322.742719907401</v>
      </c>
      <c r="U1295" s="5">
        <f>VLOOKUP(currency,Tables!$A$1:$C$14,3,FALSE)*pledged</f>
        <v>15335</v>
      </c>
    </row>
    <row r="1296" spans="1:21" ht="43.2" x14ac:dyDescent="0.55000000000000004">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120"/>
        <v>1.22</v>
      </c>
      <c r="P1296" s="16">
        <f t="shared" si="121"/>
        <v>27.727272727272727</v>
      </c>
      <c r="Q1296" t="str">
        <f t="shared" si="124"/>
        <v>theater</v>
      </c>
      <c r="R1296" t="str">
        <f t="shared" si="125"/>
        <v>plays</v>
      </c>
      <c r="S1296" s="4">
        <f t="shared" si="122"/>
        <v>42278.453668981485</v>
      </c>
      <c r="T1296" s="4">
        <f t="shared" si="123"/>
        <v>42296.458333333328</v>
      </c>
      <c r="U1296" s="5">
        <f>VLOOKUP(currency,Tables!$A$1:$C$14,3,FALSE)*pledged</f>
        <v>805.2</v>
      </c>
    </row>
    <row r="1297" spans="1:21" ht="43.2" x14ac:dyDescent="0.55000000000000004">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16">
        <f t="shared" si="121"/>
        <v>39.828125</v>
      </c>
      <c r="Q1297" t="str">
        <f t="shared" si="124"/>
        <v>theater</v>
      </c>
      <c r="R1297" t="str">
        <f t="shared" si="125"/>
        <v>plays</v>
      </c>
      <c r="S1297" s="4">
        <f t="shared" si="122"/>
        <v>42184.572881944448</v>
      </c>
      <c r="T1297" s="4">
        <f t="shared" si="123"/>
        <v>42214.708333333328</v>
      </c>
      <c r="U1297" s="5">
        <f>VLOOKUP(currency,Tables!$A$1:$C$14,3,FALSE)*pledged</f>
        <v>3364.6800000000003</v>
      </c>
    </row>
    <row r="1298" spans="1:21" ht="57.6" x14ac:dyDescent="0.55000000000000004">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16">
        <f t="shared" si="121"/>
        <v>52.173913043478258</v>
      </c>
      <c r="Q1298" t="str">
        <f t="shared" si="124"/>
        <v>theater</v>
      </c>
      <c r="R1298" t="str">
        <f t="shared" si="125"/>
        <v>plays</v>
      </c>
      <c r="S1298" s="4">
        <f t="shared" si="122"/>
        <v>42423.050613425927</v>
      </c>
      <c r="T1298" s="4">
        <f t="shared" si="123"/>
        <v>42443.008946759262</v>
      </c>
      <c r="U1298" s="5">
        <f>VLOOKUP(currency,Tables!$A$1:$C$14,3,FALSE)*pledged</f>
        <v>1584</v>
      </c>
    </row>
    <row r="1299" spans="1:21" ht="43.2" x14ac:dyDescent="0.55000000000000004">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16">
        <f t="shared" si="121"/>
        <v>92.037815126050418</v>
      </c>
      <c r="Q1299" t="str">
        <f t="shared" si="124"/>
        <v>theater</v>
      </c>
      <c r="R1299" t="str">
        <f t="shared" si="125"/>
        <v>plays</v>
      </c>
      <c r="S1299" s="4">
        <f t="shared" si="122"/>
        <v>42461.747199074074</v>
      </c>
      <c r="T1299" s="4">
        <f t="shared" si="123"/>
        <v>42491.747199074074</v>
      </c>
      <c r="U1299" s="5">
        <f>VLOOKUP(currency,Tables!$A$1:$C$14,3,FALSE)*pledged</f>
        <v>21905</v>
      </c>
    </row>
    <row r="1300" spans="1:21" ht="43.2" x14ac:dyDescent="0.55000000000000004">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16">
        <f t="shared" si="121"/>
        <v>63.424242424242422</v>
      </c>
      <c r="Q1300" t="str">
        <f t="shared" si="124"/>
        <v>theater</v>
      </c>
      <c r="R1300" t="str">
        <f t="shared" si="125"/>
        <v>plays</v>
      </c>
      <c r="S1300" s="4">
        <f t="shared" si="122"/>
        <v>42458.680925925932</v>
      </c>
      <c r="T1300" s="4">
        <f t="shared" si="123"/>
        <v>42488.680925925932</v>
      </c>
      <c r="U1300" s="5">
        <f>VLOOKUP(currency,Tables!$A$1:$C$14,3,FALSE)*pledged</f>
        <v>2762.76</v>
      </c>
    </row>
    <row r="1301" spans="1:21" ht="43.2" x14ac:dyDescent="0.55000000000000004">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120"/>
        <v>1.24</v>
      </c>
      <c r="P1301" s="16">
        <f t="shared" si="121"/>
        <v>135.625</v>
      </c>
      <c r="Q1301" t="str">
        <f t="shared" si="124"/>
        <v>theater</v>
      </c>
      <c r="R1301" t="str">
        <f t="shared" si="125"/>
        <v>plays</v>
      </c>
      <c r="S1301" s="4">
        <f t="shared" si="122"/>
        <v>42169.814340277779</v>
      </c>
      <c r="T1301" s="4">
        <f t="shared" si="123"/>
        <v>42199.814340277779</v>
      </c>
      <c r="U1301" s="5">
        <f>VLOOKUP(currency,Tables!$A$1:$C$14,3,FALSE)*pledged</f>
        <v>4340</v>
      </c>
    </row>
    <row r="1302" spans="1:21" ht="43.2" x14ac:dyDescent="0.55000000000000004">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120"/>
        <v>1.35</v>
      </c>
      <c r="P1302" s="16">
        <f t="shared" si="121"/>
        <v>168.75</v>
      </c>
      <c r="Q1302" t="str">
        <f t="shared" si="124"/>
        <v>theater</v>
      </c>
      <c r="R1302" t="str">
        <f t="shared" si="125"/>
        <v>plays</v>
      </c>
      <c r="S1302" s="4">
        <f t="shared" si="122"/>
        <v>42483.675208333334</v>
      </c>
      <c r="T1302" s="4">
        <f t="shared" si="123"/>
        <v>42522.789583333331</v>
      </c>
      <c r="U1302" s="5">
        <f>VLOOKUP(currency,Tables!$A$1:$C$14,3,FALSE)*pledged</f>
        <v>4050</v>
      </c>
    </row>
    <row r="1303" spans="1:21" ht="43.2" x14ac:dyDescent="0.55000000000000004">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16">
        <f t="shared" si="121"/>
        <v>70.862068965517238</v>
      </c>
      <c r="Q1303" t="str">
        <f t="shared" si="124"/>
        <v>theater</v>
      </c>
      <c r="R1303" t="str">
        <f t="shared" si="125"/>
        <v>plays</v>
      </c>
      <c r="S1303" s="4">
        <f t="shared" si="122"/>
        <v>42195.749745370369</v>
      </c>
      <c r="T1303" s="4">
        <f t="shared" si="123"/>
        <v>42206.125</v>
      </c>
      <c r="U1303" s="5">
        <f>VLOOKUP(currency,Tables!$A$1:$C$14,3,FALSE)*pledged</f>
        <v>2055</v>
      </c>
    </row>
    <row r="1304" spans="1:21" ht="43.2" x14ac:dyDescent="0.55000000000000004">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120"/>
        <v>1</v>
      </c>
      <c r="P1304" s="16">
        <f t="shared" si="121"/>
        <v>50</v>
      </c>
      <c r="Q1304" t="str">
        <f t="shared" si="124"/>
        <v>theater</v>
      </c>
      <c r="R1304" t="str">
        <f t="shared" si="125"/>
        <v>plays</v>
      </c>
      <c r="S1304" s="4">
        <f t="shared" si="122"/>
        <v>42675.057997685188</v>
      </c>
      <c r="T1304" s="4">
        <f t="shared" si="123"/>
        <v>42705.099664351852</v>
      </c>
      <c r="U1304" s="5">
        <f>VLOOKUP(currency,Tables!$A$1:$C$14,3,FALSE)*pledged</f>
        <v>2500</v>
      </c>
    </row>
    <row r="1305" spans="1:21" ht="28.8" x14ac:dyDescent="0.55000000000000004">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16">
        <f t="shared" si="121"/>
        <v>42.214166666666671</v>
      </c>
      <c r="Q1305" t="str">
        <f t="shared" si="124"/>
        <v>theater</v>
      </c>
      <c r="R1305" t="str">
        <f t="shared" si="125"/>
        <v>plays</v>
      </c>
      <c r="S1305" s="4">
        <f t="shared" si="122"/>
        <v>42566.441203703704</v>
      </c>
      <c r="T1305" s="4">
        <f t="shared" si="123"/>
        <v>42582.458333333328</v>
      </c>
      <c r="U1305" s="5">
        <f>VLOOKUP(currency,Tables!$A$1:$C$14,3,FALSE)*pledged</f>
        <v>6018.0516000000007</v>
      </c>
    </row>
    <row r="1306" spans="1:21" ht="43.2" x14ac:dyDescent="0.55000000000000004">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16">
        <f t="shared" si="121"/>
        <v>152.41346153846155</v>
      </c>
      <c r="Q1306" t="str">
        <f t="shared" si="124"/>
        <v>technology</v>
      </c>
      <c r="R1306" t="str">
        <f t="shared" si="125"/>
        <v>wearables</v>
      </c>
      <c r="S1306" s="4">
        <f t="shared" si="122"/>
        <v>42747.194502314815</v>
      </c>
      <c r="T1306" s="4">
        <f t="shared" si="123"/>
        <v>42807.152835648143</v>
      </c>
      <c r="U1306" s="5">
        <f>VLOOKUP(currency,Tables!$A$1:$C$14,3,FALSE)*pledged</f>
        <v>20923.32</v>
      </c>
    </row>
    <row r="1307" spans="1:21" ht="43.2" x14ac:dyDescent="0.55000000000000004">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16">
        <f t="shared" si="121"/>
        <v>90.616279069767444</v>
      </c>
      <c r="Q1307" t="str">
        <f t="shared" si="124"/>
        <v>technology</v>
      </c>
      <c r="R1307" t="str">
        <f t="shared" si="125"/>
        <v>wearables</v>
      </c>
      <c r="S1307" s="4">
        <f t="shared" si="122"/>
        <v>42543.665601851855</v>
      </c>
      <c r="T1307" s="4">
        <f t="shared" si="123"/>
        <v>42572.729166666672</v>
      </c>
      <c r="U1307" s="5">
        <f>VLOOKUP(currency,Tables!$A$1:$C$14,3,FALSE)*pledged</f>
        <v>7793</v>
      </c>
    </row>
    <row r="1308" spans="1:21" ht="57.6" x14ac:dyDescent="0.55000000000000004">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16">
        <f t="shared" si="121"/>
        <v>201.60393258426967</v>
      </c>
      <c r="Q1308" t="str">
        <f t="shared" si="124"/>
        <v>technology</v>
      </c>
      <c r="R1308" t="str">
        <f t="shared" si="125"/>
        <v>wearables</v>
      </c>
      <c r="S1308" s="4">
        <f t="shared" si="122"/>
        <v>41947.457569444443</v>
      </c>
      <c r="T1308" s="4">
        <f t="shared" si="123"/>
        <v>41977.457569444443</v>
      </c>
      <c r="U1308" s="5">
        <f>VLOOKUP(currency,Tables!$A$1:$C$14,3,FALSE)*pledged</f>
        <v>71771</v>
      </c>
    </row>
    <row r="1309" spans="1:21" ht="28.8" x14ac:dyDescent="0.55000000000000004">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16">
        <f t="shared" si="121"/>
        <v>127.93333333333334</v>
      </c>
      <c r="Q1309" t="str">
        <f t="shared" si="124"/>
        <v>technology</v>
      </c>
      <c r="R1309" t="str">
        <f t="shared" si="125"/>
        <v>wearables</v>
      </c>
      <c r="S1309" s="4">
        <f t="shared" si="122"/>
        <v>42387.503229166665</v>
      </c>
      <c r="T1309" s="4">
        <f t="shared" si="123"/>
        <v>42417.503229166665</v>
      </c>
      <c r="U1309" s="5">
        <f>VLOOKUP(currency,Tables!$A$1:$C$14,3,FALSE)*pledged</f>
        <v>5757</v>
      </c>
    </row>
    <row r="1310" spans="1:21" ht="28.8" x14ac:dyDescent="0.55000000000000004">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16">
        <f t="shared" si="121"/>
        <v>29.894736842105264</v>
      </c>
      <c r="Q1310" t="str">
        <f t="shared" si="124"/>
        <v>technology</v>
      </c>
      <c r="R1310" t="str">
        <f t="shared" si="125"/>
        <v>wearables</v>
      </c>
      <c r="S1310" s="4">
        <f t="shared" si="122"/>
        <v>42611.613564814819</v>
      </c>
      <c r="T1310" s="4">
        <f t="shared" si="123"/>
        <v>42651.613564814819</v>
      </c>
      <c r="U1310" s="5">
        <f>VLOOKUP(currency,Tables!$A$1:$C$14,3,FALSE)*pledged</f>
        <v>1136</v>
      </c>
    </row>
    <row r="1311" spans="1:21" ht="43.2" x14ac:dyDescent="0.55000000000000004">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16">
        <f t="shared" si="121"/>
        <v>367.97142857142859</v>
      </c>
      <c r="Q1311" t="str">
        <f t="shared" si="124"/>
        <v>technology</v>
      </c>
      <c r="R1311" t="str">
        <f t="shared" si="125"/>
        <v>wearables</v>
      </c>
      <c r="S1311" s="4">
        <f t="shared" si="122"/>
        <v>42257.882731481484</v>
      </c>
      <c r="T1311" s="4">
        <f t="shared" si="123"/>
        <v>42292.882731481484</v>
      </c>
      <c r="U1311" s="5">
        <f>VLOOKUP(currency,Tables!$A$1:$C$14,3,FALSE)*pledged</f>
        <v>12879</v>
      </c>
    </row>
    <row r="1312" spans="1:21" ht="43.2" x14ac:dyDescent="0.55000000000000004">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16">
        <f t="shared" si="121"/>
        <v>129.16666666666666</v>
      </c>
      <c r="Q1312" t="str">
        <f t="shared" si="124"/>
        <v>technology</v>
      </c>
      <c r="R1312" t="str">
        <f t="shared" si="125"/>
        <v>wearables</v>
      </c>
      <c r="S1312" s="4">
        <f t="shared" si="122"/>
        <v>42556.667245370365</v>
      </c>
      <c r="T1312" s="4">
        <f t="shared" si="123"/>
        <v>42601.667245370365</v>
      </c>
      <c r="U1312" s="5">
        <f>VLOOKUP(currency,Tables!$A$1:$C$14,3,FALSE)*pledged</f>
        <v>3100</v>
      </c>
    </row>
    <row r="1313" spans="1:21" ht="43.2" x14ac:dyDescent="0.55000000000000004">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16">
        <f t="shared" si="121"/>
        <v>800.7</v>
      </c>
      <c r="Q1313" t="str">
        <f t="shared" si="124"/>
        <v>technology</v>
      </c>
      <c r="R1313" t="str">
        <f t="shared" si="125"/>
        <v>wearables</v>
      </c>
      <c r="S1313" s="4">
        <f t="shared" si="122"/>
        <v>42669.802303240736</v>
      </c>
      <c r="T1313" s="4">
        <f t="shared" si="123"/>
        <v>42704.843969907408</v>
      </c>
      <c r="U1313" s="5">
        <f>VLOOKUP(currency,Tables!$A$1:$C$14,3,FALSE)*pledged</f>
        <v>80070</v>
      </c>
    </row>
    <row r="1314" spans="1:21" ht="43.2" x14ac:dyDescent="0.55000000000000004">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16">
        <f t="shared" si="121"/>
        <v>28</v>
      </c>
      <c r="Q1314" t="str">
        <f t="shared" si="124"/>
        <v>technology</v>
      </c>
      <c r="R1314" t="str">
        <f t="shared" si="125"/>
        <v>wearables</v>
      </c>
      <c r="S1314" s="4">
        <f t="shared" si="122"/>
        <v>42082.702800925923</v>
      </c>
      <c r="T1314" s="4">
        <f t="shared" si="123"/>
        <v>42112.702800925923</v>
      </c>
      <c r="U1314" s="5">
        <f>VLOOKUP(currency,Tables!$A$1:$C$14,3,FALSE)*pledged</f>
        <v>28</v>
      </c>
    </row>
    <row r="1315" spans="1:21" ht="43.2" x14ac:dyDescent="0.55000000000000004">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16">
        <f t="shared" si="121"/>
        <v>102.01639344262296</v>
      </c>
      <c r="Q1315" t="str">
        <f t="shared" si="124"/>
        <v>technology</v>
      </c>
      <c r="R1315" t="str">
        <f t="shared" si="125"/>
        <v>wearables</v>
      </c>
      <c r="S1315" s="4">
        <f t="shared" si="122"/>
        <v>42402.709652777776</v>
      </c>
      <c r="T1315" s="4">
        <f t="shared" si="123"/>
        <v>42432.709652777776</v>
      </c>
      <c r="U1315" s="5">
        <f>VLOOKUP(currency,Tables!$A$1:$C$14,3,FALSE)*pledged</f>
        <v>12446</v>
      </c>
    </row>
    <row r="1316" spans="1:21" ht="43.2" x14ac:dyDescent="0.55000000000000004">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16">
        <f t="shared" si="121"/>
        <v>184.36363636363637</v>
      </c>
      <c r="Q1316" t="str">
        <f t="shared" si="124"/>
        <v>technology</v>
      </c>
      <c r="R1316" t="str">
        <f t="shared" si="125"/>
        <v>wearables</v>
      </c>
      <c r="S1316" s="4">
        <f t="shared" si="122"/>
        <v>42604.669675925921</v>
      </c>
      <c r="T1316" s="4">
        <f t="shared" si="123"/>
        <v>42664.669675925921</v>
      </c>
      <c r="U1316" s="5">
        <f>VLOOKUP(currency,Tables!$A$1:$C$14,3,FALSE)*pledged</f>
        <v>2028</v>
      </c>
    </row>
    <row r="1317" spans="1:21" ht="28.8" x14ac:dyDescent="0.55000000000000004">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16">
        <f t="shared" si="121"/>
        <v>162.91935483870967</v>
      </c>
      <c r="Q1317" t="str">
        <f t="shared" si="124"/>
        <v>technology</v>
      </c>
      <c r="R1317" t="str">
        <f t="shared" si="125"/>
        <v>wearables</v>
      </c>
      <c r="S1317" s="4">
        <f t="shared" si="122"/>
        <v>42278.498240740737</v>
      </c>
      <c r="T1317" s="4">
        <f t="shared" si="123"/>
        <v>42314.041666666672</v>
      </c>
      <c r="U1317" s="5">
        <f>VLOOKUP(currency,Tables!$A$1:$C$14,3,FALSE)*pledged</f>
        <v>40404</v>
      </c>
    </row>
    <row r="1318" spans="1:21" ht="43.2" x14ac:dyDescent="0.55000000000000004">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16">
        <f t="shared" si="121"/>
        <v>1</v>
      </c>
      <c r="Q1318" t="str">
        <f t="shared" si="124"/>
        <v>technology</v>
      </c>
      <c r="R1318" t="str">
        <f t="shared" si="125"/>
        <v>wearables</v>
      </c>
      <c r="S1318" s="4">
        <f t="shared" si="122"/>
        <v>42393.961909722217</v>
      </c>
      <c r="T1318" s="4">
        <f t="shared" si="123"/>
        <v>42428.961909722217</v>
      </c>
      <c r="U1318" s="5">
        <f>VLOOKUP(currency,Tables!$A$1:$C$14,3,FALSE)*pledged</f>
        <v>1</v>
      </c>
    </row>
    <row r="1319" spans="1:21" ht="57.6" x14ac:dyDescent="0.55000000000000004">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16">
        <f t="shared" si="121"/>
        <v>603.52631578947364</v>
      </c>
      <c r="Q1319" t="str">
        <f t="shared" si="124"/>
        <v>technology</v>
      </c>
      <c r="R1319" t="str">
        <f t="shared" si="125"/>
        <v>wearables</v>
      </c>
      <c r="S1319" s="4">
        <f t="shared" si="122"/>
        <v>42520.235486111109</v>
      </c>
      <c r="T1319" s="4">
        <f t="shared" si="123"/>
        <v>42572.583333333328</v>
      </c>
      <c r="U1319" s="5">
        <f>VLOOKUP(currency,Tables!$A$1:$C$14,3,FALSE)*pledged</f>
        <v>1834.72</v>
      </c>
    </row>
    <row r="1320" spans="1:21" ht="43.2" x14ac:dyDescent="0.55000000000000004">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16">
        <f t="shared" si="121"/>
        <v>45.407407407407405</v>
      </c>
      <c r="Q1320" t="str">
        <f t="shared" si="124"/>
        <v>technology</v>
      </c>
      <c r="R1320" t="str">
        <f t="shared" si="125"/>
        <v>wearables</v>
      </c>
      <c r="S1320" s="4">
        <f t="shared" si="122"/>
        <v>41985.043657407412</v>
      </c>
      <c r="T1320" s="4">
        <f t="shared" si="123"/>
        <v>42015.043657407412</v>
      </c>
      <c r="U1320" s="5">
        <f>VLOOKUP(currency,Tables!$A$1:$C$14,3,FALSE)*pledged</f>
        <v>6130</v>
      </c>
    </row>
    <row r="1321" spans="1:21" ht="43.2" x14ac:dyDescent="0.55000000000000004">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16">
        <f t="shared" si="121"/>
        <v>97.333333333333329</v>
      </c>
      <c r="Q1321" t="str">
        <f t="shared" si="124"/>
        <v>technology</v>
      </c>
      <c r="R1321" t="str">
        <f t="shared" si="125"/>
        <v>wearables</v>
      </c>
      <c r="S1321" s="4">
        <f t="shared" si="122"/>
        <v>41816.812094907407</v>
      </c>
      <c r="T1321" s="4">
        <f t="shared" si="123"/>
        <v>41831.666666666664</v>
      </c>
      <c r="U1321" s="5">
        <f>VLOOKUP(currency,Tables!$A$1:$C$14,3,FALSE)*pledged</f>
        <v>1156.3200000000002</v>
      </c>
    </row>
    <row r="1322" spans="1:21" ht="43.2" x14ac:dyDescent="0.55000000000000004">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16">
        <f t="shared" si="121"/>
        <v>167.66666666666666</v>
      </c>
      <c r="Q1322" t="str">
        <f t="shared" si="124"/>
        <v>technology</v>
      </c>
      <c r="R1322" t="str">
        <f t="shared" si="125"/>
        <v>wearables</v>
      </c>
      <c r="S1322" s="4">
        <f t="shared" si="122"/>
        <v>42705.690347222218</v>
      </c>
      <c r="T1322" s="4">
        <f t="shared" si="123"/>
        <v>42734.958333333328</v>
      </c>
      <c r="U1322" s="5">
        <f>VLOOKUP(currency,Tables!$A$1:$C$14,3,FALSE)*pledged</f>
        <v>593.54</v>
      </c>
    </row>
    <row r="1323" spans="1:21" ht="43.2" x14ac:dyDescent="0.55000000000000004">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16">
        <f t="shared" si="121"/>
        <v>859.85714285714289</v>
      </c>
      <c r="Q1323" t="str">
        <f t="shared" si="124"/>
        <v>technology</v>
      </c>
      <c r="R1323" t="str">
        <f t="shared" si="125"/>
        <v>wearables</v>
      </c>
      <c r="S1323" s="4">
        <f t="shared" si="122"/>
        <v>42697.74927083333</v>
      </c>
      <c r="T1323" s="4">
        <f t="shared" si="123"/>
        <v>42727.74927083333</v>
      </c>
      <c r="U1323" s="5">
        <f>VLOOKUP(currency,Tables!$A$1:$C$14,3,FALSE)*pledged</f>
        <v>662.09</v>
      </c>
    </row>
    <row r="1324" spans="1:21" ht="43.2" x14ac:dyDescent="0.55000000000000004">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16">
        <f t="shared" si="121"/>
        <v>26.5</v>
      </c>
      <c r="Q1324" t="str">
        <f t="shared" si="124"/>
        <v>technology</v>
      </c>
      <c r="R1324" t="str">
        <f t="shared" si="125"/>
        <v>wearables</v>
      </c>
      <c r="S1324" s="4">
        <f t="shared" si="122"/>
        <v>42115.656539351854</v>
      </c>
      <c r="T1324" s="4">
        <f t="shared" si="123"/>
        <v>42145.656539351854</v>
      </c>
      <c r="U1324" s="5">
        <f>VLOOKUP(currency,Tables!$A$1:$C$14,3,FALSE)*pledged</f>
        <v>139.92000000000002</v>
      </c>
    </row>
    <row r="1325" spans="1:21" ht="43.2" x14ac:dyDescent="0.55000000000000004">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16">
        <f t="shared" si="121"/>
        <v>30.272727272727273</v>
      </c>
      <c r="Q1325" t="str">
        <f t="shared" si="124"/>
        <v>technology</v>
      </c>
      <c r="R1325" t="str">
        <f t="shared" si="125"/>
        <v>wearables</v>
      </c>
      <c r="S1325" s="4">
        <f t="shared" si="122"/>
        <v>42451.698449074072</v>
      </c>
      <c r="T1325" s="4">
        <f t="shared" si="123"/>
        <v>42486.288194444445</v>
      </c>
      <c r="U1325" s="5">
        <f>VLOOKUP(currency,Tables!$A$1:$C$14,3,FALSE)*pledged</f>
        <v>1332</v>
      </c>
    </row>
    <row r="1326" spans="1:21" ht="43.2" x14ac:dyDescent="0.55000000000000004">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16">
        <f t="shared" si="121"/>
        <v>54.666666666666664</v>
      </c>
      <c r="Q1326" t="str">
        <f t="shared" si="124"/>
        <v>technology</v>
      </c>
      <c r="R1326" t="str">
        <f t="shared" si="125"/>
        <v>wearables</v>
      </c>
      <c r="S1326" s="4">
        <f t="shared" si="122"/>
        <v>42626.633703703701</v>
      </c>
      <c r="T1326" s="4">
        <f t="shared" si="123"/>
        <v>42656.633703703701</v>
      </c>
      <c r="U1326" s="5">
        <f>VLOOKUP(currency,Tables!$A$1:$C$14,3,FALSE)*pledged</f>
        <v>4920</v>
      </c>
    </row>
    <row r="1327" spans="1:21" ht="43.2" x14ac:dyDescent="0.55000000000000004">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16">
        <f t="shared" si="121"/>
        <v>60.75</v>
      </c>
      <c r="Q1327" t="str">
        <f t="shared" si="124"/>
        <v>technology</v>
      </c>
      <c r="R1327" t="str">
        <f t="shared" si="125"/>
        <v>wearables</v>
      </c>
      <c r="S1327" s="4">
        <f t="shared" si="122"/>
        <v>42704.086053240739</v>
      </c>
      <c r="T1327" s="4">
        <f t="shared" si="123"/>
        <v>42734.086053240739</v>
      </c>
      <c r="U1327" s="5">
        <f>VLOOKUP(currency,Tables!$A$1:$C$14,3,FALSE)*pledged</f>
        <v>486</v>
      </c>
    </row>
    <row r="1328" spans="1:21" ht="43.2" x14ac:dyDescent="0.55000000000000004">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16">
        <f t="shared" si="121"/>
        <v>102.72727272727273</v>
      </c>
      <c r="Q1328" t="str">
        <f t="shared" si="124"/>
        <v>technology</v>
      </c>
      <c r="R1328" t="str">
        <f t="shared" si="125"/>
        <v>wearables</v>
      </c>
      <c r="S1328" s="4">
        <f t="shared" si="122"/>
        <v>41974.791990740734</v>
      </c>
      <c r="T1328" s="4">
        <f t="shared" si="123"/>
        <v>42019.791990740734</v>
      </c>
      <c r="U1328" s="5">
        <f>VLOOKUP(currency,Tables!$A$1:$C$14,3,FALSE)*pledged</f>
        <v>1130</v>
      </c>
    </row>
    <row r="1329" spans="1:21" ht="43.2" x14ac:dyDescent="0.55000000000000004">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16">
        <f t="shared" si="121"/>
        <v>41.585365853658537</v>
      </c>
      <c r="Q1329" t="str">
        <f t="shared" si="124"/>
        <v>technology</v>
      </c>
      <c r="R1329" t="str">
        <f t="shared" si="125"/>
        <v>wearables</v>
      </c>
      <c r="S1329" s="4">
        <f t="shared" si="122"/>
        <v>42123.678645833337</v>
      </c>
      <c r="T1329" s="4">
        <f t="shared" si="123"/>
        <v>42153.678645833337</v>
      </c>
      <c r="U1329" s="5">
        <f>VLOOKUP(currency,Tables!$A$1:$C$14,3,FALSE)*pledged</f>
        <v>1705</v>
      </c>
    </row>
    <row r="1330" spans="1:21" ht="43.2" x14ac:dyDescent="0.55000000000000004">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16">
        <f t="shared" si="121"/>
        <v>116.53333333333333</v>
      </c>
      <c r="Q1330" t="str">
        <f t="shared" si="124"/>
        <v>technology</v>
      </c>
      <c r="R1330" t="str">
        <f t="shared" si="125"/>
        <v>wearables</v>
      </c>
      <c r="S1330" s="4">
        <f t="shared" si="122"/>
        <v>42612.642754629633</v>
      </c>
      <c r="T1330" s="4">
        <f t="shared" si="123"/>
        <v>42657.642754629633</v>
      </c>
      <c r="U1330" s="5">
        <f>VLOOKUP(currency,Tables!$A$1:$C$14,3,FALSE)*pledged</f>
        <v>1748</v>
      </c>
    </row>
    <row r="1331" spans="1:21" ht="43.2" x14ac:dyDescent="0.55000000000000004">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16">
        <f t="shared" si="121"/>
        <v>45.333333333333336</v>
      </c>
      <c r="Q1331" t="str">
        <f t="shared" si="124"/>
        <v>technology</v>
      </c>
      <c r="R1331" t="str">
        <f t="shared" si="125"/>
        <v>wearables</v>
      </c>
      <c r="S1331" s="4">
        <f t="shared" si="122"/>
        <v>41935.221585648149</v>
      </c>
      <c r="T1331" s="4">
        <f t="shared" si="123"/>
        <v>41975.263252314813</v>
      </c>
      <c r="U1331" s="5">
        <f>VLOOKUP(currency,Tables!$A$1:$C$14,3,FALSE)*pledged</f>
        <v>408</v>
      </c>
    </row>
    <row r="1332" spans="1:21" ht="43.2" x14ac:dyDescent="0.55000000000000004">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16">
        <f t="shared" si="121"/>
        <v>157.46</v>
      </c>
      <c r="Q1332" t="str">
        <f t="shared" si="124"/>
        <v>technology</v>
      </c>
      <c r="R1332" t="str">
        <f t="shared" si="125"/>
        <v>wearables</v>
      </c>
      <c r="S1332" s="4">
        <f t="shared" si="122"/>
        <v>42522.276724537034</v>
      </c>
      <c r="T1332" s="4">
        <f t="shared" si="123"/>
        <v>42553.166666666672</v>
      </c>
      <c r="U1332" s="5">
        <f>VLOOKUP(currency,Tables!$A$1:$C$14,3,FALSE)*pledged</f>
        <v>7873</v>
      </c>
    </row>
    <row r="1333" spans="1:21" ht="43.2" x14ac:dyDescent="0.55000000000000004">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16">
        <f t="shared" si="121"/>
        <v>100.5</v>
      </c>
      <c r="Q1333" t="str">
        <f t="shared" si="124"/>
        <v>technology</v>
      </c>
      <c r="R1333" t="str">
        <f t="shared" si="125"/>
        <v>wearables</v>
      </c>
      <c r="S1333" s="4">
        <f t="shared" si="122"/>
        <v>42569.50409722222</v>
      </c>
      <c r="T1333" s="4">
        <f t="shared" si="123"/>
        <v>42599.50409722222</v>
      </c>
      <c r="U1333" s="5">
        <f>VLOOKUP(currency,Tables!$A$1:$C$14,3,FALSE)*pledged</f>
        <v>3417</v>
      </c>
    </row>
    <row r="1334" spans="1:21" ht="43.2" x14ac:dyDescent="0.55000000000000004">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120"/>
        <v>0</v>
      </c>
      <c r="P1334" s="16">
        <f t="shared" si="121"/>
        <v>0</v>
      </c>
      <c r="Q1334" t="str">
        <f t="shared" si="124"/>
        <v>technology</v>
      </c>
      <c r="R1334" t="str">
        <f t="shared" si="125"/>
        <v>wearables</v>
      </c>
      <c r="S1334" s="4">
        <f t="shared" si="122"/>
        <v>42732.060277777782</v>
      </c>
      <c r="T1334" s="4">
        <f t="shared" si="123"/>
        <v>42762.060277777782</v>
      </c>
      <c r="U1334" s="5">
        <f>VLOOKUP(currency,Tables!$A$1:$C$14,3,FALSE)*pledged</f>
        <v>0</v>
      </c>
    </row>
    <row r="1335" spans="1:21" ht="43.2" x14ac:dyDescent="0.55000000000000004">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120"/>
        <v>0</v>
      </c>
      <c r="P1335" s="16">
        <f t="shared" si="121"/>
        <v>0</v>
      </c>
      <c r="Q1335" t="str">
        <f t="shared" si="124"/>
        <v>technology</v>
      </c>
      <c r="R1335" t="str">
        <f t="shared" si="125"/>
        <v>wearables</v>
      </c>
      <c r="S1335" s="4">
        <f t="shared" si="122"/>
        <v>41806.106770833336</v>
      </c>
      <c r="T1335" s="4">
        <f t="shared" si="123"/>
        <v>41836.106770833336</v>
      </c>
      <c r="U1335" s="5">
        <f>VLOOKUP(currency,Tables!$A$1:$C$14,3,FALSE)*pledged</f>
        <v>0</v>
      </c>
    </row>
    <row r="1336" spans="1:21" ht="43.2" x14ac:dyDescent="0.55000000000000004">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16">
        <f t="shared" si="121"/>
        <v>51.822463768115945</v>
      </c>
      <c r="Q1336" t="str">
        <f t="shared" si="124"/>
        <v>technology</v>
      </c>
      <c r="R1336" t="str">
        <f t="shared" si="125"/>
        <v>wearables</v>
      </c>
      <c r="S1336" s="4">
        <f t="shared" si="122"/>
        <v>42410.774155092593</v>
      </c>
      <c r="T1336" s="4">
        <f t="shared" si="123"/>
        <v>42440.774155092593</v>
      </c>
      <c r="U1336" s="5">
        <f>VLOOKUP(currency,Tables!$A$1:$C$14,3,FALSE)*pledged</f>
        <v>14303</v>
      </c>
    </row>
    <row r="1337" spans="1:21" ht="43.2" x14ac:dyDescent="0.55000000000000004">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16">
        <f t="shared" si="121"/>
        <v>308.75</v>
      </c>
      <c r="Q1337" t="str">
        <f t="shared" si="124"/>
        <v>technology</v>
      </c>
      <c r="R1337" t="str">
        <f t="shared" si="125"/>
        <v>wearables</v>
      </c>
      <c r="S1337" s="4">
        <f t="shared" si="122"/>
        <v>42313.936365740738</v>
      </c>
      <c r="T1337" s="4">
        <f t="shared" si="123"/>
        <v>42343.936365740738</v>
      </c>
      <c r="U1337" s="5">
        <f>VLOOKUP(currency,Tables!$A$1:$C$14,3,FALSE)*pledged</f>
        <v>4940</v>
      </c>
    </row>
    <row r="1338" spans="1:21" ht="43.2" x14ac:dyDescent="0.55000000000000004">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16">
        <f t="shared" si="121"/>
        <v>379.22767857142856</v>
      </c>
      <c r="Q1338" t="str">
        <f t="shared" si="124"/>
        <v>technology</v>
      </c>
      <c r="R1338" t="str">
        <f t="shared" si="125"/>
        <v>wearables</v>
      </c>
      <c r="S1338" s="4">
        <f t="shared" si="122"/>
        <v>41955.863750000004</v>
      </c>
      <c r="T1338" s="4">
        <f t="shared" si="123"/>
        <v>41990.863750000004</v>
      </c>
      <c r="U1338" s="5">
        <f>VLOOKUP(currency,Tables!$A$1:$C$14,3,FALSE)*pledged</f>
        <v>84947</v>
      </c>
    </row>
    <row r="1339" spans="1:21" ht="43.2" x14ac:dyDescent="0.55000000000000004">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16">
        <f t="shared" si="121"/>
        <v>176.36428571428573</v>
      </c>
      <c r="Q1339" t="str">
        <f t="shared" si="124"/>
        <v>technology</v>
      </c>
      <c r="R1339" t="str">
        <f t="shared" si="125"/>
        <v>wearables</v>
      </c>
      <c r="S1339" s="4">
        <f t="shared" si="122"/>
        <v>42767.577303240745</v>
      </c>
      <c r="T1339" s="4">
        <f t="shared" si="123"/>
        <v>42797.577303240745</v>
      </c>
      <c r="U1339" s="5">
        <f>VLOOKUP(currency,Tables!$A$1:$C$14,3,FALSE)*pledged</f>
        <v>24691</v>
      </c>
    </row>
    <row r="1340" spans="1:21" ht="43.2" x14ac:dyDescent="0.55000000000000004">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16">
        <f t="shared" si="121"/>
        <v>66.066666666666663</v>
      </c>
      <c r="Q1340" t="str">
        <f t="shared" si="124"/>
        <v>technology</v>
      </c>
      <c r="R1340" t="str">
        <f t="shared" si="125"/>
        <v>wearables</v>
      </c>
      <c r="S1340" s="4">
        <f t="shared" si="122"/>
        <v>42188.803622685184</v>
      </c>
      <c r="T1340" s="4">
        <f t="shared" si="123"/>
        <v>42218.803622685184</v>
      </c>
      <c r="U1340" s="5">
        <f>VLOOKUP(currency,Tables!$A$1:$C$14,3,FALSE)*pledged</f>
        <v>991</v>
      </c>
    </row>
    <row r="1341" spans="1:21" ht="28.8" x14ac:dyDescent="0.55000000000000004">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16">
        <f t="shared" si="121"/>
        <v>89.648648648648646</v>
      </c>
      <c r="Q1341" t="str">
        <f t="shared" si="124"/>
        <v>technology</v>
      </c>
      <c r="R1341" t="str">
        <f t="shared" si="125"/>
        <v>wearables</v>
      </c>
      <c r="S1341" s="4">
        <f t="shared" si="122"/>
        <v>41936.647164351853</v>
      </c>
      <c r="T1341" s="4">
        <f t="shared" si="123"/>
        <v>41981.688831018517</v>
      </c>
      <c r="U1341" s="5">
        <f>VLOOKUP(currency,Tables!$A$1:$C$14,3,FALSE)*pledged</f>
        <v>3317</v>
      </c>
    </row>
    <row r="1342" spans="1:21" ht="43.2" x14ac:dyDescent="0.55000000000000004">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120"/>
        <v>0</v>
      </c>
      <c r="P1342" s="16">
        <f t="shared" si="121"/>
        <v>0</v>
      </c>
      <c r="Q1342" t="str">
        <f t="shared" si="124"/>
        <v>technology</v>
      </c>
      <c r="R1342" t="str">
        <f t="shared" si="125"/>
        <v>wearables</v>
      </c>
      <c r="S1342" s="4">
        <f t="shared" si="122"/>
        <v>41836.595520833333</v>
      </c>
      <c r="T1342" s="4">
        <f t="shared" si="123"/>
        <v>41866.595520833333</v>
      </c>
      <c r="U1342" s="5">
        <f>VLOOKUP(currency,Tables!$A$1:$C$14,3,FALSE)*pledged</f>
        <v>0</v>
      </c>
    </row>
    <row r="1343" spans="1:21" ht="43.2" x14ac:dyDescent="0.55000000000000004">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16">
        <f t="shared" si="121"/>
        <v>382.39130434782606</v>
      </c>
      <c r="Q1343" t="str">
        <f t="shared" si="124"/>
        <v>technology</v>
      </c>
      <c r="R1343" t="str">
        <f t="shared" si="125"/>
        <v>wearables</v>
      </c>
      <c r="S1343" s="4">
        <f t="shared" si="122"/>
        <v>42612.624039351853</v>
      </c>
      <c r="T1343" s="4">
        <f t="shared" si="123"/>
        <v>42644.624039351853</v>
      </c>
      <c r="U1343" s="5">
        <f>VLOOKUP(currency,Tables!$A$1:$C$14,3,FALSE)*pledged</f>
        <v>23218.800000000003</v>
      </c>
    </row>
    <row r="1344" spans="1:21" ht="43.2" x14ac:dyDescent="0.55000000000000004">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120"/>
        <v>2E-3</v>
      </c>
      <c r="P1344" s="16">
        <f t="shared" si="121"/>
        <v>100</v>
      </c>
      <c r="Q1344" t="str">
        <f t="shared" si="124"/>
        <v>technology</v>
      </c>
      <c r="R1344" t="str">
        <f t="shared" si="125"/>
        <v>wearables</v>
      </c>
      <c r="S1344" s="4">
        <f t="shared" si="122"/>
        <v>42172.816423611104</v>
      </c>
      <c r="T1344" s="4">
        <f t="shared" si="123"/>
        <v>42202.816423611104</v>
      </c>
      <c r="U1344" s="5">
        <f>VLOOKUP(currency,Tables!$A$1:$C$14,3,FALSE)*pledged</f>
        <v>100</v>
      </c>
    </row>
    <row r="1345" spans="1:21" ht="43.2" x14ac:dyDescent="0.55000000000000004">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16">
        <f t="shared" si="121"/>
        <v>158.35603715170279</v>
      </c>
      <c r="Q1345" t="str">
        <f t="shared" si="124"/>
        <v>technology</v>
      </c>
      <c r="R1345" t="str">
        <f t="shared" si="125"/>
        <v>wearables</v>
      </c>
      <c r="S1345" s="4">
        <f t="shared" si="122"/>
        <v>42542.526423611111</v>
      </c>
      <c r="T1345" s="4">
        <f t="shared" si="123"/>
        <v>42601.165972222225</v>
      </c>
      <c r="U1345" s="5">
        <f>VLOOKUP(currency,Tables!$A$1:$C$14,3,FALSE)*pledged</f>
        <v>51149</v>
      </c>
    </row>
    <row r="1346" spans="1:21" ht="43.2" x14ac:dyDescent="0.55000000000000004">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ref="O1346:O1409" si="126">pledged/goal</f>
        <v>3.7773333333333334</v>
      </c>
      <c r="P1346" s="16">
        <f t="shared" ref="P1346:P1409" si="127">IF(pledged=0,0,pledged/backers_count)</f>
        <v>40.762589928057551</v>
      </c>
      <c r="Q1346" t="str">
        <f t="shared" si="124"/>
        <v>publishing</v>
      </c>
      <c r="R1346" t="str">
        <f t="shared" si="125"/>
        <v>nonfiction</v>
      </c>
      <c r="S1346" s="4">
        <f t="shared" ref="S1346:S1409" si="128">(((Unix_launched_date/60)/60)/24)+DATE(1970,1,1)</f>
        <v>42522.789803240739</v>
      </c>
      <c r="T1346" s="4">
        <f t="shared" ref="T1346:T1409" si="129">(((Unix_deadline/60)/60)/24)+DATE(1970,1,1)</f>
        <v>42551.789803240739</v>
      </c>
      <c r="U1346" s="5">
        <f>VLOOKUP(currency,Tables!$A$1:$C$14,3,FALSE)*pledged</f>
        <v>4306.16</v>
      </c>
    </row>
    <row r="1347" spans="1:21" ht="43.2" x14ac:dyDescent="0.55000000000000004">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si="126"/>
        <v>1.25</v>
      </c>
      <c r="P1347" s="16">
        <f t="shared" si="127"/>
        <v>53.571428571428569</v>
      </c>
      <c r="Q1347" t="str">
        <f t="shared" ref="Q1347:Q1410" si="130">LEFT(N1347,FIND("/",N1347,1)-1)</f>
        <v>publishing</v>
      </c>
      <c r="R1347" t="str">
        <f t="shared" ref="R1347:R1410" si="131">RIGHT(N1347,(LEN(N1347)-FIND("/",N1347,1)))</f>
        <v>nonfiction</v>
      </c>
      <c r="S1347" s="4">
        <f t="shared" si="128"/>
        <v>41799.814340277779</v>
      </c>
      <c r="T1347" s="4">
        <f t="shared" si="129"/>
        <v>41834.814340277779</v>
      </c>
      <c r="U1347" s="5">
        <f>VLOOKUP(currency,Tables!$A$1:$C$14,3,FALSE)*pledged</f>
        <v>375</v>
      </c>
    </row>
    <row r="1348" spans="1:21" ht="43.2" x14ac:dyDescent="0.55000000000000004">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16">
        <f t="shared" si="127"/>
        <v>48.449664429530202</v>
      </c>
      <c r="Q1348" t="str">
        <f t="shared" si="130"/>
        <v>publishing</v>
      </c>
      <c r="R1348" t="str">
        <f t="shared" si="131"/>
        <v>nonfiction</v>
      </c>
      <c r="S1348" s="4">
        <f t="shared" si="128"/>
        <v>41422.075821759259</v>
      </c>
      <c r="T1348" s="4">
        <f t="shared" si="129"/>
        <v>41452.075821759259</v>
      </c>
      <c r="U1348" s="5">
        <f>VLOOKUP(currency,Tables!$A$1:$C$14,3,FALSE)*pledged</f>
        <v>7219</v>
      </c>
    </row>
    <row r="1349" spans="1:21" ht="43.2" x14ac:dyDescent="0.55000000000000004">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16">
        <f t="shared" si="127"/>
        <v>82.41935483870968</v>
      </c>
      <c r="Q1349" t="str">
        <f t="shared" si="130"/>
        <v>publishing</v>
      </c>
      <c r="R1349" t="str">
        <f t="shared" si="131"/>
        <v>nonfiction</v>
      </c>
      <c r="S1349" s="4">
        <f t="shared" si="128"/>
        <v>42040.638020833328</v>
      </c>
      <c r="T1349" s="4">
        <f t="shared" si="129"/>
        <v>42070.638020833328</v>
      </c>
      <c r="U1349" s="5">
        <f>VLOOKUP(currency,Tables!$A$1:$C$14,3,FALSE)*pledged</f>
        <v>2555</v>
      </c>
    </row>
    <row r="1350" spans="1:21" ht="43.2" x14ac:dyDescent="0.55000000000000004">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16">
        <f t="shared" si="127"/>
        <v>230.19230769230768</v>
      </c>
      <c r="Q1350" t="str">
        <f t="shared" si="130"/>
        <v>publishing</v>
      </c>
      <c r="R1350" t="str">
        <f t="shared" si="131"/>
        <v>nonfiction</v>
      </c>
      <c r="S1350" s="4">
        <f t="shared" si="128"/>
        <v>41963.506168981476</v>
      </c>
      <c r="T1350" s="4">
        <f t="shared" si="129"/>
        <v>41991.506168981476</v>
      </c>
      <c r="U1350" s="5">
        <f>VLOOKUP(currency,Tables!$A$1:$C$14,3,FALSE)*pledged</f>
        <v>5985</v>
      </c>
    </row>
    <row r="1351" spans="1:21" ht="43.2" x14ac:dyDescent="0.55000000000000004">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16">
        <f t="shared" si="127"/>
        <v>59.360465116279073</v>
      </c>
      <c r="Q1351" t="str">
        <f t="shared" si="130"/>
        <v>publishing</v>
      </c>
      <c r="R1351" t="str">
        <f t="shared" si="131"/>
        <v>nonfiction</v>
      </c>
      <c r="S1351" s="4">
        <f t="shared" si="128"/>
        <v>42317.33258101852</v>
      </c>
      <c r="T1351" s="4">
        <f t="shared" si="129"/>
        <v>42354.290972222225</v>
      </c>
      <c r="U1351" s="5">
        <f>VLOOKUP(currency,Tables!$A$1:$C$14,3,FALSE)*pledged</f>
        <v>7759.6</v>
      </c>
    </row>
    <row r="1352" spans="1:21" ht="43.2" x14ac:dyDescent="0.55000000000000004">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16">
        <f t="shared" si="127"/>
        <v>66.698717948717942</v>
      </c>
      <c r="Q1352" t="str">
        <f t="shared" si="130"/>
        <v>publishing</v>
      </c>
      <c r="R1352" t="str">
        <f t="shared" si="131"/>
        <v>nonfiction</v>
      </c>
      <c r="S1352" s="4">
        <f t="shared" si="128"/>
        <v>42334.013124999998</v>
      </c>
      <c r="T1352" s="4">
        <f t="shared" si="129"/>
        <v>42364.013124999998</v>
      </c>
      <c r="U1352" s="5">
        <f>VLOOKUP(currency,Tables!$A$1:$C$14,3,FALSE)*pledged</f>
        <v>5202.5</v>
      </c>
    </row>
    <row r="1353" spans="1:21" ht="28.8" x14ac:dyDescent="0.55000000000000004">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16">
        <f t="shared" si="127"/>
        <v>168.77500000000001</v>
      </c>
      <c r="Q1353" t="str">
        <f t="shared" si="130"/>
        <v>publishing</v>
      </c>
      <c r="R1353" t="str">
        <f t="shared" si="131"/>
        <v>nonfiction</v>
      </c>
      <c r="S1353" s="4">
        <f t="shared" si="128"/>
        <v>42382.74009259259</v>
      </c>
      <c r="T1353" s="4">
        <f t="shared" si="129"/>
        <v>42412.74009259259</v>
      </c>
      <c r="U1353" s="5">
        <f>VLOOKUP(currency,Tables!$A$1:$C$14,3,FALSE)*pledged</f>
        <v>20253</v>
      </c>
    </row>
    <row r="1354" spans="1:21" ht="43.2" x14ac:dyDescent="0.55000000000000004">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16">
        <f t="shared" si="127"/>
        <v>59.973568281938327</v>
      </c>
      <c r="Q1354" t="str">
        <f t="shared" si="130"/>
        <v>publishing</v>
      </c>
      <c r="R1354" t="str">
        <f t="shared" si="131"/>
        <v>nonfiction</v>
      </c>
      <c r="S1354" s="4">
        <f t="shared" si="128"/>
        <v>42200.578310185185</v>
      </c>
      <c r="T1354" s="4">
        <f t="shared" si="129"/>
        <v>42252.165972222225</v>
      </c>
      <c r="U1354" s="5">
        <f>VLOOKUP(currency,Tables!$A$1:$C$14,3,FALSE)*pledged</f>
        <v>13614</v>
      </c>
    </row>
    <row r="1355" spans="1:21" ht="28.8" x14ac:dyDescent="0.55000000000000004">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16">
        <f t="shared" si="127"/>
        <v>31.80952380952381</v>
      </c>
      <c r="Q1355" t="str">
        <f t="shared" si="130"/>
        <v>publishing</v>
      </c>
      <c r="R1355" t="str">
        <f t="shared" si="131"/>
        <v>nonfiction</v>
      </c>
      <c r="S1355" s="4">
        <f t="shared" si="128"/>
        <v>41309.11791666667</v>
      </c>
      <c r="T1355" s="4">
        <f t="shared" si="129"/>
        <v>41344</v>
      </c>
      <c r="U1355" s="5">
        <f>VLOOKUP(currency,Tables!$A$1:$C$14,3,FALSE)*pledged</f>
        <v>1336</v>
      </c>
    </row>
    <row r="1356" spans="1:21" ht="43.2" x14ac:dyDescent="0.55000000000000004">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16">
        <f t="shared" si="127"/>
        <v>24.421875</v>
      </c>
      <c r="Q1356" t="str">
        <f t="shared" si="130"/>
        <v>publishing</v>
      </c>
      <c r="R1356" t="str">
        <f t="shared" si="131"/>
        <v>nonfiction</v>
      </c>
      <c r="S1356" s="4">
        <f t="shared" si="128"/>
        <v>42502.807627314818</v>
      </c>
      <c r="T1356" s="4">
        <f t="shared" si="129"/>
        <v>42532.807627314818</v>
      </c>
      <c r="U1356" s="5">
        <f>VLOOKUP(currency,Tables!$A$1:$C$14,3,FALSE)*pledged</f>
        <v>2063.1600000000003</v>
      </c>
    </row>
    <row r="1357" spans="1:21" ht="57.6" x14ac:dyDescent="0.55000000000000004">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16">
        <f t="shared" si="127"/>
        <v>25.347107438016529</v>
      </c>
      <c r="Q1357" t="str">
        <f t="shared" si="130"/>
        <v>publishing</v>
      </c>
      <c r="R1357" t="str">
        <f t="shared" si="131"/>
        <v>nonfiction</v>
      </c>
      <c r="S1357" s="4">
        <f t="shared" si="128"/>
        <v>41213.254687499997</v>
      </c>
      <c r="T1357" s="4">
        <f t="shared" si="129"/>
        <v>41243.416666666664</v>
      </c>
      <c r="U1357" s="5">
        <f>VLOOKUP(currency,Tables!$A$1:$C$14,3,FALSE)*pledged</f>
        <v>4048.44</v>
      </c>
    </row>
    <row r="1358" spans="1:21" ht="43.2" x14ac:dyDescent="0.55000000000000004">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16">
        <f t="shared" si="127"/>
        <v>71.443218390804603</v>
      </c>
      <c r="Q1358" t="str">
        <f t="shared" si="130"/>
        <v>publishing</v>
      </c>
      <c r="R1358" t="str">
        <f t="shared" si="131"/>
        <v>nonfiction</v>
      </c>
      <c r="S1358" s="4">
        <f t="shared" si="128"/>
        <v>41430.038888888892</v>
      </c>
      <c r="T1358" s="4">
        <f t="shared" si="129"/>
        <v>41460.038888888892</v>
      </c>
      <c r="U1358" s="5">
        <f>VLOOKUP(currency,Tables!$A$1:$C$14,3,FALSE)*pledged</f>
        <v>6215.56</v>
      </c>
    </row>
    <row r="1359" spans="1:21" ht="43.2" x14ac:dyDescent="0.55000000000000004">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16">
        <f t="shared" si="127"/>
        <v>38.553846153846152</v>
      </c>
      <c r="Q1359" t="str">
        <f t="shared" si="130"/>
        <v>publishing</v>
      </c>
      <c r="R1359" t="str">
        <f t="shared" si="131"/>
        <v>nonfiction</v>
      </c>
      <c r="S1359" s="4">
        <f t="shared" si="128"/>
        <v>41304.962233796294</v>
      </c>
      <c r="T1359" s="4">
        <f t="shared" si="129"/>
        <v>41334.249305555553</v>
      </c>
      <c r="U1359" s="5">
        <f>VLOOKUP(currency,Tables!$A$1:$C$14,3,FALSE)*pledged</f>
        <v>2506</v>
      </c>
    </row>
    <row r="1360" spans="1:21" ht="43.2" x14ac:dyDescent="0.55000000000000004">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16">
        <f t="shared" si="127"/>
        <v>68.367346938775512</v>
      </c>
      <c r="Q1360" t="str">
        <f t="shared" si="130"/>
        <v>publishing</v>
      </c>
      <c r="R1360" t="str">
        <f t="shared" si="131"/>
        <v>nonfiction</v>
      </c>
      <c r="S1360" s="4">
        <f t="shared" si="128"/>
        <v>40689.570868055554</v>
      </c>
      <c r="T1360" s="4">
        <f t="shared" si="129"/>
        <v>40719.570868055554</v>
      </c>
      <c r="U1360" s="5">
        <f>VLOOKUP(currency,Tables!$A$1:$C$14,3,FALSE)*pledged</f>
        <v>3350</v>
      </c>
    </row>
    <row r="1361" spans="1:21" ht="43.2" x14ac:dyDescent="0.55000000000000004">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16">
        <f t="shared" si="127"/>
        <v>40.210526315789473</v>
      </c>
      <c r="Q1361" t="str">
        <f t="shared" si="130"/>
        <v>publishing</v>
      </c>
      <c r="R1361" t="str">
        <f t="shared" si="131"/>
        <v>nonfiction</v>
      </c>
      <c r="S1361" s="4">
        <f t="shared" si="128"/>
        <v>40668.814699074072</v>
      </c>
      <c r="T1361" s="4">
        <f t="shared" si="129"/>
        <v>40730.814699074072</v>
      </c>
      <c r="U1361" s="5">
        <f>VLOOKUP(currency,Tables!$A$1:$C$14,3,FALSE)*pledged</f>
        <v>764</v>
      </c>
    </row>
    <row r="1362" spans="1:21" ht="28.8" x14ac:dyDescent="0.55000000000000004">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16">
        <f t="shared" si="127"/>
        <v>32.074074074074076</v>
      </c>
      <c r="Q1362" t="str">
        <f t="shared" si="130"/>
        <v>publishing</v>
      </c>
      <c r="R1362" t="str">
        <f t="shared" si="131"/>
        <v>nonfiction</v>
      </c>
      <c r="S1362" s="4">
        <f t="shared" si="128"/>
        <v>41095.900694444441</v>
      </c>
      <c r="T1362" s="4">
        <f t="shared" si="129"/>
        <v>41123.900694444441</v>
      </c>
      <c r="U1362" s="5">
        <f>VLOOKUP(currency,Tables!$A$1:$C$14,3,FALSE)*pledged</f>
        <v>2598</v>
      </c>
    </row>
    <row r="1363" spans="1:21" ht="43.2" x14ac:dyDescent="0.55000000000000004">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16">
        <f t="shared" si="127"/>
        <v>28.632575757575758</v>
      </c>
      <c r="Q1363" t="str">
        <f t="shared" si="130"/>
        <v>publishing</v>
      </c>
      <c r="R1363" t="str">
        <f t="shared" si="131"/>
        <v>nonfiction</v>
      </c>
      <c r="S1363" s="4">
        <f t="shared" si="128"/>
        <v>41781.717268518521</v>
      </c>
      <c r="T1363" s="4">
        <f t="shared" si="129"/>
        <v>41811.717268518521</v>
      </c>
      <c r="U1363" s="5">
        <f>VLOOKUP(currency,Tables!$A$1:$C$14,3,FALSE)*pledged</f>
        <v>9977.880000000001</v>
      </c>
    </row>
    <row r="1364" spans="1:21" ht="28.8" x14ac:dyDescent="0.55000000000000004">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16">
        <f t="shared" si="127"/>
        <v>43.64</v>
      </c>
      <c r="Q1364" t="str">
        <f t="shared" si="130"/>
        <v>publishing</v>
      </c>
      <c r="R1364" t="str">
        <f t="shared" si="131"/>
        <v>nonfiction</v>
      </c>
      <c r="S1364" s="4">
        <f t="shared" si="128"/>
        <v>41464.934386574074</v>
      </c>
      <c r="T1364" s="4">
        <f t="shared" si="129"/>
        <v>41524.934386574074</v>
      </c>
      <c r="U1364" s="5">
        <f>VLOOKUP(currency,Tables!$A$1:$C$14,3,FALSE)*pledged</f>
        <v>1091</v>
      </c>
    </row>
    <row r="1365" spans="1:21" ht="43.2" x14ac:dyDescent="0.55000000000000004">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126"/>
        <v>1</v>
      </c>
      <c r="P1365" s="16">
        <f t="shared" si="127"/>
        <v>40</v>
      </c>
      <c r="Q1365" t="str">
        <f t="shared" si="130"/>
        <v>publishing</v>
      </c>
      <c r="R1365" t="str">
        <f t="shared" si="131"/>
        <v>nonfiction</v>
      </c>
      <c r="S1365" s="4">
        <f t="shared" si="128"/>
        <v>42396.8440625</v>
      </c>
      <c r="T1365" s="4">
        <f t="shared" si="129"/>
        <v>42415.332638888889</v>
      </c>
      <c r="U1365" s="5">
        <f>VLOOKUP(currency,Tables!$A$1:$C$14,3,FALSE)*pledged</f>
        <v>200</v>
      </c>
    </row>
    <row r="1366" spans="1:21" ht="43.2" x14ac:dyDescent="0.55000000000000004">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16">
        <f t="shared" si="127"/>
        <v>346.04166666666669</v>
      </c>
      <c r="Q1366" t="str">
        <f t="shared" si="130"/>
        <v>music</v>
      </c>
      <c r="R1366" t="str">
        <f t="shared" si="131"/>
        <v>rock</v>
      </c>
      <c r="S1366" s="4">
        <f t="shared" si="128"/>
        <v>41951.695671296293</v>
      </c>
      <c r="T1366" s="4">
        <f t="shared" si="129"/>
        <v>42011.6956712963</v>
      </c>
      <c r="U1366" s="5">
        <f>VLOOKUP(currency,Tables!$A$1:$C$14,3,FALSE)*pledged</f>
        <v>7972.8</v>
      </c>
    </row>
    <row r="1367" spans="1:21" ht="43.2" x14ac:dyDescent="0.55000000000000004">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16">
        <f t="shared" si="127"/>
        <v>81.739130434782609</v>
      </c>
      <c r="Q1367" t="str">
        <f t="shared" si="130"/>
        <v>music</v>
      </c>
      <c r="R1367" t="str">
        <f t="shared" si="131"/>
        <v>rock</v>
      </c>
      <c r="S1367" s="4">
        <f t="shared" si="128"/>
        <v>42049.733240740738</v>
      </c>
      <c r="T1367" s="4">
        <f t="shared" si="129"/>
        <v>42079.691574074073</v>
      </c>
      <c r="U1367" s="5">
        <f>VLOOKUP(currency,Tables!$A$1:$C$14,3,FALSE)*pledged</f>
        <v>7520</v>
      </c>
    </row>
    <row r="1368" spans="1:21" x14ac:dyDescent="0.55000000000000004">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16">
        <f t="shared" si="127"/>
        <v>64.535306122448986</v>
      </c>
      <c r="Q1368" t="str">
        <f t="shared" si="130"/>
        <v>music</v>
      </c>
      <c r="R1368" t="str">
        <f t="shared" si="131"/>
        <v>rock</v>
      </c>
      <c r="S1368" s="4">
        <f t="shared" si="128"/>
        <v>41924.996099537035</v>
      </c>
      <c r="T1368" s="4">
        <f t="shared" si="129"/>
        <v>41970.037766203706</v>
      </c>
      <c r="U1368" s="5">
        <f>VLOOKUP(currency,Tables!$A$1:$C$14,3,FALSE)*pledged</f>
        <v>9486.69</v>
      </c>
    </row>
    <row r="1369" spans="1:21" ht="43.2" x14ac:dyDescent="0.55000000000000004">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16">
        <f t="shared" si="127"/>
        <v>63.477777777777774</v>
      </c>
      <c r="Q1369" t="str">
        <f t="shared" si="130"/>
        <v>music</v>
      </c>
      <c r="R1369" t="str">
        <f t="shared" si="131"/>
        <v>rock</v>
      </c>
      <c r="S1369" s="4">
        <f t="shared" si="128"/>
        <v>42292.002893518518</v>
      </c>
      <c r="T1369" s="4">
        <f t="shared" si="129"/>
        <v>42322.044560185182</v>
      </c>
      <c r="U1369" s="5">
        <f>VLOOKUP(currency,Tables!$A$1:$C$14,3,FALSE)*pledged</f>
        <v>5713</v>
      </c>
    </row>
    <row r="1370" spans="1:21" ht="43.2" x14ac:dyDescent="0.55000000000000004">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16">
        <f t="shared" si="127"/>
        <v>63.620689655172413</v>
      </c>
      <c r="Q1370" t="str">
        <f t="shared" si="130"/>
        <v>music</v>
      </c>
      <c r="R1370" t="str">
        <f t="shared" si="131"/>
        <v>rock</v>
      </c>
      <c r="S1370" s="4">
        <f t="shared" si="128"/>
        <v>42146.190902777773</v>
      </c>
      <c r="T1370" s="4">
        <f t="shared" si="129"/>
        <v>42170.190902777773</v>
      </c>
      <c r="U1370" s="5">
        <f>VLOOKUP(currency,Tables!$A$1:$C$14,3,FALSE)*pledged</f>
        <v>5535</v>
      </c>
    </row>
    <row r="1371" spans="1:21" ht="43.2" x14ac:dyDescent="0.55000000000000004">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16">
        <f t="shared" si="127"/>
        <v>83.967068965517228</v>
      </c>
      <c r="Q1371" t="str">
        <f t="shared" si="130"/>
        <v>music</v>
      </c>
      <c r="R1371" t="str">
        <f t="shared" si="131"/>
        <v>rock</v>
      </c>
      <c r="S1371" s="4">
        <f t="shared" si="128"/>
        <v>41710.594282407408</v>
      </c>
      <c r="T1371" s="4">
        <f t="shared" si="129"/>
        <v>41740.594282407408</v>
      </c>
      <c r="U1371" s="5">
        <f>VLOOKUP(currency,Tables!$A$1:$C$14,3,FALSE)*pledged</f>
        <v>34090.629999999997</v>
      </c>
    </row>
    <row r="1372" spans="1:21" ht="28.8" x14ac:dyDescent="0.55000000000000004">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16">
        <f t="shared" si="127"/>
        <v>77.75</v>
      </c>
      <c r="Q1372" t="str">
        <f t="shared" si="130"/>
        <v>music</v>
      </c>
      <c r="R1372" t="str">
        <f t="shared" si="131"/>
        <v>rock</v>
      </c>
      <c r="S1372" s="4">
        <f t="shared" si="128"/>
        <v>41548.00335648148</v>
      </c>
      <c r="T1372" s="4">
        <f t="shared" si="129"/>
        <v>41563.00335648148</v>
      </c>
      <c r="U1372" s="5">
        <f>VLOOKUP(currency,Tables!$A$1:$C$14,3,FALSE)*pledged</f>
        <v>1555</v>
      </c>
    </row>
    <row r="1373" spans="1:21" ht="43.2" x14ac:dyDescent="0.55000000000000004">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16">
        <f t="shared" si="127"/>
        <v>107.07142857142857</v>
      </c>
      <c r="Q1373" t="str">
        <f t="shared" si="130"/>
        <v>music</v>
      </c>
      <c r="R1373" t="str">
        <f t="shared" si="131"/>
        <v>rock</v>
      </c>
      <c r="S1373" s="4">
        <f t="shared" si="128"/>
        <v>42101.758587962962</v>
      </c>
      <c r="T1373" s="4">
        <f t="shared" si="129"/>
        <v>42131.758587962962</v>
      </c>
      <c r="U1373" s="5">
        <f>VLOOKUP(currency,Tables!$A$1:$C$14,3,FALSE)*pledged</f>
        <v>7495</v>
      </c>
    </row>
    <row r="1374" spans="1:21" x14ac:dyDescent="0.55000000000000004">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126"/>
        <v>1.24</v>
      </c>
      <c r="P1374" s="16">
        <f t="shared" si="127"/>
        <v>38.75</v>
      </c>
      <c r="Q1374" t="str">
        <f t="shared" si="130"/>
        <v>music</v>
      </c>
      <c r="R1374" t="str">
        <f t="shared" si="131"/>
        <v>rock</v>
      </c>
      <c r="S1374" s="4">
        <f t="shared" si="128"/>
        <v>41072.739953703705</v>
      </c>
      <c r="T1374" s="4">
        <f t="shared" si="129"/>
        <v>41102.739953703705</v>
      </c>
      <c r="U1374" s="5">
        <f>VLOOKUP(currency,Tables!$A$1:$C$14,3,FALSE)*pledged</f>
        <v>620</v>
      </c>
    </row>
    <row r="1375" spans="1:21" ht="28.8" x14ac:dyDescent="0.55000000000000004">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16">
        <f t="shared" si="127"/>
        <v>201.94230769230768</v>
      </c>
      <c r="Q1375" t="str">
        <f t="shared" si="130"/>
        <v>music</v>
      </c>
      <c r="R1375" t="str">
        <f t="shared" si="131"/>
        <v>rock</v>
      </c>
      <c r="S1375" s="4">
        <f t="shared" si="128"/>
        <v>42704.95177083333</v>
      </c>
      <c r="T1375" s="4">
        <f t="shared" si="129"/>
        <v>42734.95177083333</v>
      </c>
      <c r="U1375" s="5">
        <f>VLOOKUP(currency,Tables!$A$1:$C$14,3,FALSE)*pledged</f>
        <v>10501</v>
      </c>
    </row>
    <row r="1376" spans="1:21" ht="43.2" x14ac:dyDescent="0.55000000000000004">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16">
        <f t="shared" si="127"/>
        <v>43.060606060606062</v>
      </c>
      <c r="Q1376" t="str">
        <f t="shared" si="130"/>
        <v>music</v>
      </c>
      <c r="R1376" t="str">
        <f t="shared" si="131"/>
        <v>rock</v>
      </c>
      <c r="S1376" s="4">
        <f t="shared" si="128"/>
        <v>42424.161898148144</v>
      </c>
      <c r="T1376" s="4">
        <f t="shared" si="129"/>
        <v>42454.12023148148</v>
      </c>
      <c r="U1376" s="5">
        <f>VLOOKUP(currency,Tables!$A$1:$C$14,3,FALSE)*pledged</f>
        <v>2842</v>
      </c>
    </row>
    <row r="1377" spans="1:21" ht="43.2" x14ac:dyDescent="0.55000000000000004">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16">
        <f t="shared" si="127"/>
        <v>62.871559633027523</v>
      </c>
      <c r="Q1377" t="str">
        <f t="shared" si="130"/>
        <v>music</v>
      </c>
      <c r="R1377" t="str">
        <f t="shared" si="131"/>
        <v>rock</v>
      </c>
      <c r="S1377" s="4">
        <f t="shared" si="128"/>
        <v>42720.066192129627</v>
      </c>
      <c r="T1377" s="4">
        <f t="shared" si="129"/>
        <v>42750.066192129627</v>
      </c>
      <c r="U1377" s="5">
        <f>VLOOKUP(currency,Tables!$A$1:$C$14,3,FALSE)*pledged</f>
        <v>8086.54</v>
      </c>
    </row>
    <row r="1378" spans="1:21" ht="28.8" x14ac:dyDescent="0.55000000000000004">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16">
        <f t="shared" si="127"/>
        <v>55.607142857142854</v>
      </c>
      <c r="Q1378" t="str">
        <f t="shared" si="130"/>
        <v>music</v>
      </c>
      <c r="R1378" t="str">
        <f t="shared" si="131"/>
        <v>rock</v>
      </c>
      <c r="S1378" s="4">
        <f t="shared" si="128"/>
        <v>42677.669050925921</v>
      </c>
      <c r="T1378" s="4">
        <f t="shared" si="129"/>
        <v>42707.710717592592</v>
      </c>
      <c r="U1378" s="5">
        <f>VLOOKUP(currency,Tables!$A$1:$C$14,3,FALSE)*pledged</f>
        <v>12331.44</v>
      </c>
    </row>
    <row r="1379" spans="1:21" ht="43.2" x14ac:dyDescent="0.55000000000000004">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16">
        <f t="shared" si="127"/>
        <v>48.70967741935484</v>
      </c>
      <c r="Q1379" t="str">
        <f t="shared" si="130"/>
        <v>music</v>
      </c>
      <c r="R1379" t="str">
        <f t="shared" si="131"/>
        <v>rock</v>
      </c>
      <c r="S1379" s="4">
        <f t="shared" si="128"/>
        <v>42747.219560185185</v>
      </c>
      <c r="T1379" s="4">
        <f t="shared" si="129"/>
        <v>42769.174305555556</v>
      </c>
      <c r="U1379" s="5">
        <f>VLOOKUP(currency,Tables!$A$1:$C$14,3,FALSE)*pledged</f>
        <v>1510</v>
      </c>
    </row>
    <row r="1380" spans="1:21" x14ac:dyDescent="0.55000000000000004">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16">
        <f t="shared" si="127"/>
        <v>30.578947368421051</v>
      </c>
      <c r="Q1380" t="str">
        <f t="shared" si="130"/>
        <v>music</v>
      </c>
      <c r="R1380" t="str">
        <f t="shared" si="131"/>
        <v>rock</v>
      </c>
      <c r="S1380" s="4">
        <f t="shared" si="128"/>
        <v>42568.759374999994</v>
      </c>
      <c r="T1380" s="4">
        <f t="shared" si="129"/>
        <v>42583.759374999994</v>
      </c>
      <c r="U1380" s="5">
        <f>VLOOKUP(currency,Tables!$A$1:$C$14,3,FALSE)*pledged</f>
        <v>5368.4400000000005</v>
      </c>
    </row>
    <row r="1381" spans="1:21" ht="28.8" x14ac:dyDescent="0.55000000000000004">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16">
        <f t="shared" si="127"/>
        <v>73.907284768211923</v>
      </c>
      <c r="Q1381" t="str">
        <f t="shared" si="130"/>
        <v>music</v>
      </c>
      <c r="R1381" t="str">
        <f t="shared" si="131"/>
        <v>rock</v>
      </c>
      <c r="S1381" s="4">
        <f t="shared" si="128"/>
        <v>42130.491620370376</v>
      </c>
      <c r="T1381" s="4">
        <f t="shared" si="129"/>
        <v>42160.491620370376</v>
      </c>
      <c r="U1381" s="5">
        <f>VLOOKUP(currency,Tables!$A$1:$C$14,3,FALSE)*pledged</f>
        <v>11160</v>
      </c>
    </row>
    <row r="1382" spans="1:21" ht="28.8" x14ac:dyDescent="0.55000000000000004">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126"/>
        <v>4.24</v>
      </c>
      <c r="P1382" s="16">
        <f t="shared" si="127"/>
        <v>21.2</v>
      </c>
      <c r="Q1382" t="str">
        <f t="shared" si="130"/>
        <v>music</v>
      </c>
      <c r="R1382" t="str">
        <f t="shared" si="131"/>
        <v>rock</v>
      </c>
      <c r="S1382" s="4">
        <f t="shared" si="128"/>
        <v>42141.762800925921</v>
      </c>
      <c r="T1382" s="4">
        <f t="shared" si="129"/>
        <v>42164.083333333328</v>
      </c>
      <c r="U1382" s="5">
        <f>VLOOKUP(currency,Tables!$A$1:$C$14,3,FALSE)*pledged</f>
        <v>106</v>
      </c>
    </row>
    <row r="1383" spans="1:21" ht="43.2" x14ac:dyDescent="0.55000000000000004">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16">
        <f t="shared" si="127"/>
        <v>73.356164383561648</v>
      </c>
      <c r="Q1383" t="str">
        <f t="shared" si="130"/>
        <v>music</v>
      </c>
      <c r="R1383" t="str">
        <f t="shared" si="131"/>
        <v>rock</v>
      </c>
      <c r="S1383" s="4">
        <f t="shared" si="128"/>
        <v>42703.214409722219</v>
      </c>
      <c r="T1383" s="4">
        <f t="shared" si="129"/>
        <v>42733.214409722219</v>
      </c>
      <c r="U1383" s="5">
        <f>VLOOKUP(currency,Tables!$A$1:$C$14,3,FALSE)*pledged</f>
        <v>5355</v>
      </c>
    </row>
    <row r="1384" spans="1:21" ht="43.2" x14ac:dyDescent="0.55000000000000004">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16">
        <f t="shared" si="127"/>
        <v>56.412162162162161</v>
      </c>
      <c r="Q1384" t="str">
        <f t="shared" si="130"/>
        <v>music</v>
      </c>
      <c r="R1384" t="str">
        <f t="shared" si="131"/>
        <v>rock</v>
      </c>
      <c r="S1384" s="4">
        <f t="shared" si="128"/>
        <v>41370.800185185188</v>
      </c>
      <c r="T1384" s="4">
        <f t="shared" si="129"/>
        <v>41400.800185185188</v>
      </c>
      <c r="U1384" s="5">
        <f>VLOOKUP(currency,Tables!$A$1:$C$14,3,FALSE)*pledged</f>
        <v>8349</v>
      </c>
    </row>
    <row r="1385" spans="1:21" ht="43.2" x14ac:dyDescent="0.55000000000000004">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16">
        <f t="shared" si="127"/>
        <v>50.247311827956992</v>
      </c>
      <c r="Q1385" t="str">
        <f t="shared" si="130"/>
        <v>music</v>
      </c>
      <c r="R1385" t="str">
        <f t="shared" si="131"/>
        <v>rock</v>
      </c>
      <c r="S1385" s="4">
        <f t="shared" si="128"/>
        <v>42707.074976851851</v>
      </c>
      <c r="T1385" s="4">
        <f t="shared" si="129"/>
        <v>42727.074976851851</v>
      </c>
      <c r="U1385" s="5">
        <f>VLOOKUP(currency,Tables!$A$1:$C$14,3,FALSE)*pledged</f>
        <v>3551.48</v>
      </c>
    </row>
    <row r="1386" spans="1:21" ht="43.2" x14ac:dyDescent="0.55000000000000004">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16">
        <f t="shared" si="127"/>
        <v>68.936507936507937</v>
      </c>
      <c r="Q1386" t="str">
        <f t="shared" si="130"/>
        <v>music</v>
      </c>
      <c r="R1386" t="str">
        <f t="shared" si="131"/>
        <v>rock</v>
      </c>
      <c r="S1386" s="4">
        <f t="shared" si="128"/>
        <v>42160.735208333332</v>
      </c>
      <c r="T1386" s="4">
        <f t="shared" si="129"/>
        <v>42190.735208333332</v>
      </c>
      <c r="U1386" s="5">
        <f>VLOOKUP(currency,Tables!$A$1:$C$14,3,FALSE)*pledged</f>
        <v>4343</v>
      </c>
    </row>
    <row r="1387" spans="1:21" ht="43.2" x14ac:dyDescent="0.55000000000000004">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16">
        <f t="shared" si="127"/>
        <v>65.914104477611943</v>
      </c>
      <c r="Q1387" t="str">
        <f t="shared" si="130"/>
        <v>music</v>
      </c>
      <c r="R1387" t="str">
        <f t="shared" si="131"/>
        <v>rock</v>
      </c>
      <c r="S1387" s="4">
        <f t="shared" si="128"/>
        <v>42433.688900462963</v>
      </c>
      <c r="T1387" s="4">
        <f t="shared" si="129"/>
        <v>42489.507638888885</v>
      </c>
      <c r="U1387" s="5">
        <f>VLOOKUP(currency,Tables!$A$1:$C$14,3,FALSE)*pledged</f>
        <v>10422.338199999998</v>
      </c>
    </row>
    <row r="1388" spans="1:21" ht="28.8" x14ac:dyDescent="0.55000000000000004">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126"/>
        <v>2.1875</v>
      </c>
      <c r="P1388" s="16">
        <f t="shared" si="127"/>
        <v>62.5</v>
      </c>
      <c r="Q1388" t="str">
        <f t="shared" si="130"/>
        <v>music</v>
      </c>
      <c r="R1388" t="str">
        <f t="shared" si="131"/>
        <v>rock</v>
      </c>
      <c r="S1388" s="4">
        <f t="shared" si="128"/>
        <v>42184.646863425922</v>
      </c>
      <c r="T1388" s="4">
        <f t="shared" si="129"/>
        <v>42214.646863425922</v>
      </c>
      <c r="U1388" s="5">
        <f>VLOOKUP(currency,Tables!$A$1:$C$14,3,FALSE)*pledged</f>
        <v>875</v>
      </c>
    </row>
    <row r="1389" spans="1:21" ht="43.2" x14ac:dyDescent="0.55000000000000004">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16">
        <f t="shared" si="127"/>
        <v>70.064102564102569</v>
      </c>
      <c r="Q1389" t="str">
        <f t="shared" si="130"/>
        <v>music</v>
      </c>
      <c r="R1389" t="str">
        <f t="shared" si="131"/>
        <v>rock</v>
      </c>
      <c r="S1389" s="4">
        <f t="shared" si="128"/>
        <v>42126.92123842593</v>
      </c>
      <c r="T1389" s="4">
        <f t="shared" si="129"/>
        <v>42158.1875</v>
      </c>
      <c r="U1389" s="5">
        <f>VLOOKUP(currency,Tables!$A$1:$C$14,3,FALSE)*pledged</f>
        <v>5465</v>
      </c>
    </row>
    <row r="1390" spans="1:21" ht="43.2" x14ac:dyDescent="0.55000000000000004">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16">
        <f t="shared" si="127"/>
        <v>60.181874999999998</v>
      </c>
      <c r="Q1390" t="str">
        <f t="shared" si="130"/>
        <v>music</v>
      </c>
      <c r="R1390" t="str">
        <f t="shared" si="131"/>
        <v>rock</v>
      </c>
      <c r="S1390" s="4">
        <f t="shared" si="128"/>
        <v>42634.614780092597</v>
      </c>
      <c r="T1390" s="4">
        <f t="shared" si="129"/>
        <v>42660.676388888889</v>
      </c>
      <c r="U1390" s="5">
        <f>VLOOKUP(currency,Tables!$A$1:$C$14,3,FALSE)*pledged</f>
        <v>6740.37</v>
      </c>
    </row>
    <row r="1391" spans="1:21" ht="28.8" x14ac:dyDescent="0.55000000000000004">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126"/>
        <v>1.454</v>
      </c>
      <c r="P1391" s="16">
        <f t="shared" si="127"/>
        <v>21.382352941176471</v>
      </c>
      <c r="Q1391" t="str">
        <f t="shared" si="130"/>
        <v>music</v>
      </c>
      <c r="R1391" t="str">
        <f t="shared" si="131"/>
        <v>rock</v>
      </c>
      <c r="S1391" s="4">
        <f t="shared" si="128"/>
        <v>42565.480983796297</v>
      </c>
      <c r="T1391" s="4">
        <f t="shared" si="129"/>
        <v>42595.480983796297</v>
      </c>
      <c r="U1391" s="5">
        <f>VLOOKUP(currency,Tables!$A$1:$C$14,3,FALSE)*pledged</f>
        <v>959.6400000000001</v>
      </c>
    </row>
    <row r="1392" spans="1:21" ht="43.2" x14ac:dyDescent="0.55000000000000004">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16">
        <f t="shared" si="127"/>
        <v>160.78947368421052</v>
      </c>
      <c r="Q1392" t="str">
        <f t="shared" si="130"/>
        <v>music</v>
      </c>
      <c r="R1392" t="str">
        <f t="shared" si="131"/>
        <v>rock</v>
      </c>
      <c r="S1392" s="4">
        <f t="shared" si="128"/>
        <v>42087.803310185183</v>
      </c>
      <c r="T1392" s="4">
        <f t="shared" si="129"/>
        <v>42121.716666666667</v>
      </c>
      <c r="U1392" s="5">
        <f>VLOOKUP(currency,Tables!$A$1:$C$14,3,FALSE)*pledged</f>
        <v>3055</v>
      </c>
    </row>
    <row r="1393" spans="1:21" ht="43.2" x14ac:dyDescent="0.55000000000000004">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16">
        <f t="shared" si="127"/>
        <v>42.384615384615387</v>
      </c>
      <c r="Q1393" t="str">
        <f t="shared" si="130"/>
        <v>music</v>
      </c>
      <c r="R1393" t="str">
        <f t="shared" si="131"/>
        <v>rock</v>
      </c>
      <c r="S1393" s="4">
        <f t="shared" si="128"/>
        <v>42193.650671296295</v>
      </c>
      <c r="T1393" s="4">
        <f t="shared" si="129"/>
        <v>42238.207638888889</v>
      </c>
      <c r="U1393" s="5">
        <f>VLOOKUP(currency,Tables!$A$1:$C$14,3,FALSE)*pledged</f>
        <v>551</v>
      </c>
    </row>
    <row r="1394" spans="1:21" ht="43.2" x14ac:dyDescent="0.55000000000000004">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16">
        <f t="shared" si="127"/>
        <v>27.317307692307693</v>
      </c>
      <c r="Q1394" t="str">
        <f t="shared" si="130"/>
        <v>music</v>
      </c>
      <c r="R1394" t="str">
        <f t="shared" si="131"/>
        <v>rock</v>
      </c>
      <c r="S1394" s="4">
        <f t="shared" si="128"/>
        <v>42401.154930555553</v>
      </c>
      <c r="T1394" s="4">
        <f t="shared" si="129"/>
        <v>42432.154930555553</v>
      </c>
      <c r="U1394" s="5">
        <f>VLOOKUP(currency,Tables!$A$1:$C$14,3,FALSE)*pledged</f>
        <v>2841</v>
      </c>
    </row>
    <row r="1395" spans="1:21" x14ac:dyDescent="0.55000000000000004">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16">
        <f t="shared" si="127"/>
        <v>196.82692307692307</v>
      </c>
      <c r="Q1395" t="str">
        <f t="shared" si="130"/>
        <v>music</v>
      </c>
      <c r="R1395" t="str">
        <f t="shared" si="131"/>
        <v>rock</v>
      </c>
      <c r="S1395" s="4">
        <f t="shared" si="128"/>
        <v>42553.681979166664</v>
      </c>
      <c r="T1395" s="4">
        <f t="shared" si="129"/>
        <v>42583.681979166664</v>
      </c>
      <c r="U1395" s="5">
        <f>VLOOKUP(currency,Tables!$A$1:$C$14,3,FALSE)*pledged</f>
        <v>10235</v>
      </c>
    </row>
    <row r="1396" spans="1:21" ht="43.2" x14ac:dyDescent="0.55000000000000004">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16">
        <f t="shared" si="127"/>
        <v>53.882352941176471</v>
      </c>
      <c r="Q1396" t="str">
        <f t="shared" si="130"/>
        <v>music</v>
      </c>
      <c r="R1396" t="str">
        <f t="shared" si="131"/>
        <v>rock</v>
      </c>
      <c r="S1396" s="4">
        <f t="shared" si="128"/>
        <v>42752.144976851851</v>
      </c>
      <c r="T1396" s="4">
        <f t="shared" si="129"/>
        <v>42795.125</v>
      </c>
      <c r="U1396" s="5">
        <f>VLOOKUP(currency,Tables!$A$1:$C$14,3,FALSE)*pledged</f>
        <v>916</v>
      </c>
    </row>
    <row r="1397" spans="1:21" x14ac:dyDescent="0.55000000000000004">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16">
        <f t="shared" si="127"/>
        <v>47.756097560975611</v>
      </c>
      <c r="Q1397" t="str">
        <f t="shared" si="130"/>
        <v>music</v>
      </c>
      <c r="R1397" t="str">
        <f t="shared" si="131"/>
        <v>rock</v>
      </c>
      <c r="S1397" s="4">
        <f t="shared" si="128"/>
        <v>42719.90834490741</v>
      </c>
      <c r="T1397" s="4">
        <f t="shared" si="129"/>
        <v>42749.90834490741</v>
      </c>
      <c r="U1397" s="5">
        <f>VLOOKUP(currency,Tables!$A$1:$C$14,3,FALSE)*pledged</f>
        <v>3916</v>
      </c>
    </row>
    <row r="1398" spans="1:21" ht="43.2" x14ac:dyDescent="0.55000000000000004">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16">
        <f t="shared" si="127"/>
        <v>88.191780821917803</v>
      </c>
      <c r="Q1398" t="str">
        <f t="shared" si="130"/>
        <v>music</v>
      </c>
      <c r="R1398" t="str">
        <f t="shared" si="131"/>
        <v>rock</v>
      </c>
      <c r="S1398" s="4">
        <f t="shared" si="128"/>
        <v>42018.99863425926</v>
      </c>
      <c r="T1398" s="4">
        <f t="shared" si="129"/>
        <v>42048.99863425926</v>
      </c>
      <c r="U1398" s="5">
        <f>VLOOKUP(currency,Tables!$A$1:$C$14,3,FALSE)*pledged</f>
        <v>6438</v>
      </c>
    </row>
    <row r="1399" spans="1:21" ht="43.2" x14ac:dyDescent="0.55000000000000004">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16">
        <f t="shared" si="127"/>
        <v>72.056962025316452</v>
      </c>
      <c r="Q1399" t="str">
        <f t="shared" si="130"/>
        <v>music</v>
      </c>
      <c r="R1399" t="str">
        <f t="shared" si="131"/>
        <v>rock</v>
      </c>
      <c r="S1399" s="4">
        <f t="shared" si="128"/>
        <v>42640.917939814812</v>
      </c>
      <c r="T1399" s="4">
        <f t="shared" si="129"/>
        <v>42670.888194444444</v>
      </c>
      <c r="U1399" s="5">
        <f>VLOOKUP(currency,Tables!$A$1:$C$14,3,FALSE)*pledged</f>
        <v>11385</v>
      </c>
    </row>
    <row r="1400" spans="1:21" ht="43.2" x14ac:dyDescent="0.55000000000000004">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16">
        <f t="shared" si="127"/>
        <v>74.246153846153845</v>
      </c>
      <c r="Q1400" t="str">
        <f t="shared" si="130"/>
        <v>music</v>
      </c>
      <c r="R1400" t="str">
        <f t="shared" si="131"/>
        <v>rock</v>
      </c>
      <c r="S1400" s="4">
        <f t="shared" si="128"/>
        <v>42526.874236111107</v>
      </c>
      <c r="T1400" s="4">
        <f t="shared" si="129"/>
        <v>42556.874236111107</v>
      </c>
      <c r="U1400" s="5">
        <f>VLOOKUP(currency,Tables!$A$1:$C$14,3,FALSE)*pledged</f>
        <v>4826</v>
      </c>
    </row>
    <row r="1401" spans="1:21" ht="43.2" x14ac:dyDescent="0.55000000000000004">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16">
        <f t="shared" si="127"/>
        <v>61.701086956521742</v>
      </c>
      <c r="Q1401" t="str">
        <f t="shared" si="130"/>
        <v>music</v>
      </c>
      <c r="R1401" t="str">
        <f t="shared" si="131"/>
        <v>rock</v>
      </c>
      <c r="S1401" s="4">
        <f t="shared" si="128"/>
        <v>41889.004317129627</v>
      </c>
      <c r="T1401" s="4">
        <f t="shared" si="129"/>
        <v>41919.004317129627</v>
      </c>
      <c r="U1401" s="5">
        <f>VLOOKUP(currency,Tables!$A$1:$C$14,3,FALSE)*pledged</f>
        <v>11353</v>
      </c>
    </row>
    <row r="1402" spans="1:21" ht="43.2" x14ac:dyDescent="0.55000000000000004">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16">
        <f t="shared" si="127"/>
        <v>17.235294117647058</v>
      </c>
      <c r="Q1402" t="str">
        <f t="shared" si="130"/>
        <v>music</v>
      </c>
      <c r="R1402" t="str">
        <f t="shared" si="131"/>
        <v>rock</v>
      </c>
      <c r="S1402" s="4">
        <f t="shared" si="128"/>
        <v>42498.341122685189</v>
      </c>
      <c r="T1402" s="4">
        <f t="shared" si="129"/>
        <v>42533.229166666672</v>
      </c>
      <c r="U1402" s="5">
        <f>VLOOKUP(currency,Tables!$A$1:$C$14,3,FALSE)*pledged</f>
        <v>773.52</v>
      </c>
    </row>
    <row r="1403" spans="1:21" ht="43.2" x14ac:dyDescent="0.55000000000000004">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16">
        <f t="shared" si="127"/>
        <v>51.720833333333331</v>
      </c>
      <c r="Q1403" t="str">
        <f t="shared" si="130"/>
        <v>music</v>
      </c>
      <c r="R1403" t="str">
        <f t="shared" si="131"/>
        <v>rock</v>
      </c>
      <c r="S1403" s="4">
        <f t="shared" si="128"/>
        <v>41399.99622685185</v>
      </c>
      <c r="T1403" s="4">
        <f t="shared" si="129"/>
        <v>41420.99622685185</v>
      </c>
      <c r="U1403" s="5">
        <f>VLOOKUP(currency,Tables!$A$1:$C$14,3,FALSE)*pledged</f>
        <v>12413</v>
      </c>
    </row>
    <row r="1404" spans="1:21" ht="43.2" x14ac:dyDescent="0.55000000000000004">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16">
        <f t="shared" si="127"/>
        <v>24.150442477876105</v>
      </c>
      <c r="Q1404" t="str">
        <f t="shared" si="130"/>
        <v>music</v>
      </c>
      <c r="R1404" t="str">
        <f t="shared" si="131"/>
        <v>rock</v>
      </c>
      <c r="S1404" s="4">
        <f t="shared" si="128"/>
        <v>42065.053368055553</v>
      </c>
      <c r="T1404" s="4">
        <f t="shared" si="129"/>
        <v>42125.011701388896</v>
      </c>
      <c r="U1404" s="5">
        <f>VLOOKUP(currency,Tables!$A$1:$C$14,3,FALSE)*pledged</f>
        <v>3602.28</v>
      </c>
    </row>
    <row r="1405" spans="1:21" ht="43.2" x14ac:dyDescent="0.55000000000000004">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16">
        <f t="shared" si="127"/>
        <v>62.166666666666664</v>
      </c>
      <c r="Q1405" t="str">
        <f t="shared" si="130"/>
        <v>music</v>
      </c>
      <c r="R1405" t="str">
        <f t="shared" si="131"/>
        <v>rock</v>
      </c>
      <c r="S1405" s="4">
        <f t="shared" si="128"/>
        <v>41451.062905092593</v>
      </c>
      <c r="T1405" s="4">
        <f t="shared" si="129"/>
        <v>41481.062905092593</v>
      </c>
      <c r="U1405" s="5">
        <f>VLOOKUP(currency,Tables!$A$1:$C$14,3,FALSE)*pledged</f>
        <v>4103</v>
      </c>
    </row>
    <row r="1406" spans="1:21" ht="43.2" x14ac:dyDescent="0.55000000000000004">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16">
        <f t="shared" si="127"/>
        <v>48.2</v>
      </c>
      <c r="Q1406" t="str">
        <f t="shared" si="130"/>
        <v>publishing</v>
      </c>
      <c r="R1406" t="str">
        <f t="shared" si="131"/>
        <v>translations</v>
      </c>
      <c r="S1406" s="4">
        <f t="shared" si="128"/>
        <v>42032.510243055556</v>
      </c>
      <c r="T1406" s="4">
        <f t="shared" si="129"/>
        <v>42057.510243055556</v>
      </c>
      <c r="U1406" s="5">
        <f>VLOOKUP(currency,Tables!$A$1:$C$14,3,FALSE)*pledged</f>
        <v>318.12</v>
      </c>
    </row>
    <row r="1407" spans="1:21" ht="28.8" x14ac:dyDescent="0.55000000000000004">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16">
        <f t="shared" si="127"/>
        <v>6.1764705882352944</v>
      </c>
      <c r="Q1407" t="str">
        <f t="shared" si="130"/>
        <v>publishing</v>
      </c>
      <c r="R1407" t="str">
        <f t="shared" si="131"/>
        <v>translations</v>
      </c>
      <c r="S1407" s="4">
        <f t="shared" si="128"/>
        <v>41941.680567129632</v>
      </c>
      <c r="T1407" s="4">
        <f t="shared" si="129"/>
        <v>41971.722233796296</v>
      </c>
      <c r="U1407" s="5">
        <f>VLOOKUP(currency,Tables!$A$1:$C$14,3,FALSE)*pledged</f>
        <v>105</v>
      </c>
    </row>
    <row r="1408" spans="1:21" x14ac:dyDescent="0.55000000000000004">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126"/>
        <v>1.25E-3</v>
      </c>
      <c r="P1408" s="16">
        <f t="shared" si="127"/>
        <v>5</v>
      </c>
      <c r="Q1408" t="str">
        <f t="shared" si="130"/>
        <v>publishing</v>
      </c>
      <c r="R1408" t="str">
        <f t="shared" si="131"/>
        <v>translations</v>
      </c>
      <c r="S1408" s="4">
        <f t="shared" si="128"/>
        <v>42297.432951388888</v>
      </c>
      <c r="T1408" s="4">
        <f t="shared" si="129"/>
        <v>42350.416666666672</v>
      </c>
      <c r="U1408" s="5">
        <f>VLOOKUP(currency,Tables!$A$1:$C$14,3,FALSE)*pledged</f>
        <v>17.7</v>
      </c>
    </row>
    <row r="1409" spans="1:21" ht="43.2" x14ac:dyDescent="0.55000000000000004">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16">
        <f t="shared" si="127"/>
        <v>7.5</v>
      </c>
      <c r="Q1409" t="str">
        <f t="shared" si="130"/>
        <v>publishing</v>
      </c>
      <c r="R1409" t="str">
        <f t="shared" si="131"/>
        <v>translations</v>
      </c>
      <c r="S1409" s="4">
        <f t="shared" si="128"/>
        <v>41838.536782407406</v>
      </c>
      <c r="T1409" s="4">
        <f t="shared" si="129"/>
        <v>41863.536782407406</v>
      </c>
      <c r="U1409" s="5">
        <f>VLOOKUP(currency,Tables!$A$1:$C$14,3,FALSE)*pledged</f>
        <v>15</v>
      </c>
    </row>
    <row r="1410" spans="1:21" ht="43.2" x14ac:dyDescent="0.55000000000000004">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ref="O1410:O1473" si="132">pledged/goal</f>
        <v>7.1999999999999995E-2</v>
      </c>
      <c r="P1410" s="16">
        <f t="shared" ref="P1410:P1473" si="133">IF(pledged=0,0,pledged/backers_count)</f>
        <v>12</v>
      </c>
      <c r="Q1410" t="str">
        <f t="shared" si="130"/>
        <v>publishing</v>
      </c>
      <c r="R1410" t="str">
        <f t="shared" si="131"/>
        <v>translations</v>
      </c>
      <c r="S1410" s="4">
        <f t="shared" ref="S1410:S1473" si="134">(((Unix_launched_date/60)/60)/24)+DATE(1970,1,1)</f>
        <v>42291.872175925921</v>
      </c>
      <c r="T1410" s="4">
        <f t="shared" ref="T1410:T1473" si="135">(((Unix_deadline/60)/60)/24)+DATE(1970,1,1)</f>
        <v>42321.913842592592</v>
      </c>
      <c r="U1410" s="5">
        <f>VLOOKUP(currency,Tables!$A$1:$C$14,3,FALSE)*pledged</f>
        <v>95.04</v>
      </c>
    </row>
    <row r="1411" spans="1:21" ht="43.2" x14ac:dyDescent="0.55000000000000004">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si="132"/>
        <v>0</v>
      </c>
      <c r="P1411" s="16">
        <f t="shared" si="133"/>
        <v>0</v>
      </c>
      <c r="Q1411" t="str">
        <f t="shared" ref="Q1411:Q1474" si="136">LEFT(N1411,FIND("/",N1411,1)-1)</f>
        <v>publishing</v>
      </c>
      <c r="R1411" t="str">
        <f t="shared" ref="R1411:R1474" si="137">RIGHT(N1411,(LEN(N1411)-FIND("/",N1411,1)))</f>
        <v>translations</v>
      </c>
      <c r="S1411" s="4">
        <f t="shared" si="134"/>
        <v>41945.133506944447</v>
      </c>
      <c r="T1411" s="4">
        <f t="shared" si="135"/>
        <v>42005.175173611111</v>
      </c>
      <c r="U1411" s="5">
        <f>VLOOKUP(currency,Tables!$A$1:$C$14,3,FALSE)*pledged</f>
        <v>0</v>
      </c>
    </row>
    <row r="1412" spans="1:21" ht="43.2" x14ac:dyDescent="0.55000000000000004">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16">
        <f t="shared" si="133"/>
        <v>1</v>
      </c>
      <c r="Q1412" t="str">
        <f t="shared" si="136"/>
        <v>publishing</v>
      </c>
      <c r="R1412" t="str">
        <f t="shared" si="137"/>
        <v>translations</v>
      </c>
      <c r="S1412" s="4">
        <f t="shared" si="134"/>
        <v>42479.318518518514</v>
      </c>
      <c r="T1412" s="4">
        <f t="shared" si="135"/>
        <v>42524.318518518514</v>
      </c>
      <c r="U1412" s="5">
        <f>VLOOKUP(currency,Tables!$A$1:$C$14,3,FALSE)*pledged</f>
        <v>1.18</v>
      </c>
    </row>
    <row r="1413" spans="1:21" ht="43.2" x14ac:dyDescent="0.55000000000000004">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16">
        <f t="shared" si="133"/>
        <v>2.3333333333333335</v>
      </c>
      <c r="Q1413" t="str">
        <f t="shared" si="136"/>
        <v>publishing</v>
      </c>
      <c r="R1413" t="str">
        <f t="shared" si="137"/>
        <v>translations</v>
      </c>
      <c r="S1413" s="4">
        <f t="shared" si="134"/>
        <v>42013.059027777781</v>
      </c>
      <c r="T1413" s="4">
        <f t="shared" si="135"/>
        <v>42041.059027777781</v>
      </c>
      <c r="U1413" s="5">
        <f>VLOOKUP(currency,Tables!$A$1:$C$14,3,FALSE)*pledged</f>
        <v>9.24</v>
      </c>
    </row>
    <row r="1414" spans="1:21" ht="28.8" x14ac:dyDescent="0.55000000000000004">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16">
        <f t="shared" si="133"/>
        <v>24.615384615384617</v>
      </c>
      <c r="Q1414" t="str">
        <f t="shared" si="136"/>
        <v>publishing</v>
      </c>
      <c r="R1414" t="str">
        <f t="shared" si="137"/>
        <v>translations</v>
      </c>
      <c r="S1414" s="4">
        <f t="shared" si="134"/>
        <v>41947.063645833332</v>
      </c>
      <c r="T1414" s="4">
        <f t="shared" si="135"/>
        <v>41977.063645833332</v>
      </c>
      <c r="U1414" s="5">
        <f>VLOOKUP(currency,Tables!$A$1:$C$14,3,FALSE)*pledged</f>
        <v>320</v>
      </c>
    </row>
    <row r="1415" spans="1:21" ht="57.6" x14ac:dyDescent="0.55000000000000004">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132"/>
        <v>0.05</v>
      </c>
      <c r="P1415" s="16">
        <f t="shared" si="133"/>
        <v>100</v>
      </c>
      <c r="Q1415" t="str">
        <f t="shared" si="136"/>
        <v>publishing</v>
      </c>
      <c r="R1415" t="str">
        <f t="shared" si="137"/>
        <v>translations</v>
      </c>
      <c r="S1415" s="4">
        <f t="shared" si="134"/>
        <v>42360.437152777777</v>
      </c>
      <c r="T1415" s="4">
        <f t="shared" si="135"/>
        <v>42420.437152777777</v>
      </c>
      <c r="U1415" s="5">
        <f>VLOOKUP(currency,Tables!$A$1:$C$14,3,FALSE)*pledged</f>
        <v>118</v>
      </c>
    </row>
    <row r="1416" spans="1:21" ht="43.2" x14ac:dyDescent="0.55000000000000004">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132"/>
        <v>2E-3</v>
      </c>
      <c r="P1416" s="16">
        <f t="shared" si="133"/>
        <v>1</v>
      </c>
      <c r="Q1416" t="str">
        <f t="shared" si="136"/>
        <v>publishing</v>
      </c>
      <c r="R1416" t="str">
        <f t="shared" si="137"/>
        <v>translations</v>
      </c>
      <c r="S1416" s="4">
        <f t="shared" si="134"/>
        <v>42708.25309027778</v>
      </c>
      <c r="T1416" s="4">
        <f t="shared" si="135"/>
        <v>42738.25309027778</v>
      </c>
      <c r="U1416" s="5">
        <f>VLOOKUP(currency,Tables!$A$1:$C$14,3,FALSE)*pledged</f>
        <v>1</v>
      </c>
    </row>
    <row r="1417" spans="1:21" ht="43.2" x14ac:dyDescent="0.55000000000000004">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16">
        <f t="shared" si="133"/>
        <v>88.888888888888886</v>
      </c>
      <c r="Q1417" t="str">
        <f t="shared" si="136"/>
        <v>publishing</v>
      </c>
      <c r="R1417" t="str">
        <f t="shared" si="137"/>
        <v>translations</v>
      </c>
      <c r="S1417" s="4">
        <f t="shared" si="134"/>
        <v>42192.675821759258</v>
      </c>
      <c r="T1417" s="4">
        <f t="shared" si="135"/>
        <v>42232.675821759258</v>
      </c>
      <c r="U1417" s="5">
        <f>VLOOKUP(currency,Tables!$A$1:$C$14,3,FALSE)*pledged</f>
        <v>800</v>
      </c>
    </row>
    <row r="1418" spans="1:21" ht="43.2" x14ac:dyDescent="0.55000000000000004">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132"/>
        <v>0</v>
      </c>
      <c r="P1418" s="16">
        <f t="shared" si="133"/>
        <v>0</v>
      </c>
      <c r="Q1418" t="str">
        <f t="shared" si="136"/>
        <v>publishing</v>
      </c>
      <c r="R1418" t="str">
        <f t="shared" si="137"/>
        <v>translations</v>
      </c>
      <c r="S1418" s="4">
        <f t="shared" si="134"/>
        <v>42299.926145833335</v>
      </c>
      <c r="T1418" s="4">
        <f t="shared" si="135"/>
        <v>42329.967812499999</v>
      </c>
      <c r="U1418" s="5">
        <f>VLOOKUP(currency,Tables!$A$1:$C$14,3,FALSE)*pledged</f>
        <v>0</v>
      </c>
    </row>
    <row r="1419" spans="1:21" ht="43.2" x14ac:dyDescent="0.55000000000000004">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16">
        <f t="shared" si="133"/>
        <v>27.5</v>
      </c>
      <c r="Q1419" t="str">
        <f t="shared" si="136"/>
        <v>publishing</v>
      </c>
      <c r="R1419" t="str">
        <f t="shared" si="137"/>
        <v>translations</v>
      </c>
      <c r="S1419" s="4">
        <f t="shared" si="134"/>
        <v>42232.15016203704</v>
      </c>
      <c r="T1419" s="4">
        <f t="shared" si="135"/>
        <v>42262.465972222228</v>
      </c>
      <c r="U1419" s="5">
        <f>VLOOKUP(currency,Tables!$A$1:$C$14,3,FALSE)*pledged</f>
        <v>55</v>
      </c>
    </row>
    <row r="1420" spans="1:21" ht="57.6" x14ac:dyDescent="0.55000000000000004">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132"/>
        <v>2E-3</v>
      </c>
      <c r="P1420" s="16">
        <f t="shared" si="133"/>
        <v>6</v>
      </c>
      <c r="Q1420" t="str">
        <f t="shared" si="136"/>
        <v>publishing</v>
      </c>
      <c r="R1420" t="str">
        <f t="shared" si="137"/>
        <v>translations</v>
      </c>
      <c r="S1420" s="4">
        <f t="shared" si="134"/>
        <v>42395.456412037034</v>
      </c>
      <c r="T1420" s="4">
        <f t="shared" si="135"/>
        <v>42425.456412037034</v>
      </c>
      <c r="U1420" s="5">
        <f>VLOOKUP(currency,Tables!$A$1:$C$14,3,FALSE)*pledged</f>
        <v>7.08</v>
      </c>
    </row>
    <row r="1421" spans="1:21" ht="43.2" x14ac:dyDescent="0.55000000000000004">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16">
        <f t="shared" si="133"/>
        <v>44.5</v>
      </c>
      <c r="Q1421" t="str">
        <f t="shared" si="136"/>
        <v>publishing</v>
      </c>
      <c r="R1421" t="str">
        <f t="shared" si="137"/>
        <v>translations</v>
      </c>
      <c r="S1421" s="4">
        <f t="shared" si="134"/>
        <v>42622.456238425926</v>
      </c>
      <c r="T1421" s="4">
        <f t="shared" si="135"/>
        <v>42652.456238425926</v>
      </c>
      <c r="U1421" s="5">
        <f>VLOOKUP(currency,Tables!$A$1:$C$14,3,FALSE)*pledged</f>
        <v>445</v>
      </c>
    </row>
    <row r="1422" spans="1:21" ht="28.8" x14ac:dyDescent="0.55000000000000004">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16">
        <f t="shared" si="133"/>
        <v>1</v>
      </c>
      <c r="Q1422" t="str">
        <f t="shared" si="136"/>
        <v>publishing</v>
      </c>
      <c r="R1422" t="str">
        <f t="shared" si="137"/>
        <v>translations</v>
      </c>
      <c r="S1422" s="4">
        <f t="shared" si="134"/>
        <v>42524.667662037042</v>
      </c>
      <c r="T1422" s="4">
        <f t="shared" si="135"/>
        <v>42549.667662037042</v>
      </c>
      <c r="U1422" s="5">
        <f>VLOOKUP(currency,Tables!$A$1:$C$14,3,FALSE)*pledged</f>
        <v>3</v>
      </c>
    </row>
    <row r="1423" spans="1:21" ht="43.2" x14ac:dyDescent="0.55000000000000004">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132"/>
        <v>1E-3</v>
      </c>
      <c r="P1423" s="16">
        <f t="shared" si="133"/>
        <v>100</v>
      </c>
      <c r="Q1423" t="str">
        <f t="shared" si="136"/>
        <v>publishing</v>
      </c>
      <c r="R1423" t="str">
        <f t="shared" si="137"/>
        <v>translations</v>
      </c>
      <c r="S1423" s="4">
        <f t="shared" si="134"/>
        <v>42013.915613425925</v>
      </c>
      <c r="T1423" s="4">
        <f t="shared" si="135"/>
        <v>42043.915613425925</v>
      </c>
      <c r="U1423" s="5">
        <f>VLOOKUP(currency,Tables!$A$1:$C$14,3,FALSE)*pledged</f>
        <v>22</v>
      </c>
    </row>
    <row r="1424" spans="1:21" ht="43.2" x14ac:dyDescent="0.55000000000000004">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16">
        <f t="shared" si="133"/>
        <v>13</v>
      </c>
      <c r="Q1424" t="str">
        <f t="shared" si="136"/>
        <v>publishing</v>
      </c>
      <c r="R1424" t="str">
        <f t="shared" si="137"/>
        <v>translations</v>
      </c>
      <c r="S1424" s="4">
        <f t="shared" si="134"/>
        <v>42604.239629629628</v>
      </c>
      <c r="T1424" s="4">
        <f t="shared" si="135"/>
        <v>42634.239629629628</v>
      </c>
      <c r="U1424" s="5">
        <f>VLOOKUP(currency,Tables!$A$1:$C$14,3,FALSE)*pledged</f>
        <v>17.420000000000002</v>
      </c>
    </row>
    <row r="1425" spans="1:21" ht="43.2" x14ac:dyDescent="0.55000000000000004">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16">
        <f t="shared" si="133"/>
        <v>100</v>
      </c>
      <c r="Q1425" t="str">
        <f t="shared" si="136"/>
        <v>publishing</v>
      </c>
      <c r="R1425" t="str">
        <f t="shared" si="137"/>
        <v>translations</v>
      </c>
      <c r="S1425" s="4">
        <f t="shared" si="134"/>
        <v>42340.360312500001</v>
      </c>
      <c r="T1425" s="4">
        <f t="shared" si="135"/>
        <v>42370.360312500001</v>
      </c>
      <c r="U1425" s="5">
        <f>VLOOKUP(currency,Tables!$A$1:$C$14,3,FALSE)*pledged</f>
        <v>73</v>
      </c>
    </row>
    <row r="1426" spans="1:21" ht="43.2" x14ac:dyDescent="0.55000000000000004">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16">
        <f t="shared" si="133"/>
        <v>109.07142857142857</v>
      </c>
      <c r="Q1426" t="str">
        <f t="shared" si="136"/>
        <v>publishing</v>
      </c>
      <c r="R1426" t="str">
        <f t="shared" si="137"/>
        <v>translations</v>
      </c>
      <c r="S1426" s="4">
        <f t="shared" si="134"/>
        <v>42676.717615740738</v>
      </c>
      <c r="T1426" s="4">
        <f t="shared" si="135"/>
        <v>42689.759282407409</v>
      </c>
      <c r="U1426" s="5">
        <f>VLOOKUP(currency,Tables!$A$1:$C$14,3,FALSE)*pledged</f>
        <v>1527</v>
      </c>
    </row>
    <row r="1427" spans="1:21" ht="43.2" x14ac:dyDescent="0.55000000000000004">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132"/>
        <v>0</v>
      </c>
      <c r="P1427" s="16">
        <f t="shared" si="133"/>
        <v>0</v>
      </c>
      <c r="Q1427" t="str">
        <f t="shared" si="136"/>
        <v>publishing</v>
      </c>
      <c r="R1427" t="str">
        <f t="shared" si="137"/>
        <v>translations</v>
      </c>
      <c r="S1427" s="4">
        <f t="shared" si="134"/>
        <v>42093.131469907406</v>
      </c>
      <c r="T1427" s="4">
        <f t="shared" si="135"/>
        <v>42123.131469907406</v>
      </c>
      <c r="U1427" s="5">
        <f>VLOOKUP(currency,Tables!$A$1:$C$14,3,FALSE)*pledged</f>
        <v>0</v>
      </c>
    </row>
    <row r="1428" spans="1:21" ht="43.2" x14ac:dyDescent="0.55000000000000004">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132"/>
        <v>0</v>
      </c>
      <c r="P1428" s="16">
        <f t="shared" si="133"/>
        <v>0</v>
      </c>
      <c r="Q1428" t="str">
        <f t="shared" si="136"/>
        <v>publishing</v>
      </c>
      <c r="R1428" t="str">
        <f t="shared" si="137"/>
        <v>translations</v>
      </c>
      <c r="S1428" s="4">
        <f t="shared" si="134"/>
        <v>42180.390277777777</v>
      </c>
      <c r="T1428" s="4">
        <f t="shared" si="135"/>
        <v>42240.390277777777</v>
      </c>
      <c r="U1428" s="5">
        <f>VLOOKUP(currency,Tables!$A$1:$C$14,3,FALSE)*pledged</f>
        <v>0</v>
      </c>
    </row>
    <row r="1429" spans="1:21" ht="43.2" x14ac:dyDescent="0.55000000000000004">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16">
        <f t="shared" si="133"/>
        <v>104.75</v>
      </c>
      <c r="Q1429" t="str">
        <f t="shared" si="136"/>
        <v>publishing</v>
      </c>
      <c r="R1429" t="str">
        <f t="shared" si="137"/>
        <v>translations</v>
      </c>
      <c r="S1429" s="4">
        <f t="shared" si="134"/>
        <v>42601.851678240739</v>
      </c>
      <c r="T1429" s="4">
        <f t="shared" si="135"/>
        <v>42631.851678240739</v>
      </c>
      <c r="U1429" s="5">
        <f>VLOOKUP(currency,Tables!$A$1:$C$14,3,FALSE)*pledged</f>
        <v>494.41999999999996</v>
      </c>
    </row>
    <row r="1430" spans="1:21" ht="43.2" x14ac:dyDescent="0.55000000000000004">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16">
        <f t="shared" si="133"/>
        <v>15</v>
      </c>
      <c r="Q1430" t="str">
        <f t="shared" si="136"/>
        <v>publishing</v>
      </c>
      <c r="R1430" t="str">
        <f t="shared" si="137"/>
        <v>translations</v>
      </c>
      <c r="S1430" s="4">
        <f t="shared" si="134"/>
        <v>42432.379826388889</v>
      </c>
      <c r="T1430" s="4">
        <f t="shared" si="135"/>
        <v>42462.338159722218</v>
      </c>
      <c r="U1430" s="5">
        <f>VLOOKUP(currency,Tables!$A$1:$C$14,3,FALSE)*pledged</f>
        <v>53.099999999999994</v>
      </c>
    </row>
    <row r="1431" spans="1:21" ht="43.2" x14ac:dyDescent="0.55000000000000004">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132"/>
        <v>0</v>
      </c>
      <c r="P1431" s="16">
        <f t="shared" si="133"/>
        <v>0</v>
      </c>
      <c r="Q1431" t="str">
        <f t="shared" si="136"/>
        <v>publishing</v>
      </c>
      <c r="R1431" t="str">
        <f t="shared" si="137"/>
        <v>translations</v>
      </c>
      <c r="S1431" s="4">
        <f t="shared" si="134"/>
        <v>42074.060671296291</v>
      </c>
      <c r="T1431" s="4">
        <f t="shared" si="135"/>
        <v>42104.060671296291</v>
      </c>
      <c r="U1431" s="5">
        <f>VLOOKUP(currency,Tables!$A$1:$C$14,3,FALSE)*pledged</f>
        <v>0</v>
      </c>
    </row>
    <row r="1432" spans="1:21" ht="43.2" x14ac:dyDescent="0.55000000000000004">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16">
        <f t="shared" si="133"/>
        <v>80.599999999999994</v>
      </c>
      <c r="Q1432" t="str">
        <f t="shared" si="136"/>
        <v>publishing</v>
      </c>
      <c r="R1432" t="str">
        <f t="shared" si="137"/>
        <v>translations</v>
      </c>
      <c r="S1432" s="4">
        <f t="shared" si="134"/>
        <v>41961.813518518517</v>
      </c>
      <c r="T1432" s="4">
        <f t="shared" si="135"/>
        <v>41992.813518518517</v>
      </c>
      <c r="U1432" s="5">
        <f>VLOOKUP(currency,Tables!$A$1:$C$14,3,FALSE)*pledged</f>
        <v>403</v>
      </c>
    </row>
    <row r="1433" spans="1:21" ht="43.2" x14ac:dyDescent="0.55000000000000004">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16">
        <f t="shared" si="133"/>
        <v>115.55319148936171</v>
      </c>
      <c r="Q1433" t="str">
        <f t="shared" si="136"/>
        <v>publishing</v>
      </c>
      <c r="R1433" t="str">
        <f t="shared" si="137"/>
        <v>translations</v>
      </c>
      <c r="S1433" s="4">
        <f t="shared" si="134"/>
        <v>42304.210833333331</v>
      </c>
      <c r="T1433" s="4">
        <f t="shared" si="135"/>
        <v>42334.252500000002</v>
      </c>
      <c r="U1433" s="5">
        <f>VLOOKUP(currency,Tables!$A$1:$C$14,3,FALSE)*pledged</f>
        <v>5431</v>
      </c>
    </row>
    <row r="1434" spans="1:21" ht="43.2" x14ac:dyDescent="0.55000000000000004">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132"/>
        <v>0</v>
      </c>
      <c r="P1434" s="16">
        <f t="shared" si="133"/>
        <v>0</v>
      </c>
      <c r="Q1434" t="str">
        <f t="shared" si="136"/>
        <v>publishing</v>
      </c>
      <c r="R1434" t="str">
        <f t="shared" si="137"/>
        <v>translations</v>
      </c>
      <c r="S1434" s="4">
        <f t="shared" si="134"/>
        <v>42175.780416666668</v>
      </c>
      <c r="T1434" s="4">
        <f t="shared" si="135"/>
        <v>42205.780416666668</v>
      </c>
      <c r="U1434" s="5">
        <f>VLOOKUP(currency,Tables!$A$1:$C$14,3,FALSE)*pledged</f>
        <v>0</v>
      </c>
    </row>
    <row r="1435" spans="1:21" ht="43.2" x14ac:dyDescent="0.55000000000000004">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16">
        <f t="shared" si="133"/>
        <v>80.5</v>
      </c>
      <c r="Q1435" t="str">
        <f t="shared" si="136"/>
        <v>publishing</v>
      </c>
      <c r="R1435" t="str">
        <f t="shared" si="137"/>
        <v>translations</v>
      </c>
      <c r="S1435" s="4">
        <f t="shared" si="134"/>
        <v>42673.625868055555</v>
      </c>
      <c r="T1435" s="4">
        <f t="shared" si="135"/>
        <v>42714.458333333328</v>
      </c>
      <c r="U1435" s="5">
        <f>VLOOKUP(currency,Tables!$A$1:$C$14,3,FALSE)*pledged</f>
        <v>949.9</v>
      </c>
    </row>
    <row r="1436" spans="1:21" ht="43.2" x14ac:dyDescent="0.55000000000000004">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16">
        <f t="shared" si="133"/>
        <v>744.5454545454545</v>
      </c>
      <c r="Q1436" t="str">
        <f t="shared" si="136"/>
        <v>publishing</v>
      </c>
      <c r="R1436" t="str">
        <f t="shared" si="137"/>
        <v>translations</v>
      </c>
      <c r="S1436" s="4">
        <f t="shared" si="134"/>
        <v>42142.767106481479</v>
      </c>
      <c r="T1436" s="4">
        <f t="shared" si="135"/>
        <v>42163.625</v>
      </c>
      <c r="U1436" s="5">
        <f>VLOOKUP(currency,Tables!$A$1:$C$14,3,FALSE)*pledged</f>
        <v>1310.4000000000001</v>
      </c>
    </row>
    <row r="1437" spans="1:21" ht="28.8" x14ac:dyDescent="0.55000000000000004">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132"/>
        <v>1E-3</v>
      </c>
      <c r="P1437" s="16">
        <f t="shared" si="133"/>
        <v>7.5</v>
      </c>
      <c r="Q1437" t="str">
        <f t="shared" si="136"/>
        <v>publishing</v>
      </c>
      <c r="R1437" t="str">
        <f t="shared" si="137"/>
        <v>translations</v>
      </c>
      <c r="S1437" s="4">
        <f t="shared" si="134"/>
        <v>42258.780324074076</v>
      </c>
      <c r="T1437" s="4">
        <f t="shared" si="135"/>
        <v>42288.780324074076</v>
      </c>
      <c r="U1437" s="5">
        <f>VLOOKUP(currency,Tables!$A$1:$C$14,3,FALSE)*pledged</f>
        <v>17.7</v>
      </c>
    </row>
    <row r="1438" spans="1:21" ht="43.2" x14ac:dyDescent="0.55000000000000004">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16">
        <f t="shared" si="133"/>
        <v>38.5</v>
      </c>
      <c r="Q1438" t="str">
        <f t="shared" si="136"/>
        <v>publishing</v>
      </c>
      <c r="R1438" t="str">
        <f t="shared" si="137"/>
        <v>translations</v>
      </c>
      <c r="S1438" s="4">
        <f t="shared" si="134"/>
        <v>42391.35019675926</v>
      </c>
      <c r="T1438" s="4">
        <f t="shared" si="135"/>
        <v>42421.35019675926</v>
      </c>
      <c r="U1438" s="5">
        <f>VLOOKUP(currency,Tables!$A$1:$C$14,3,FALSE)*pledged</f>
        <v>90.86</v>
      </c>
    </row>
    <row r="1439" spans="1:21" ht="57.6" x14ac:dyDescent="0.55000000000000004">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16">
        <f t="shared" si="133"/>
        <v>36.68181818181818</v>
      </c>
      <c r="Q1439" t="str">
        <f t="shared" si="136"/>
        <v>publishing</v>
      </c>
      <c r="R1439" t="str">
        <f t="shared" si="137"/>
        <v>translations</v>
      </c>
      <c r="S1439" s="4">
        <f t="shared" si="134"/>
        <v>41796.531701388885</v>
      </c>
      <c r="T1439" s="4">
        <f t="shared" si="135"/>
        <v>41833.207638888889</v>
      </c>
      <c r="U1439" s="5">
        <f>VLOOKUP(currency,Tables!$A$1:$C$14,3,FALSE)*pledged</f>
        <v>807</v>
      </c>
    </row>
    <row r="1440" spans="1:21" ht="43.2" x14ac:dyDescent="0.55000000000000004">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132"/>
        <v>0.03</v>
      </c>
      <c r="P1440" s="16">
        <f t="shared" si="133"/>
        <v>75</v>
      </c>
      <c r="Q1440" t="str">
        <f t="shared" si="136"/>
        <v>publishing</v>
      </c>
      <c r="R1440" t="str">
        <f t="shared" si="137"/>
        <v>translations</v>
      </c>
      <c r="S1440" s="4">
        <f t="shared" si="134"/>
        <v>42457.871516203704</v>
      </c>
      <c r="T1440" s="4">
        <f t="shared" si="135"/>
        <v>42487.579861111109</v>
      </c>
      <c r="U1440" s="5">
        <f>VLOOKUP(currency,Tables!$A$1:$C$14,3,FALSE)*pledged</f>
        <v>96</v>
      </c>
    </row>
    <row r="1441" spans="1:21" ht="43.2" x14ac:dyDescent="0.55000000000000004">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16">
        <f t="shared" si="133"/>
        <v>30</v>
      </c>
      <c r="Q1441" t="str">
        <f t="shared" si="136"/>
        <v>publishing</v>
      </c>
      <c r="R1441" t="str">
        <f t="shared" si="137"/>
        <v>translations</v>
      </c>
      <c r="S1441" s="4">
        <f t="shared" si="134"/>
        <v>42040.829872685179</v>
      </c>
      <c r="T1441" s="4">
        <f t="shared" si="135"/>
        <v>42070.829872685179</v>
      </c>
      <c r="U1441" s="5">
        <f>VLOOKUP(currency,Tables!$A$1:$C$14,3,FALSE)*pledged</f>
        <v>136.80000000000001</v>
      </c>
    </row>
    <row r="1442" spans="1:21" ht="43.2" x14ac:dyDescent="0.55000000000000004">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16">
        <f t="shared" si="133"/>
        <v>1</v>
      </c>
      <c r="Q1442" t="str">
        <f t="shared" si="136"/>
        <v>publishing</v>
      </c>
      <c r="R1442" t="str">
        <f t="shared" si="137"/>
        <v>translations</v>
      </c>
      <c r="S1442" s="4">
        <f t="shared" si="134"/>
        <v>42486.748414351852</v>
      </c>
      <c r="T1442" s="4">
        <f t="shared" si="135"/>
        <v>42516.748414351852</v>
      </c>
      <c r="U1442" s="5">
        <f>VLOOKUP(currency,Tables!$A$1:$C$14,3,FALSE)*pledged</f>
        <v>1.18</v>
      </c>
    </row>
    <row r="1443" spans="1:21" ht="43.2" x14ac:dyDescent="0.55000000000000004">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16">
        <f t="shared" si="133"/>
        <v>673.33333333333337</v>
      </c>
      <c r="Q1443" t="str">
        <f t="shared" si="136"/>
        <v>publishing</v>
      </c>
      <c r="R1443" t="str">
        <f t="shared" si="137"/>
        <v>translations</v>
      </c>
      <c r="S1443" s="4">
        <f t="shared" si="134"/>
        <v>42198.765844907408</v>
      </c>
      <c r="T1443" s="4">
        <f t="shared" si="135"/>
        <v>42258.765844907408</v>
      </c>
      <c r="U1443" s="5">
        <f>VLOOKUP(currency,Tables!$A$1:$C$14,3,FALSE)*pledged</f>
        <v>2666.4</v>
      </c>
    </row>
    <row r="1444" spans="1:21" ht="43.2" x14ac:dyDescent="0.55000000000000004">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132"/>
        <v>0</v>
      </c>
      <c r="P1444" s="16">
        <f t="shared" si="133"/>
        <v>0</v>
      </c>
      <c r="Q1444" t="str">
        <f t="shared" si="136"/>
        <v>publishing</v>
      </c>
      <c r="R1444" t="str">
        <f t="shared" si="137"/>
        <v>translations</v>
      </c>
      <c r="S1444" s="4">
        <f t="shared" si="134"/>
        <v>42485.64534722222</v>
      </c>
      <c r="T1444" s="4">
        <f t="shared" si="135"/>
        <v>42515.64534722222</v>
      </c>
      <c r="U1444" s="5">
        <f>VLOOKUP(currency,Tables!$A$1:$C$14,3,FALSE)*pledged</f>
        <v>0</v>
      </c>
    </row>
    <row r="1445" spans="1:21" ht="43.2" x14ac:dyDescent="0.55000000000000004">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132"/>
        <v>0</v>
      </c>
      <c r="P1445" s="16">
        <f t="shared" si="133"/>
        <v>0</v>
      </c>
      <c r="Q1445" t="str">
        <f t="shared" si="136"/>
        <v>publishing</v>
      </c>
      <c r="R1445" t="str">
        <f t="shared" si="137"/>
        <v>translations</v>
      </c>
      <c r="S1445" s="4">
        <f t="shared" si="134"/>
        <v>42707.926030092596</v>
      </c>
      <c r="T1445" s="4">
        <f t="shared" si="135"/>
        <v>42737.926030092596</v>
      </c>
      <c r="U1445" s="5">
        <f>VLOOKUP(currency,Tables!$A$1:$C$14,3,FALSE)*pledged</f>
        <v>0</v>
      </c>
    </row>
    <row r="1446" spans="1:21" ht="43.2" x14ac:dyDescent="0.55000000000000004">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132"/>
        <v>0</v>
      </c>
      <c r="P1446" s="16">
        <f t="shared" si="133"/>
        <v>0</v>
      </c>
      <c r="Q1446" t="str">
        <f t="shared" si="136"/>
        <v>publishing</v>
      </c>
      <c r="R1446" t="str">
        <f t="shared" si="137"/>
        <v>translations</v>
      </c>
      <c r="S1446" s="4">
        <f t="shared" si="134"/>
        <v>42199.873402777783</v>
      </c>
      <c r="T1446" s="4">
        <f t="shared" si="135"/>
        <v>42259.873402777783</v>
      </c>
      <c r="U1446" s="5">
        <f>VLOOKUP(currency,Tables!$A$1:$C$14,3,FALSE)*pledged</f>
        <v>0</v>
      </c>
    </row>
    <row r="1447" spans="1:21" ht="43.2" x14ac:dyDescent="0.55000000000000004">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132"/>
        <v>0</v>
      </c>
      <c r="P1447" s="16">
        <f t="shared" si="133"/>
        <v>0</v>
      </c>
      <c r="Q1447" t="str">
        <f t="shared" si="136"/>
        <v>publishing</v>
      </c>
      <c r="R1447" t="str">
        <f t="shared" si="137"/>
        <v>translations</v>
      </c>
      <c r="S1447" s="4">
        <f t="shared" si="134"/>
        <v>42139.542303240742</v>
      </c>
      <c r="T1447" s="4">
        <f t="shared" si="135"/>
        <v>42169.542303240742</v>
      </c>
      <c r="U1447" s="5">
        <f>VLOOKUP(currency,Tables!$A$1:$C$14,3,FALSE)*pledged</f>
        <v>0</v>
      </c>
    </row>
    <row r="1448" spans="1:21" ht="43.2" x14ac:dyDescent="0.55000000000000004">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132"/>
        <v>0</v>
      </c>
      <c r="P1448" s="16">
        <f t="shared" si="133"/>
        <v>0</v>
      </c>
      <c r="Q1448" t="str">
        <f t="shared" si="136"/>
        <v>publishing</v>
      </c>
      <c r="R1448" t="str">
        <f t="shared" si="137"/>
        <v>translations</v>
      </c>
      <c r="S1448" s="4">
        <f t="shared" si="134"/>
        <v>42461.447662037041</v>
      </c>
      <c r="T1448" s="4">
        <f t="shared" si="135"/>
        <v>42481.447662037041</v>
      </c>
      <c r="U1448" s="5">
        <f>VLOOKUP(currency,Tables!$A$1:$C$14,3,FALSE)*pledged</f>
        <v>0</v>
      </c>
    </row>
    <row r="1449" spans="1:21" ht="28.8" x14ac:dyDescent="0.55000000000000004">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16">
        <f t="shared" si="133"/>
        <v>25</v>
      </c>
      <c r="Q1449" t="str">
        <f t="shared" si="136"/>
        <v>publishing</v>
      </c>
      <c r="R1449" t="str">
        <f t="shared" si="137"/>
        <v>translations</v>
      </c>
      <c r="S1449" s="4">
        <f t="shared" si="134"/>
        <v>42529.730717592596</v>
      </c>
      <c r="T1449" s="4">
        <f t="shared" si="135"/>
        <v>42559.730717592596</v>
      </c>
      <c r="U1449" s="5">
        <f>VLOOKUP(currency,Tables!$A$1:$C$14,3,FALSE)*pledged</f>
        <v>75</v>
      </c>
    </row>
    <row r="1450" spans="1:21" ht="43.2" x14ac:dyDescent="0.55000000000000004">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132"/>
        <v>0</v>
      </c>
      <c r="P1450" s="16">
        <f t="shared" si="133"/>
        <v>0</v>
      </c>
      <c r="Q1450" t="str">
        <f t="shared" si="136"/>
        <v>publishing</v>
      </c>
      <c r="R1450" t="str">
        <f t="shared" si="137"/>
        <v>translations</v>
      </c>
      <c r="S1450" s="4">
        <f t="shared" si="134"/>
        <v>42115.936550925922</v>
      </c>
      <c r="T1450" s="4">
        <f t="shared" si="135"/>
        <v>42146.225694444445</v>
      </c>
      <c r="U1450" s="5">
        <f>VLOOKUP(currency,Tables!$A$1:$C$14,3,FALSE)*pledged</f>
        <v>0</v>
      </c>
    </row>
    <row r="1451" spans="1:21" ht="43.2" x14ac:dyDescent="0.55000000000000004">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132"/>
        <v>0</v>
      </c>
      <c r="P1451" s="16">
        <f t="shared" si="133"/>
        <v>0</v>
      </c>
      <c r="Q1451" t="str">
        <f t="shared" si="136"/>
        <v>publishing</v>
      </c>
      <c r="R1451" t="str">
        <f t="shared" si="137"/>
        <v>translations</v>
      </c>
      <c r="S1451" s="4">
        <f t="shared" si="134"/>
        <v>42086.811400462961</v>
      </c>
      <c r="T1451" s="4">
        <f t="shared" si="135"/>
        <v>42134.811400462961</v>
      </c>
      <c r="U1451" s="5">
        <f>VLOOKUP(currency,Tables!$A$1:$C$14,3,FALSE)*pledged</f>
        <v>0</v>
      </c>
    </row>
    <row r="1452" spans="1:21" ht="43.2" x14ac:dyDescent="0.55000000000000004">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16">
        <f t="shared" si="133"/>
        <v>1</v>
      </c>
      <c r="Q1452" t="str">
        <f t="shared" si="136"/>
        <v>publishing</v>
      </c>
      <c r="R1452" t="str">
        <f t="shared" si="137"/>
        <v>translations</v>
      </c>
      <c r="S1452" s="4">
        <f t="shared" si="134"/>
        <v>42390.171261574069</v>
      </c>
      <c r="T1452" s="4">
        <f t="shared" si="135"/>
        <v>42420.171261574069</v>
      </c>
      <c r="U1452" s="5">
        <f>VLOOKUP(currency,Tables!$A$1:$C$14,3,FALSE)*pledged</f>
        <v>1</v>
      </c>
    </row>
    <row r="1453" spans="1:21" ht="28.8" x14ac:dyDescent="0.55000000000000004">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16">
        <f t="shared" si="133"/>
        <v>1</v>
      </c>
      <c r="Q1453" t="str">
        <f t="shared" si="136"/>
        <v>publishing</v>
      </c>
      <c r="R1453" t="str">
        <f t="shared" si="137"/>
        <v>translations</v>
      </c>
      <c r="S1453" s="4">
        <f t="shared" si="134"/>
        <v>41931.959016203706</v>
      </c>
      <c r="T1453" s="4">
        <f t="shared" si="135"/>
        <v>41962.00068287037</v>
      </c>
      <c r="U1453" s="5">
        <f>VLOOKUP(currency,Tables!$A$1:$C$14,3,FALSE)*pledged</f>
        <v>2</v>
      </c>
    </row>
    <row r="1454" spans="1:21" ht="28.8" x14ac:dyDescent="0.55000000000000004">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132"/>
        <v>0</v>
      </c>
      <c r="P1454" s="16">
        <f t="shared" si="133"/>
        <v>0</v>
      </c>
      <c r="Q1454" t="str">
        <f t="shared" si="136"/>
        <v>publishing</v>
      </c>
      <c r="R1454" t="str">
        <f t="shared" si="137"/>
        <v>translations</v>
      </c>
      <c r="S1454" s="4">
        <f t="shared" si="134"/>
        <v>41818.703275462962</v>
      </c>
      <c r="T1454" s="4">
        <f t="shared" si="135"/>
        <v>41848.703275462962</v>
      </c>
      <c r="U1454" s="5">
        <f>VLOOKUP(currency,Tables!$A$1:$C$14,3,FALSE)*pledged</f>
        <v>0</v>
      </c>
    </row>
    <row r="1455" spans="1:21" ht="43.2" x14ac:dyDescent="0.55000000000000004">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132"/>
        <v>0</v>
      </c>
      <c r="P1455" s="16">
        <f t="shared" si="133"/>
        <v>0</v>
      </c>
      <c r="Q1455" t="str">
        <f t="shared" si="136"/>
        <v>publishing</v>
      </c>
      <c r="R1455" t="str">
        <f t="shared" si="137"/>
        <v>translations</v>
      </c>
      <c r="S1455" s="4">
        <f t="shared" si="134"/>
        <v>42795.696145833332</v>
      </c>
      <c r="T1455" s="4">
        <f t="shared" si="135"/>
        <v>42840.654479166667</v>
      </c>
      <c r="U1455" s="5">
        <f>VLOOKUP(currency,Tables!$A$1:$C$14,3,FALSE)*pledged</f>
        <v>0</v>
      </c>
    </row>
    <row r="1456" spans="1:21" ht="43.2" x14ac:dyDescent="0.55000000000000004">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16">
        <f t="shared" si="133"/>
        <v>15</v>
      </c>
      <c r="Q1456" t="str">
        <f t="shared" si="136"/>
        <v>publishing</v>
      </c>
      <c r="R1456" t="str">
        <f t="shared" si="137"/>
        <v>translations</v>
      </c>
      <c r="S1456" s="4">
        <f t="shared" si="134"/>
        <v>42463.866666666669</v>
      </c>
      <c r="T1456" s="4">
        <f t="shared" si="135"/>
        <v>42484.915972222225</v>
      </c>
      <c r="U1456" s="5">
        <f>VLOOKUP(currency,Tables!$A$1:$C$14,3,FALSE)*pledged</f>
        <v>17.7</v>
      </c>
    </row>
    <row r="1457" spans="1:21" ht="43.2" x14ac:dyDescent="0.55000000000000004">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16">
        <f t="shared" si="133"/>
        <v>225</v>
      </c>
      <c r="Q1457" t="str">
        <f t="shared" si="136"/>
        <v>publishing</v>
      </c>
      <c r="R1457" t="str">
        <f t="shared" si="137"/>
        <v>translations</v>
      </c>
      <c r="S1457" s="4">
        <f t="shared" si="134"/>
        <v>41832.672685185185</v>
      </c>
      <c r="T1457" s="4">
        <f t="shared" si="135"/>
        <v>41887.568749999999</v>
      </c>
      <c r="U1457" s="5">
        <f>VLOOKUP(currency,Tables!$A$1:$C$14,3,FALSE)*pledged</f>
        <v>1575</v>
      </c>
    </row>
    <row r="1458" spans="1:21" x14ac:dyDescent="0.55000000000000004">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16">
        <f t="shared" si="133"/>
        <v>48.333333333333336</v>
      </c>
      <c r="Q1458" t="str">
        <f t="shared" si="136"/>
        <v>publishing</v>
      </c>
      <c r="R1458" t="str">
        <f t="shared" si="137"/>
        <v>translations</v>
      </c>
      <c r="S1458" s="4">
        <f t="shared" si="134"/>
        <v>42708.668576388889</v>
      </c>
      <c r="T1458" s="4">
        <f t="shared" si="135"/>
        <v>42738.668576388889</v>
      </c>
      <c r="U1458" s="5">
        <f>VLOOKUP(currency,Tables!$A$1:$C$14,3,FALSE)*pledged</f>
        <v>171.1</v>
      </c>
    </row>
    <row r="1459" spans="1:21" ht="28.8" x14ac:dyDescent="0.55000000000000004">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132"/>
        <v>0</v>
      </c>
      <c r="P1459" s="16">
        <f t="shared" si="133"/>
        <v>0</v>
      </c>
      <c r="Q1459" t="str">
        <f t="shared" si="136"/>
        <v>publishing</v>
      </c>
      <c r="R1459" t="str">
        <f t="shared" si="137"/>
        <v>translations</v>
      </c>
      <c r="S1459" s="4">
        <f t="shared" si="134"/>
        <v>42289.89634259259</v>
      </c>
      <c r="T1459" s="4">
        <f t="shared" si="135"/>
        <v>42319.938009259262</v>
      </c>
      <c r="U1459" s="5">
        <f>VLOOKUP(currency,Tables!$A$1:$C$14,3,FALSE)*pledged</f>
        <v>0</v>
      </c>
    </row>
    <row r="1460" spans="1:21" ht="43.2" x14ac:dyDescent="0.55000000000000004">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132"/>
        <v>0</v>
      </c>
      <c r="P1460" s="16">
        <f t="shared" si="133"/>
        <v>0</v>
      </c>
      <c r="Q1460" t="str">
        <f t="shared" si="136"/>
        <v>publishing</v>
      </c>
      <c r="R1460" t="str">
        <f t="shared" si="137"/>
        <v>translations</v>
      </c>
      <c r="S1460" s="4">
        <f t="shared" si="134"/>
        <v>41831.705555555556</v>
      </c>
      <c r="T1460" s="4">
        <f t="shared" si="135"/>
        <v>41862.166666666664</v>
      </c>
      <c r="U1460" s="5">
        <f>VLOOKUP(currency,Tables!$A$1:$C$14,3,FALSE)*pledged</f>
        <v>0</v>
      </c>
    </row>
    <row r="1461" spans="1:21" ht="43.2" x14ac:dyDescent="0.55000000000000004">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132"/>
        <v>0</v>
      </c>
      <c r="P1461" s="16">
        <f t="shared" si="133"/>
        <v>0</v>
      </c>
      <c r="Q1461" t="str">
        <f t="shared" si="136"/>
        <v>publishing</v>
      </c>
      <c r="R1461" t="str">
        <f t="shared" si="137"/>
        <v>translations</v>
      </c>
      <c r="S1461" s="4">
        <f t="shared" si="134"/>
        <v>42312.204814814817</v>
      </c>
      <c r="T1461" s="4">
        <f t="shared" si="135"/>
        <v>42340.725694444445</v>
      </c>
      <c r="U1461" s="5">
        <f>VLOOKUP(currency,Tables!$A$1:$C$14,3,FALSE)*pledged</f>
        <v>0</v>
      </c>
    </row>
    <row r="1462" spans="1:21" ht="43.2" x14ac:dyDescent="0.55000000000000004">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132"/>
        <v>0</v>
      </c>
      <c r="P1462" s="16">
        <f t="shared" si="133"/>
        <v>0</v>
      </c>
      <c r="Q1462" t="str">
        <f t="shared" si="136"/>
        <v>publishing</v>
      </c>
      <c r="R1462" t="str">
        <f t="shared" si="137"/>
        <v>translations</v>
      </c>
      <c r="S1462" s="4">
        <f t="shared" si="134"/>
        <v>41915.896967592591</v>
      </c>
      <c r="T1462" s="4">
        <f t="shared" si="135"/>
        <v>41973.989583333328</v>
      </c>
      <c r="U1462" s="5">
        <f>VLOOKUP(currency,Tables!$A$1:$C$14,3,FALSE)*pledged</f>
        <v>0</v>
      </c>
    </row>
    <row r="1463" spans="1:21" ht="28.8" x14ac:dyDescent="0.55000000000000004">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16">
        <f t="shared" si="133"/>
        <v>44.66673529411765</v>
      </c>
      <c r="Q1463" t="str">
        <f t="shared" si="136"/>
        <v>publishing</v>
      </c>
      <c r="R1463" t="str">
        <f t="shared" si="137"/>
        <v>radio &amp; podcasts</v>
      </c>
      <c r="S1463" s="4">
        <f t="shared" si="134"/>
        <v>41899.645300925928</v>
      </c>
      <c r="T1463" s="4">
        <f t="shared" si="135"/>
        <v>41933</v>
      </c>
      <c r="U1463" s="5">
        <f>VLOOKUP(currency,Tables!$A$1:$C$14,3,FALSE)*pledged</f>
        <v>15186.69</v>
      </c>
    </row>
    <row r="1464" spans="1:21" ht="28.8" x14ac:dyDescent="0.55000000000000004">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16">
        <f t="shared" si="133"/>
        <v>28.937999999999999</v>
      </c>
      <c r="Q1464" t="str">
        <f t="shared" si="136"/>
        <v>publishing</v>
      </c>
      <c r="R1464" t="str">
        <f t="shared" si="137"/>
        <v>radio &amp; podcasts</v>
      </c>
      <c r="S1464" s="4">
        <f t="shared" si="134"/>
        <v>41344.662858796299</v>
      </c>
      <c r="T1464" s="4">
        <f t="shared" si="135"/>
        <v>41374.662858796299</v>
      </c>
      <c r="U1464" s="5">
        <f>VLOOKUP(currency,Tables!$A$1:$C$14,3,FALSE)*pledged</f>
        <v>4340.7</v>
      </c>
    </row>
    <row r="1465" spans="1:21" ht="43.2" x14ac:dyDescent="0.55000000000000004">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16">
        <f t="shared" si="133"/>
        <v>35.44</v>
      </c>
      <c r="Q1465" t="str">
        <f t="shared" si="136"/>
        <v>publishing</v>
      </c>
      <c r="R1465" t="str">
        <f t="shared" si="137"/>
        <v>radio &amp; podcasts</v>
      </c>
      <c r="S1465" s="4">
        <f t="shared" si="134"/>
        <v>41326.911319444444</v>
      </c>
      <c r="T1465" s="4">
        <f t="shared" si="135"/>
        <v>41371.869652777779</v>
      </c>
      <c r="U1465" s="5">
        <f>VLOOKUP(currency,Tables!$A$1:$C$14,3,FALSE)*pledged</f>
        <v>886</v>
      </c>
    </row>
    <row r="1466" spans="1:21" x14ac:dyDescent="0.55000000000000004">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16">
        <f t="shared" si="133"/>
        <v>34.871794871794869</v>
      </c>
      <c r="Q1466" t="str">
        <f t="shared" si="136"/>
        <v>publishing</v>
      </c>
      <c r="R1466" t="str">
        <f t="shared" si="137"/>
        <v>radio &amp; podcasts</v>
      </c>
      <c r="S1466" s="4">
        <f t="shared" si="134"/>
        <v>41291.661550925928</v>
      </c>
      <c r="T1466" s="4">
        <f t="shared" si="135"/>
        <v>41321.661550925928</v>
      </c>
      <c r="U1466" s="5">
        <f>VLOOKUP(currency,Tables!$A$1:$C$14,3,FALSE)*pledged</f>
        <v>8160</v>
      </c>
    </row>
    <row r="1467" spans="1:21" ht="43.2" x14ac:dyDescent="0.55000000000000004">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16">
        <f t="shared" si="133"/>
        <v>52.622732513451197</v>
      </c>
      <c r="Q1467" t="str">
        <f t="shared" si="136"/>
        <v>publishing</v>
      </c>
      <c r="R1467" t="str">
        <f t="shared" si="137"/>
        <v>radio &amp; podcasts</v>
      </c>
      <c r="S1467" s="4">
        <f t="shared" si="134"/>
        <v>40959.734398148146</v>
      </c>
      <c r="T1467" s="4">
        <f t="shared" si="135"/>
        <v>40990.125</v>
      </c>
      <c r="U1467" s="5">
        <f>VLOOKUP(currency,Tables!$A$1:$C$14,3,FALSE)*pledged</f>
        <v>136924.35</v>
      </c>
    </row>
    <row r="1468" spans="1:21" ht="43.2" x14ac:dyDescent="0.55000000000000004">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16">
        <f t="shared" si="133"/>
        <v>69.598266129032254</v>
      </c>
      <c r="Q1468" t="str">
        <f t="shared" si="136"/>
        <v>publishing</v>
      </c>
      <c r="R1468" t="str">
        <f t="shared" si="137"/>
        <v>radio &amp; podcasts</v>
      </c>
      <c r="S1468" s="4">
        <f t="shared" si="134"/>
        <v>42340.172060185185</v>
      </c>
      <c r="T1468" s="4">
        <f t="shared" si="135"/>
        <v>42381.208333333328</v>
      </c>
      <c r="U1468" s="5">
        <f>VLOOKUP(currency,Tables!$A$1:$C$14,3,FALSE)*pledged</f>
        <v>17260.37</v>
      </c>
    </row>
    <row r="1469" spans="1:21" ht="28.8" x14ac:dyDescent="0.55000000000000004">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16">
        <f t="shared" si="133"/>
        <v>76.72</v>
      </c>
      <c r="Q1469" t="str">
        <f t="shared" si="136"/>
        <v>publishing</v>
      </c>
      <c r="R1469" t="str">
        <f t="shared" si="137"/>
        <v>radio &amp; podcasts</v>
      </c>
      <c r="S1469" s="4">
        <f t="shared" si="134"/>
        <v>40933.80190972222</v>
      </c>
      <c r="T1469" s="4">
        <f t="shared" si="135"/>
        <v>40993.760243055556</v>
      </c>
      <c r="U1469" s="5">
        <f>VLOOKUP(currency,Tables!$A$1:$C$14,3,FALSE)*pledged</f>
        <v>46032</v>
      </c>
    </row>
    <row r="1470" spans="1:21" ht="43.2" x14ac:dyDescent="0.55000000000000004">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16">
        <f t="shared" si="133"/>
        <v>33.191126279863482</v>
      </c>
      <c r="Q1470" t="str">
        <f t="shared" si="136"/>
        <v>publishing</v>
      </c>
      <c r="R1470" t="str">
        <f t="shared" si="137"/>
        <v>radio &amp; podcasts</v>
      </c>
      <c r="S1470" s="4">
        <f t="shared" si="134"/>
        <v>40646.014456018522</v>
      </c>
      <c r="T1470" s="4">
        <f t="shared" si="135"/>
        <v>40706.014456018522</v>
      </c>
      <c r="U1470" s="5">
        <f>VLOOKUP(currency,Tables!$A$1:$C$14,3,FALSE)*pledged</f>
        <v>9725</v>
      </c>
    </row>
    <row r="1471" spans="1:21" ht="28.8" x14ac:dyDescent="0.55000000000000004">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16">
        <f t="shared" si="133"/>
        <v>149.46417445482865</v>
      </c>
      <c r="Q1471" t="str">
        <f t="shared" si="136"/>
        <v>publishing</v>
      </c>
      <c r="R1471" t="str">
        <f t="shared" si="137"/>
        <v>radio &amp; podcasts</v>
      </c>
      <c r="S1471" s="4">
        <f t="shared" si="134"/>
        <v>41290.598483796297</v>
      </c>
      <c r="T1471" s="4">
        <f t="shared" si="135"/>
        <v>41320.598483796297</v>
      </c>
      <c r="U1471" s="5">
        <f>VLOOKUP(currency,Tables!$A$1:$C$14,3,FALSE)*pledged</f>
        <v>47978</v>
      </c>
    </row>
    <row r="1472" spans="1:21" ht="43.2" x14ac:dyDescent="0.55000000000000004">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16">
        <f t="shared" si="133"/>
        <v>23.172839506172838</v>
      </c>
      <c r="Q1472" t="str">
        <f t="shared" si="136"/>
        <v>publishing</v>
      </c>
      <c r="R1472" t="str">
        <f t="shared" si="137"/>
        <v>radio &amp; podcasts</v>
      </c>
      <c r="S1472" s="4">
        <f t="shared" si="134"/>
        <v>41250.827118055553</v>
      </c>
      <c r="T1472" s="4">
        <f t="shared" si="135"/>
        <v>41271.827118055553</v>
      </c>
      <c r="U1472" s="5">
        <f>VLOOKUP(currency,Tables!$A$1:$C$14,3,FALSE)*pledged</f>
        <v>1877</v>
      </c>
    </row>
    <row r="1473" spans="1:21" ht="43.2" x14ac:dyDescent="0.55000000000000004">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16">
        <f t="shared" si="133"/>
        <v>96.877551020408163</v>
      </c>
      <c r="Q1473" t="str">
        <f t="shared" si="136"/>
        <v>publishing</v>
      </c>
      <c r="R1473" t="str">
        <f t="shared" si="137"/>
        <v>radio &amp; podcasts</v>
      </c>
      <c r="S1473" s="4">
        <f t="shared" si="134"/>
        <v>42073.957569444443</v>
      </c>
      <c r="T1473" s="4">
        <f t="shared" si="135"/>
        <v>42103.957569444443</v>
      </c>
      <c r="U1473" s="5">
        <f>VLOOKUP(currency,Tables!$A$1:$C$14,3,FALSE)*pledged</f>
        <v>33229</v>
      </c>
    </row>
    <row r="1474" spans="1:21" ht="43.2" x14ac:dyDescent="0.55000000000000004">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ref="O1474:O1537" si="138">pledged/goal</f>
        <v>1.3870400000000001</v>
      </c>
      <c r="P1474" s="16">
        <f t="shared" ref="P1474:P1537" si="139">IF(pledged=0,0,pledged/backers_count)</f>
        <v>103.20238095238095</v>
      </c>
      <c r="Q1474" t="str">
        <f t="shared" si="136"/>
        <v>publishing</v>
      </c>
      <c r="R1474" t="str">
        <f t="shared" si="137"/>
        <v>radio &amp; podcasts</v>
      </c>
      <c r="S1474" s="4">
        <f t="shared" ref="S1474:S1537" si="140">(((Unix_launched_date/60)/60)/24)+DATE(1970,1,1)</f>
        <v>41533.542858796296</v>
      </c>
      <c r="T1474" s="4">
        <f t="shared" ref="T1474:T1537" si="141">(((Unix_deadline/60)/60)/24)+DATE(1970,1,1)</f>
        <v>41563.542858796296</v>
      </c>
      <c r="U1474" s="5">
        <f>VLOOKUP(currency,Tables!$A$1:$C$14,3,FALSE)*pledged</f>
        <v>34676</v>
      </c>
    </row>
    <row r="1475" spans="1:21" x14ac:dyDescent="0.55000000000000004">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si="138"/>
        <v>1.20516</v>
      </c>
      <c r="P1475" s="16">
        <f t="shared" si="139"/>
        <v>38.462553191489363</v>
      </c>
      <c r="Q1475" t="str">
        <f t="shared" ref="Q1475:Q1538" si="142">LEFT(N1475,FIND("/",N1475,1)-1)</f>
        <v>publishing</v>
      </c>
      <c r="R1475" t="str">
        <f t="shared" ref="R1475:R1538" si="143">RIGHT(N1475,(LEN(N1475)-FIND("/",N1475,1)))</f>
        <v>radio &amp; podcasts</v>
      </c>
      <c r="S1475" s="4">
        <f t="shared" si="140"/>
        <v>40939.979618055557</v>
      </c>
      <c r="T1475" s="4">
        <f t="shared" si="141"/>
        <v>40969.979618055557</v>
      </c>
      <c r="U1475" s="5">
        <f>VLOOKUP(currency,Tables!$A$1:$C$14,3,FALSE)*pledged</f>
        <v>1807.74</v>
      </c>
    </row>
    <row r="1476" spans="1:21" ht="43.2" x14ac:dyDescent="0.55000000000000004">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16">
        <f t="shared" si="139"/>
        <v>44.315789473684212</v>
      </c>
      <c r="Q1476" t="str">
        <f t="shared" si="142"/>
        <v>publishing</v>
      </c>
      <c r="R1476" t="str">
        <f t="shared" si="143"/>
        <v>radio &amp; podcasts</v>
      </c>
      <c r="S1476" s="4">
        <f t="shared" si="140"/>
        <v>41500.727916666663</v>
      </c>
      <c r="T1476" s="4">
        <f t="shared" si="141"/>
        <v>41530.727916666663</v>
      </c>
      <c r="U1476" s="5">
        <f>VLOOKUP(currency,Tables!$A$1:$C$14,3,FALSE)*pledged</f>
        <v>3368</v>
      </c>
    </row>
    <row r="1477" spans="1:21" ht="43.2" x14ac:dyDescent="0.55000000000000004">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16">
        <f t="shared" si="139"/>
        <v>64.173356009070289</v>
      </c>
      <c r="Q1477" t="str">
        <f t="shared" si="142"/>
        <v>publishing</v>
      </c>
      <c r="R1477" t="str">
        <f t="shared" si="143"/>
        <v>radio &amp; podcasts</v>
      </c>
      <c r="S1477" s="4">
        <f t="shared" si="140"/>
        <v>41960.722951388889</v>
      </c>
      <c r="T1477" s="4">
        <f t="shared" si="141"/>
        <v>41993.207638888889</v>
      </c>
      <c r="U1477" s="5">
        <f>VLOOKUP(currency,Tables!$A$1:$C$14,3,FALSE)*pledged</f>
        <v>28300.45</v>
      </c>
    </row>
    <row r="1478" spans="1:21" ht="28.8" x14ac:dyDescent="0.55000000000000004">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16">
        <f t="shared" si="139"/>
        <v>43.333275109170302</v>
      </c>
      <c r="Q1478" t="str">
        <f t="shared" si="142"/>
        <v>publishing</v>
      </c>
      <c r="R1478" t="str">
        <f t="shared" si="143"/>
        <v>radio &amp; podcasts</v>
      </c>
      <c r="S1478" s="4">
        <f t="shared" si="140"/>
        <v>40766.041921296295</v>
      </c>
      <c r="T1478" s="4">
        <f t="shared" si="141"/>
        <v>40796.041921296295</v>
      </c>
      <c r="U1478" s="5">
        <f>VLOOKUP(currency,Tables!$A$1:$C$14,3,FALSE)*pledged</f>
        <v>39693.279999999999</v>
      </c>
    </row>
    <row r="1479" spans="1:21" ht="43.2" x14ac:dyDescent="0.55000000000000004">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16">
        <f t="shared" si="139"/>
        <v>90.495934959349597</v>
      </c>
      <c r="Q1479" t="str">
        <f t="shared" si="142"/>
        <v>publishing</v>
      </c>
      <c r="R1479" t="str">
        <f t="shared" si="143"/>
        <v>radio &amp; podcasts</v>
      </c>
      <c r="S1479" s="4">
        <f t="shared" si="140"/>
        <v>40840.615787037037</v>
      </c>
      <c r="T1479" s="4">
        <f t="shared" si="141"/>
        <v>40900.125</v>
      </c>
      <c r="U1479" s="5">
        <f>VLOOKUP(currency,Tables!$A$1:$C$14,3,FALSE)*pledged</f>
        <v>33393</v>
      </c>
    </row>
    <row r="1480" spans="1:21" ht="43.2" x14ac:dyDescent="0.55000000000000004">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16">
        <f t="shared" si="139"/>
        <v>29.187190495010373</v>
      </c>
      <c r="Q1480" t="str">
        <f t="shared" si="142"/>
        <v>publishing</v>
      </c>
      <c r="R1480" t="str">
        <f t="shared" si="143"/>
        <v>radio &amp; podcasts</v>
      </c>
      <c r="S1480" s="4">
        <f t="shared" si="140"/>
        <v>41394.871678240743</v>
      </c>
      <c r="T1480" s="4">
        <f t="shared" si="141"/>
        <v>41408.871678240743</v>
      </c>
      <c r="U1480" s="5">
        <f>VLOOKUP(currency,Tables!$A$1:$C$14,3,FALSE)*pledged</f>
        <v>590807.11</v>
      </c>
    </row>
    <row r="1481" spans="1:21" ht="43.2" x14ac:dyDescent="0.55000000000000004">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16">
        <f t="shared" si="139"/>
        <v>30.95774647887324</v>
      </c>
      <c r="Q1481" t="str">
        <f t="shared" si="142"/>
        <v>publishing</v>
      </c>
      <c r="R1481" t="str">
        <f t="shared" si="143"/>
        <v>radio &amp; podcasts</v>
      </c>
      <c r="S1481" s="4">
        <f t="shared" si="140"/>
        <v>41754.745243055557</v>
      </c>
      <c r="T1481" s="4">
        <f t="shared" si="141"/>
        <v>41769.165972222225</v>
      </c>
      <c r="U1481" s="5">
        <f>VLOOKUP(currency,Tables!$A$1:$C$14,3,FALSE)*pledged</f>
        <v>2198</v>
      </c>
    </row>
    <row r="1482" spans="1:21" ht="43.2" x14ac:dyDescent="0.55000000000000004">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16">
        <f t="shared" si="139"/>
        <v>92.157795275590544</v>
      </c>
      <c r="Q1482" t="str">
        <f t="shared" si="142"/>
        <v>publishing</v>
      </c>
      <c r="R1482" t="str">
        <f t="shared" si="143"/>
        <v>radio &amp; podcasts</v>
      </c>
      <c r="S1482" s="4">
        <f t="shared" si="140"/>
        <v>41464.934016203704</v>
      </c>
      <c r="T1482" s="4">
        <f t="shared" si="141"/>
        <v>41481.708333333336</v>
      </c>
      <c r="U1482" s="5">
        <f>VLOOKUP(currency,Tables!$A$1:$C$14,3,FALSE)*pledged</f>
        <v>58520.2</v>
      </c>
    </row>
    <row r="1483" spans="1:21" ht="43.2" x14ac:dyDescent="0.55000000000000004">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16">
        <f t="shared" si="139"/>
        <v>17.5</v>
      </c>
      <c r="Q1483" t="str">
        <f t="shared" si="142"/>
        <v>publishing</v>
      </c>
      <c r="R1483" t="str">
        <f t="shared" si="143"/>
        <v>fiction</v>
      </c>
      <c r="S1483" s="4">
        <f t="shared" si="140"/>
        <v>41550.922974537039</v>
      </c>
      <c r="T1483" s="4">
        <f t="shared" si="141"/>
        <v>41580.922974537039</v>
      </c>
      <c r="U1483" s="5">
        <f>VLOOKUP(currency,Tables!$A$1:$C$14,3,FALSE)*pledged</f>
        <v>79.8</v>
      </c>
    </row>
    <row r="1484" spans="1:21" ht="43.2" x14ac:dyDescent="0.55000000000000004">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138"/>
        <v>1E-3</v>
      </c>
      <c r="P1484" s="16">
        <f t="shared" si="139"/>
        <v>5</v>
      </c>
      <c r="Q1484" t="str">
        <f t="shared" si="142"/>
        <v>publishing</v>
      </c>
      <c r="R1484" t="str">
        <f t="shared" si="143"/>
        <v>fiction</v>
      </c>
      <c r="S1484" s="4">
        <f t="shared" si="140"/>
        <v>41136.85805555556</v>
      </c>
      <c r="T1484" s="4">
        <f t="shared" si="141"/>
        <v>41159.32708333333</v>
      </c>
      <c r="U1484" s="5">
        <f>VLOOKUP(currency,Tables!$A$1:$C$14,3,FALSE)*pledged</f>
        <v>5</v>
      </c>
    </row>
    <row r="1485" spans="1:21" ht="43.2" x14ac:dyDescent="0.55000000000000004">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16">
        <f t="shared" si="139"/>
        <v>25</v>
      </c>
      <c r="Q1485" t="str">
        <f t="shared" si="142"/>
        <v>publishing</v>
      </c>
      <c r="R1485" t="str">
        <f t="shared" si="143"/>
        <v>fiction</v>
      </c>
      <c r="S1485" s="4">
        <f t="shared" si="140"/>
        <v>42548.192997685182</v>
      </c>
      <c r="T1485" s="4">
        <f t="shared" si="141"/>
        <v>42573.192997685182</v>
      </c>
      <c r="U1485" s="5">
        <f>VLOOKUP(currency,Tables!$A$1:$C$14,3,FALSE)*pledged</f>
        <v>50</v>
      </c>
    </row>
    <row r="1486" spans="1:21" x14ac:dyDescent="0.55000000000000004">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138"/>
        <v>0</v>
      </c>
      <c r="P1486" s="16">
        <f t="shared" si="139"/>
        <v>0</v>
      </c>
      <c r="Q1486" t="str">
        <f t="shared" si="142"/>
        <v>publishing</v>
      </c>
      <c r="R1486" t="str">
        <f t="shared" si="143"/>
        <v>fiction</v>
      </c>
      <c r="S1486" s="4">
        <f t="shared" si="140"/>
        <v>41053.200960648144</v>
      </c>
      <c r="T1486" s="4">
        <f t="shared" si="141"/>
        <v>41111.618750000001</v>
      </c>
      <c r="U1486" s="5">
        <f>VLOOKUP(currency,Tables!$A$1:$C$14,3,FALSE)*pledged</f>
        <v>0</v>
      </c>
    </row>
    <row r="1487" spans="1:21" ht="43.2" x14ac:dyDescent="0.55000000000000004">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16">
        <f t="shared" si="139"/>
        <v>50</v>
      </c>
      <c r="Q1487" t="str">
        <f t="shared" si="142"/>
        <v>publishing</v>
      </c>
      <c r="R1487" t="str">
        <f t="shared" si="143"/>
        <v>fiction</v>
      </c>
      <c r="S1487" s="4">
        <f t="shared" si="140"/>
        <v>42130.795983796299</v>
      </c>
      <c r="T1487" s="4">
        <f t="shared" si="141"/>
        <v>42175.795983796299</v>
      </c>
      <c r="U1487" s="5">
        <f>VLOOKUP(currency,Tables!$A$1:$C$14,3,FALSE)*pledged</f>
        <v>150</v>
      </c>
    </row>
    <row r="1488" spans="1:21" ht="43.2" x14ac:dyDescent="0.55000000000000004">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16">
        <f t="shared" si="139"/>
        <v>16</v>
      </c>
      <c r="Q1488" t="str">
        <f t="shared" si="142"/>
        <v>publishing</v>
      </c>
      <c r="R1488" t="str">
        <f t="shared" si="143"/>
        <v>fiction</v>
      </c>
      <c r="S1488" s="4">
        <f t="shared" si="140"/>
        <v>42032.168530092589</v>
      </c>
      <c r="T1488" s="4">
        <f t="shared" si="141"/>
        <v>42062.168530092589</v>
      </c>
      <c r="U1488" s="5">
        <f>VLOOKUP(currency,Tables!$A$1:$C$14,3,FALSE)*pledged</f>
        <v>48</v>
      </c>
    </row>
    <row r="1489" spans="1:21" ht="43.2" x14ac:dyDescent="0.55000000000000004">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138"/>
        <v>0</v>
      </c>
      <c r="P1489" s="16">
        <f t="shared" si="139"/>
        <v>0</v>
      </c>
      <c r="Q1489" t="str">
        <f t="shared" si="142"/>
        <v>publishing</v>
      </c>
      <c r="R1489" t="str">
        <f t="shared" si="143"/>
        <v>fiction</v>
      </c>
      <c r="S1489" s="4">
        <f t="shared" si="140"/>
        <v>42554.917488425926</v>
      </c>
      <c r="T1489" s="4">
        <f t="shared" si="141"/>
        <v>42584.917488425926</v>
      </c>
      <c r="U1489" s="5">
        <f>VLOOKUP(currency,Tables!$A$1:$C$14,3,FALSE)*pledged</f>
        <v>0</v>
      </c>
    </row>
    <row r="1490" spans="1:21" ht="43.2" x14ac:dyDescent="0.55000000000000004">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138"/>
        <v>2.4E-2</v>
      </c>
      <c r="P1490" s="16">
        <f t="shared" si="139"/>
        <v>60</v>
      </c>
      <c r="Q1490" t="str">
        <f t="shared" si="142"/>
        <v>publishing</v>
      </c>
      <c r="R1490" t="str">
        <f t="shared" si="143"/>
        <v>fiction</v>
      </c>
      <c r="S1490" s="4">
        <f t="shared" si="140"/>
        <v>41614.563194444447</v>
      </c>
      <c r="T1490" s="4">
        <f t="shared" si="141"/>
        <v>41644.563194444447</v>
      </c>
      <c r="U1490" s="5">
        <f>VLOOKUP(currency,Tables!$A$1:$C$14,3,FALSE)*pledged</f>
        <v>262.8</v>
      </c>
    </row>
    <row r="1491" spans="1:21" ht="43.2" x14ac:dyDescent="0.55000000000000004">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138"/>
        <v>0</v>
      </c>
      <c r="P1491" s="16">
        <f t="shared" si="139"/>
        <v>0</v>
      </c>
      <c r="Q1491" t="str">
        <f t="shared" si="142"/>
        <v>publishing</v>
      </c>
      <c r="R1491" t="str">
        <f t="shared" si="143"/>
        <v>fiction</v>
      </c>
      <c r="S1491" s="4">
        <f t="shared" si="140"/>
        <v>41198.611712962964</v>
      </c>
      <c r="T1491" s="4">
        <f t="shared" si="141"/>
        <v>41228.653379629628</v>
      </c>
      <c r="U1491" s="5">
        <f>VLOOKUP(currency,Tables!$A$1:$C$14,3,FALSE)*pledged</f>
        <v>0</v>
      </c>
    </row>
    <row r="1492" spans="1:21" ht="43.2" x14ac:dyDescent="0.55000000000000004">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16">
        <f t="shared" si="139"/>
        <v>47.10526315789474</v>
      </c>
      <c r="Q1492" t="str">
        <f t="shared" si="142"/>
        <v>publishing</v>
      </c>
      <c r="R1492" t="str">
        <f t="shared" si="143"/>
        <v>fiction</v>
      </c>
      <c r="S1492" s="4">
        <f t="shared" si="140"/>
        <v>41520.561041666668</v>
      </c>
      <c r="T1492" s="4">
        <f t="shared" si="141"/>
        <v>41549.561041666668</v>
      </c>
      <c r="U1492" s="5">
        <f>VLOOKUP(currency,Tables!$A$1:$C$14,3,FALSE)*pledged</f>
        <v>895</v>
      </c>
    </row>
    <row r="1493" spans="1:21" ht="43.2" x14ac:dyDescent="0.55000000000000004">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16">
        <f t="shared" si="139"/>
        <v>100</v>
      </c>
      <c r="Q1493" t="str">
        <f t="shared" si="142"/>
        <v>publishing</v>
      </c>
      <c r="R1493" t="str">
        <f t="shared" si="143"/>
        <v>fiction</v>
      </c>
      <c r="S1493" s="4">
        <f t="shared" si="140"/>
        <v>41991.713460648149</v>
      </c>
      <c r="T1493" s="4">
        <f t="shared" si="141"/>
        <v>42050.651388888888</v>
      </c>
      <c r="U1493" s="5">
        <f>VLOOKUP(currency,Tables!$A$1:$C$14,3,FALSE)*pledged</f>
        <v>100</v>
      </c>
    </row>
    <row r="1494" spans="1:21" ht="43.2" x14ac:dyDescent="0.55000000000000004">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16">
        <f t="shared" si="139"/>
        <v>15</v>
      </c>
      <c r="Q1494" t="str">
        <f t="shared" si="142"/>
        <v>publishing</v>
      </c>
      <c r="R1494" t="str">
        <f t="shared" si="143"/>
        <v>fiction</v>
      </c>
      <c r="S1494" s="4">
        <f t="shared" si="140"/>
        <v>40682.884791666671</v>
      </c>
      <c r="T1494" s="4">
        <f t="shared" si="141"/>
        <v>40712.884791666671</v>
      </c>
      <c r="U1494" s="5">
        <f>VLOOKUP(currency,Tables!$A$1:$C$14,3,FALSE)*pledged</f>
        <v>30</v>
      </c>
    </row>
    <row r="1495" spans="1:21" ht="28.8" x14ac:dyDescent="0.55000000000000004">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138"/>
        <v>0</v>
      </c>
      <c r="P1495" s="16">
        <f t="shared" si="139"/>
        <v>0</v>
      </c>
      <c r="Q1495" t="str">
        <f t="shared" si="142"/>
        <v>publishing</v>
      </c>
      <c r="R1495" t="str">
        <f t="shared" si="143"/>
        <v>fiction</v>
      </c>
      <c r="S1495" s="4">
        <f t="shared" si="140"/>
        <v>41411.866608796299</v>
      </c>
      <c r="T1495" s="4">
        <f t="shared" si="141"/>
        <v>41441.866608796299</v>
      </c>
      <c r="U1495" s="5">
        <f>VLOOKUP(currency,Tables!$A$1:$C$14,3,FALSE)*pledged</f>
        <v>0</v>
      </c>
    </row>
    <row r="1496" spans="1:21" ht="43.2" x14ac:dyDescent="0.55000000000000004">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16">
        <f t="shared" si="139"/>
        <v>40.454545454545453</v>
      </c>
      <c r="Q1496" t="str">
        <f t="shared" si="142"/>
        <v>publishing</v>
      </c>
      <c r="R1496" t="str">
        <f t="shared" si="143"/>
        <v>fiction</v>
      </c>
      <c r="S1496" s="4">
        <f t="shared" si="140"/>
        <v>42067.722372685181</v>
      </c>
      <c r="T1496" s="4">
        <f t="shared" si="141"/>
        <v>42097.651388888888</v>
      </c>
      <c r="U1496" s="5">
        <f>VLOOKUP(currency,Tables!$A$1:$C$14,3,FALSE)*pledged</f>
        <v>445</v>
      </c>
    </row>
    <row r="1497" spans="1:21" ht="28.8" x14ac:dyDescent="0.55000000000000004">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138"/>
        <v>0</v>
      </c>
      <c r="P1497" s="16">
        <f t="shared" si="139"/>
        <v>0</v>
      </c>
      <c r="Q1497" t="str">
        <f t="shared" si="142"/>
        <v>publishing</v>
      </c>
      <c r="R1497" t="str">
        <f t="shared" si="143"/>
        <v>fiction</v>
      </c>
      <c r="S1497" s="4">
        <f t="shared" si="140"/>
        <v>40752.789710648147</v>
      </c>
      <c r="T1497" s="4">
        <f t="shared" si="141"/>
        <v>40782.789710648147</v>
      </c>
      <c r="U1497" s="5">
        <f>VLOOKUP(currency,Tables!$A$1:$C$14,3,FALSE)*pledged</f>
        <v>0</v>
      </c>
    </row>
    <row r="1498" spans="1:21" ht="43.2" x14ac:dyDescent="0.55000000000000004">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138"/>
        <v>0</v>
      </c>
      <c r="P1498" s="16">
        <f t="shared" si="139"/>
        <v>0</v>
      </c>
      <c r="Q1498" t="str">
        <f t="shared" si="142"/>
        <v>publishing</v>
      </c>
      <c r="R1498" t="str">
        <f t="shared" si="143"/>
        <v>fiction</v>
      </c>
      <c r="S1498" s="4">
        <f t="shared" si="140"/>
        <v>41838.475219907406</v>
      </c>
      <c r="T1498" s="4">
        <f t="shared" si="141"/>
        <v>41898.475219907406</v>
      </c>
      <c r="U1498" s="5">
        <f>VLOOKUP(currency,Tables!$A$1:$C$14,3,FALSE)*pledged</f>
        <v>0</v>
      </c>
    </row>
    <row r="1499" spans="1:21" ht="43.2" x14ac:dyDescent="0.55000000000000004">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16">
        <f t="shared" si="139"/>
        <v>1</v>
      </c>
      <c r="Q1499" t="str">
        <f t="shared" si="142"/>
        <v>publishing</v>
      </c>
      <c r="R1499" t="str">
        <f t="shared" si="143"/>
        <v>fiction</v>
      </c>
      <c r="S1499" s="4">
        <f t="shared" si="140"/>
        <v>41444.64261574074</v>
      </c>
      <c r="T1499" s="4">
        <f t="shared" si="141"/>
        <v>41486.821527777778</v>
      </c>
      <c r="U1499" s="5">
        <f>VLOOKUP(currency,Tables!$A$1:$C$14,3,FALSE)*pledged</f>
        <v>1</v>
      </c>
    </row>
    <row r="1500" spans="1:21" ht="43.2" x14ac:dyDescent="0.55000000000000004">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138"/>
        <v>1.9E-2</v>
      </c>
      <c r="P1500" s="16">
        <f t="shared" si="139"/>
        <v>19</v>
      </c>
      <c r="Q1500" t="str">
        <f t="shared" si="142"/>
        <v>publishing</v>
      </c>
      <c r="R1500" t="str">
        <f t="shared" si="143"/>
        <v>fiction</v>
      </c>
      <c r="S1500" s="4">
        <f t="shared" si="140"/>
        <v>41840.983541666668</v>
      </c>
      <c r="T1500" s="4">
        <f t="shared" si="141"/>
        <v>41885.983541666668</v>
      </c>
      <c r="U1500" s="5">
        <f>VLOOKUP(currency,Tables!$A$1:$C$14,3,FALSE)*pledged</f>
        <v>57</v>
      </c>
    </row>
    <row r="1501" spans="1:21" ht="43.2" x14ac:dyDescent="0.55000000000000004">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16">
        <f t="shared" si="139"/>
        <v>5</v>
      </c>
      <c r="Q1501" t="str">
        <f t="shared" si="142"/>
        <v>publishing</v>
      </c>
      <c r="R1501" t="str">
        <f t="shared" si="143"/>
        <v>fiction</v>
      </c>
      <c r="S1501" s="4">
        <f t="shared" si="140"/>
        <v>42527.007326388892</v>
      </c>
      <c r="T1501" s="4">
        <f t="shared" si="141"/>
        <v>42587.007326388892</v>
      </c>
      <c r="U1501" s="5">
        <f>VLOOKUP(currency,Tables!$A$1:$C$14,3,FALSE)*pledged</f>
        <v>5</v>
      </c>
    </row>
    <row r="1502" spans="1:21" ht="43.2" x14ac:dyDescent="0.55000000000000004">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16">
        <f t="shared" si="139"/>
        <v>46.733333333333334</v>
      </c>
      <c r="Q1502" t="str">
        <f t="shared" si="142"/>
        <v>publishing</v>
      </c>
      <c r="R1502" t="str">
        <f t="shared" si="143"/>
        <v>fiction</v>
      </c>
      <c r="S1502" s="4">
        <f t="shared" si="140"/>
        <v>41365.904594907406</v>
      </c>
      <c r="T1502" s="4">
        <f t="shared" si="141"/>
        <v>41395.904594907406</v>
      </c>
      <c r="U1502" s="5">
        <f>VLOOKUP(currency,Tables!$A$1:$C$14,3,FALSE)*pledged</f>
        <v>701</v>
      </c>
    </row>
    <row r="1503" spans="1:21" ht="28.8" x14ac:dyDescent="0.55000000000000004">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16">
        <f t="shared" si="139"/>
        <v>97.731073446327684</v>
      </c>
      <c r="Q1503" t="str">
        <f t="shared" si="142"/>
        <v>photography</v>
      </c>
      <c r="R1503" t="str">
        <f t="shared" si="143"/>
        <v>photobooks</v>
      </c>
      <c r="S1503" s="4">
        <f t="shared" si="140"/>
        <v>42163.583599537036</v>
      </c>
      <c r="T1503" s="4">
        <f t="shared" si="141"/>
        <v>42193.583599537036</v>
      </c>
      <c r="U1503" s="5">
        <f>VLOOKUP(currency,Tables!$A$1:$C$14,3,FALSE)*pledged</f>
        <v>65733.919999999998</v>
      </c>
    </row>
    <row r="1504" spans="1:21" ht="43.2" x14ac:dyDescent="0.55000000000000004">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16">
        <f t="shared" si="139"/>
        <v>67.835866261398181</v>
      </c>
      <c r="Q1504" t="str">
        <f t="shared" si="142"/>
        <v>photography</v>
      </c>
      <c r="R1504" t="str">
        <f t="shared" si="143"/>
        <v>photobooks</v>
      </c>
      <c r="S1504" s="4">
        <f t="shared" si="140"/>
        <v>42426.542592592596</v>
      </c>
      <c r="T1504" s="4">
        <f t="shared" si="141"/>
        <v>42454.916666666672</v>
      </c>
      <c r="U1504" s="5">
        <f>VLOOKUP(currency,Tables!$A$1:$C$14,3,FALSE)*pledged</f>
        <v>29459.760000000002</v>
      </c>
    </row>
    <row r="1505" spans="1:21" ht="43.2" x14ac:dyDescent="0.55000000000000004">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16">
        <f t="shared" si="139"/>
        <v>56.98492957746479</v>
      </c>
      <c r="Q1505" t="str">
        <f t="shared" si="142"/>
        <v>photography</v>
      </c>
      <c r="R1505" t="str">
        <f t="shared" si="143"/>
        <v>photobooks</v>
      </c>
      <c r="S1505" s="4">
        <f t="shared" si="140"/>
        <v>42606.347233796296</v>
      </c>
      <c r="T1505" s="4">
        <f t="shared" si="141"/>
        <v>42666.347233796296</v>
      </c>
      <c r="U1505" s="5">
        <f>VLOOKUP(currency,Tables!$A$1:$C$14,3,FALSE)*pledged</f>
        <v>4774.1973999999991</v>
      </c>
    </row>
    <row r="1506" spans="1:21" ht="28.8" x14ac:dyDescent="0.55000000000000004">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16">
        <f t="shared" si="139"/>
        <v>67.159851301115239</v>
      </c>
      <c r="Q1506" t="str">
        <f t="shared" si="142"/>
        <v>photography</v>
      </c>
      <c r="R1506" t="str">
        <f t="shared" si="143"/>
        <v>photobooks</v>
      </c>
      <c r="S1506" s="4">
        <f t="shared" si="140"/>
        <v>41772.657685185186</v>
      </c>
      <c r="T1506" s="4">
        <f t="shared" si="141"/>
        <v>41800.356249999997</v>
      </c>
      <c r="U1506" s="5">
        <f>VLOOKUP(currency,Tables!$A$1:$C$14,3,FALSE)*pledged</f>
        <v>23847.120000000003</v>
      </c>
    </row>
    <row r="1507" spans="1:21" ht="57.6" x14ac:dyDescent="0.55000000000000004">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16">
        <f t="shared" si="139"/>
        <v>48.037681159420288</v>
      </c>
      <c r="Q1507" t="str">
        <f t="shared" si="142"/>
        <v>photography</v>
      </c>
      <c r="R1507" t="str">
        <f t="shared" si="143"/>
        <v>photobooks</v>
      </c>
      <c r="S1507" s="4">
        <f t="shared" si="140"/>
        <v>42414.44332175926</v>
      </c>
      <c r="T1507" s="4">
        <f t="shared" si="141"/>
        <v>42451.834027777775</v>
      </c>
      <c r="U1507" s="5">
        <f>VLOOKUP(currency,Tables!$A$1:$C$14,3,FALSE)*pledged</f>
        <v>19556.14</v>
      </c>
    </row>
    <row r="1508" spans="1:21" ht="43.2" x14ac:dyDescent="0.55000000000000004">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16">
        <f t="shared" si="139"/>
        <v>38.860465116279073</v>
      </c>
      <c r="Q1508" t="str">
        <f t="shared" si="142"/>
        <v>photography</v>
      </c>
      <c r="R1508" t="str">
        <f t="shared" si="143"/>
        <v>photobooks</v>
      </c>
      <c r="S1508" s="4">
        <f t="shared" si="140"/>
        <v>41814.785925925928</v>
      </c>
      <c r="T1508" s="4">
        <f t="shared" si="141"/>
        <v>41844.785925925928</v>
      </c>
      <c r="U1508" s="5">
        <f>VLOOKUP(currency,Tables!$A$1:$C$14,3,FALSE)*pledged</f>
        <v>2205.7200000000003</v>
      </c>
    </row>
    <row r="1509" spans="1:21" ht="43.2" x14ac:dyDescent="0.55000000000000004">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138"/>
        <v>2.15</v>
      </c>
      <c r="P1509" s="16">
        <f t="shared" si="139"/>
        <v>78.181818181818187</v>
      </c>
      <c r="Q1509" t="str">
        <f t="shared" si="142"/>
        <v>photography</v>
      </c>
      <c r="R1509" t="str">
        <f t="shared" si="143"/>
        <v>photobooks</v>
      </c>
      <c r="S1509" s="4">
        <f t="shared" si="140"/>
        <v>40254.450335648151</v>
      </c>
      <c r="T1509" s="4">
        <f t="shared" si="141"/>
        <v>40313.340277777781</v>
      </c>
      <c r="U1509" s="5">
        <f>VLOOKUP(currency,Tables!$A$1:$C$14,3,FALSE)*pledged</f>
        <v>2580</v>
      </c>
    </row>
    <row r="1510" spans="1:21" ht="43.2" x14ac:dyDescent="0.55000000000000004">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16">
        <f t="shared" si="139"/>
        <v>97.113744075829388</v>
      </c>
      <c r="Q1510" t="str">
        <f t="shared" si="142"/>
        <v>photography</v>
      </c>
      <c r="R1510" t="str">
        <f t="shared" si="143"/>
        <v>photobooks</v>
      </c>
      <c r="S1510" s="4">
        <f t="shared" si="140"/>
        <v>41786.614363425928</v>
      </c>
      <c r="T1510" s="4">
        <f t="shared" si="141"/>
        <v>41817.614363425928</v>
      </c>
      <c r="U1510" s="5">
        <f>VLOOKUP(currency,Tables!$A$1:$C$14,3,FALSE)*pledged</f>
        <v>20491</v>
      </c>
    </row>
    <row r="1511" spans="1:21" ht="43.2" x14ac:dyDescent="0.55000000000000004">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16">
        <f t="shared" si="139"/>
        <v>110.39397959183674</v>
      </c>
      <c r="Q1511" t="str">
        <f t="shared" si="142"/>
        <v>photography</v>
      </c>
      <c r="R1511" t="str">
        <f t="shared" si="143"/>
        <v>photobooks</v>
      </c>
      <c r="S1511" s="4">
        <f t="shared" si="140"/>
        <v>42751.533391203702</v>
      </c>
      <c r="T1511" s="4">
        <f t="shared" si="141"/>
        <v>42780.957638888889</v>
      </c>
      <c r="U1511" s="5">
        <f>VLOOKUP(currency,Tables!$A$1:$C$14,3,FALSE)*pledged</f>
        <v>25531.919600000001</v>
      </c>
    </row>
    <row r="1512" spans="1:21" ht="43.2" x14ac:dyDescent="0.55000000000000004">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16">
        <f t="shared" si="139"/>
        <v>39.91506172839506</v>
      </c>
      <c r="Q1512" t="str">
        <f t="shared" si="142"/>
        <v>photography</v>
      </c>
      <c r="R1512" t="str">
        <f t="shared" si="143"/>
        <v>photobooks</v>
      </c>
      <c r="S1512" s="4">
        <f t="shared" si="140"/>
        <v>41809.385162037033</v>
      </c>
      <c r="T1512" s="4">
        <f t="shared" si="141"/>
        <v>41839.385162037033</v>
      </c>
      <c r="U1512" s="5">
        <f>VLOOKUP(currency,Tables!$A$1:$C$14,3,FALSE)*pledged</f>
        <v>21338.592000000001</v>
      </c>
    </row>
    <row r="1513" spans="1:21" ht="43.2" x14ac:dyDescent="0.55000000000000004">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16">
        <f t="shared" si="139"/>
        <v>75.975728155339809</v>
      </c>
      <c r="Q1513" t="str">
        <f t="shared" si="142"/>
        <v>photography</v>
      </c>
      <c r="R1513" t="str">
        <f t="shared" si="143"/>
        <v>photobooks</v>
      </c>
      <c r="S1513" s="4">
        <f t="shared" si="140"/>
        <v>42296.583379629628</v>
      </c>
      <c r="T1513" s="4">
        <f t="shared" si="141"/>
        <v>42326.625046296293</v>
      </c>
      <c r="U1513" s="5">
        <f>VLOOKUP(currency,Tables!$A$1:$C$14,3,FALSE)*pledged</f>
        <v>15651</v>
      </c>
    </row>
    <row r="1514" spans="1:21" ht="43.2" x14ac:dyDescent="0.55000000000000004">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16">
        <f t="shared" si="139"/>
        <v>58.379104477611939</v>
      </c>
      <c r="Q1514" t="str">
        <f t="shared" si="142"/>
        <v>photography</v>
      </c>
      <c r="R1514" t="str">
        <f t="shared" si="143"/>
        <v>photobooks</v>
      </c>
      <c r="S1514" s="4">
        <f t="shared" si="140"/>
        <v>42741.684479166666</v>
      </c>
      <c r="T1514" s="4">
        <f t="shared" si="141"/>
        <v>42771.684479166666</v>
      </c>
      <c r="U1514" s="5">
        <f>VLOOKUP(currency,Tables!$A$1:$C$14,3,FALSE)*pledged</f>
        <v>19557</v>
      </c>
    </row>
    <row r="1515" spans="1:21" ht="43.2" x14ac:dyDescent="0.55000000000000004">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16">
        <f t="shared" si="139"/>
        <v>55.82093023255814</v>
      </c>
      <c r="Q1515" t="str">
        <f t="shared" si="142"/>
        <v>photography</v>
      </c>
      <c r="R1515" t="str">
        <f t="shared" si="143"/>
        <v>photobooks</v>
      </c>
      <c r="S1515" s="4">
        <f t="shared" si="140"/>
        <v>41806.637337962966</v>
      </c>
      <c r="T1515" s="4">
        <f t="shared" si="141"/>
        <v>41836.637337962966</v>
      </c>
      <c r="U1515" s="5">
        <f>VLOOKUP(currency,Tables!$A$1:$C$14,3,FALSE)*pledged</f>
        <v>15841.980000000001</v>
      </c>
    </row>
    <row r="1516" spans="1:21" ht="43.2" x14ac:dyDescent="0.55000000000000004">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16">
        <f t="shared" si="139"/>
        <v>151.24431818181819</v>
      </c>
      <c r="Q1516" t="str">
        <f t="shared" si="142"/>
        <v>photography</v>
      </c>
      <c r="R1516" t="str">
        <f t="shared" si="143"/>
        <v>photobooks</v>
      </c>
      <c r="S1516" s="4">
        <f t="shared" si="140"/>
        <v>42234.597685185188</v>
      </c>
      <c r="T1516" s="4">
        <f t="shared" si="141"/>
        <v>42274.597685185188</v>
      </c>
      <c r="U1516" s="5">
        <f>VLOOKUP(currency,Tables!$A$1:$C$14,3,FALSE)*pledged</f>
        <v>26619</v>
      </c>
    </row>
    <row r="1517" spans="1:21" ht="43.2" x14ac:dyDescent="0.55000000000000004">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16">
        <f t="shared" si="139"/>
        <v>849.67027027027029</v>
      </c>
      <c r="Q1517" t="str">
        <f t="shared" si="142"/>
        <v>photography</v>
      </c>
      <c r="R1517" t="str">
        <f t="shared" si="143"/>
        <v>photobooks</v>
      </c>
      <c r="S1517" s="4">
        <f t="shared" si="140"/>
        <v>42415.253437499996</v>
      </c>
      <c r="T1517" s="4">
        <f t="shared" si="141"/>
        <v>42445.211770833332</v>
      </c>
      <c r="U1517" s="5">
        <f>VLOOKUP(currency,Tables!$A$1:$C$14,3,FALSE)*pledged</f>
        <v>51872.37</v>
      </c>
    </row>
    <row r="1518" spans="1:21" ht="43.2" x14ac:dyDescent="0.55000000000000004">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16">
        <f t="shared" si="139"/>
        <v>159.24137931034483</v>
      </c>
      <c r="Q1518" t="str">
        <f t="shared" si="142"/>
        <v>photography</v>
      </c>
      <c r="R1518" t="str">
        <f t="shared" si="143"/>
        <v>photobooks</v>
      </c>
      <c r="S1518" s="4">
        <f t="shared" si="140"/>
        <v>42619.466342592597</v>
      </c>
      <c r="T1518" s="4">
        <f t="shared" si="141"/>
        <v>42649.583333333328</v>
      </c>
      <c r="U1518" s="5">
        <f>VLOOKUP(currency,Tables!$A$1:$C$14,3,FALSE)*pledged</f>
        <v>18472</v>
      </c>
    </row>
    <row r="1519" spans="1:21" ht="43.2" x14ac:dyDescent="0.55000000000000004">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16">
        <f t="shared" si="139"/>
        <v>39.507317073170732</v>
      </c>
      <c r="Q1519" t="str">
        <f t="shared" si="142"/>
        <v>photography</v>
      </c>
      <c r="R1519" t="str">
        <f t="shared" si="143"/>
        <v>photobooks</v>
      </c>
      <c r="S1519" s="4">
        <f t="shared" si="140"/>
        <v>41948.56658564815</v>
      </c>
      <c r="T1519" s="4">
        <f t="shared" si="141"/>
        <v>41979.25</v>
      </c>
      <c r="U1519" s="5">
        <f>VLOOKUP(currency,Tables!$A$1:$C$14,3,FALSE)*pledged</f>
        <v>24297</v>
      </c>
    </row>
    <row r="1520" spans="1:21" ht="28.8" x14ac:dyDescent="0.55000000000000004">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16">
        <f t="shared" si="139"/>
        <v>130.52966101694915</v>
      </c>
      <c r="Q1520" t="str">
        <f t="shared" si="142"/>
        <v>photography</v>
      </c>
      <c r="R1520" t="str">
        <f t="shared" si="143"/>
        <v>photobooks</v>
      </c>
      <c r="S1520" s="4">
        <f t="shared" si="140"/>
        <v>41760.8200462963</v>
      </c>
      <c r="T1520" s="4">
        <f t="shared" si="141"/>
        <v>41790.8200462963</v>
      </c>
      <c r="U1520" s="5">
        <f>VLOOKUP(currency,Tables!$A$1:$C$14,3,FALSE)*pledged</f>
        <v>30805</v>
      </c>
    </row>
    <row r="1521" spans="1:21" ht="43.2" x14ac:dyDescent="0.55000000000000004">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16">
        <f t="shared" si="139"/>
        <v>64.156896551724131</v>
      </c>
      <c r="Q1521" t="str">
        <f t="shared" si="142"/>
        <v>photography</v>
      </c>
      <c r="R1521" t="str">
        <f t="shared" si="143"/>
        <v>photobooks</v>
      </c>
      <c r="S1521" s="4">
        <f t="shared" si="140"/>
        <v>41782.741701388892</v>
      </c>
      <c r="T1521" s="4">
        <f t="shared" si="141"/>
        <v>41810.915972222225</v>
      </c>
      <c r="U1521" s="5">
        <f>VLOOKUP(currency,Tables!$A$1:$C$14,3,FALSE)*pledged</f>
        <v>9302.75</v>
      </c>
    </row>
    <row r="1522" spans="1:21" ht="28.8" x14ac:dyDescent="0.55000000000000004">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16">
        <f t="shared" si="139"/>
        <v>111.52694610778443</v>
      </c>
      <c r="Q1522" t="str">
        <f t="shared" si="142"/>
        <v>photography</v>
      </c>
      <c r="R1522" t="str">
        <f t="shared" si="143"/>
        <v>photobooks</v>
      </c>
      <c r="S1522" s="4">
        <f t="shared" si="140"/>
        <v>41955.857789351852</v>
      </c>
      <c r="T1522" s="4">
        <f t="shared" si="141"/>
        <v>41992.166666666672</v>
      </c>
      <c r="U1522" s="5">
        <f>VLOOKUP(currency,Tables!$A$1:$C$14,3,FALSE)*pledged</f>
        <v>18625</v>
      </c>
    </row>
    <row r="1523" spans="1:21" ht="43.2" x14ac:dyDescent="0.55000000000000004">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16">
        <f t="shared" si="139"/>
        <v>170.44680851063831</v>
      </c>
      <c r="Q1523" t="str">
        <f t="shared" si="142"/>
        <v>photography</v>
      </c>
      <c r="R1523" t="str">
        <f t="shared" si="143"/>
        <v>photobooks</v>
      </c>
      <c r="S1523" s="4">
        <f t="shared" si="140"/>
        <v>42493.167719907404</v>
      </c>
      <c r="T1523" s="4">
        <f t="shared" si="141"/>
        <v>42528.167719907404</v>
      </c>
      <c r="U1523" s="5">
        <f>VLOOKUP(currency,Tables!$A$1:$C$14,3,FALSE)*pledged</f>
        <v>40055</v>
      </c>
    </row>
    <row r="1524" spans="1:21" ht="43.2" x14ac:dyDescent="0.55000000000000004">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16">
        <f t="shared" si="139"/>
        <v>133.7391592920354</v>
      </c>
      <c r="Q1524" t="str">
        <f t="shared" si="142"/>
        <v>photography</v>
      </c>
      <c r="R1524" t="str">
        <f t="shared" si="143"/>
        <v>photobooks</v>
      </c>
      <c r="S1524" s="4">
        <f t="shared" si="140"/>
        <v>41899.830312500002</v>
      </c>
      <c r="T1524" s="4">
        <f t="shared" si="141"/>
        <v>41929.830312500002</v>
      </c>
      <c r="U1524" s="5">
        <f>VLOOKUP(currency,Tables!$A$1:$C$14,3,FALSE)*pledged</f>
        <v>60450.1</v>
      </c>
    </row>
    <row r="1525" spans="1:21" ht="43.2" x14ac:dyDescent="0.55000000000000004">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16">
        <f t="shared" si="139"/>
        <v>95.834024896265561</v>
      </c>
      <c r="Q1525" t="str">
        <f t="shared" si="142"/>
        <v>photography</v>
      </c>
      <c r="R1525" t="str">
        <f t="shared" si="143"/>
        <v>photobooks</v>
      </c>
      <c r="S1525" s="4">
        <f t="shared" si="140"/>
        <v>41964.751342592594</v>
      </c>
      <c r="T1525" s="4">
        <f t="shared" si="141"/>
        <v>41996</v>
      </c>
      <c r="U1525" s="5">
        <f>VLOOKUP(currency,Tables!$A$1:$C$14,3,FALSE)*pledged</f>
        <v>23096</v>
      </c>
    </row>
    <row r="1526" spans="1:21" ht="43.2" x14ac:dyDescent="0.55000000000000004">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16">
        <f t="shared" si="139"/>
        <v>221.78571428571428</v>
      </c>
      <c r="Q1526" t="str">
        <f t="shared" si="142"/>
        <v>photography</v>
      </c>
      <c r="R1526" t="str">
        <f t="shared" si="143"/>
        <v>photobooks</v>
      </c>
      <c r="S1526" s="4">
        <f t="shared" si="140"/>
        <v>42756.501041666663</v>
      </c>
      <c r="T1526" s="4">
        <f t="shared" si="141"/>
        <v>42786.501041666663</v>
      </c>
      <c r="U1526" s="5">
        <f>VLOOKUP(currency,Tables!$A$1:$C$14,3,FALSE)*pledged</f>
        <v>683.1</v>
      </c>
    </row>
    <row r="1527" spans="1:21" ht="43.2" x14ac:dyDescent="0.55000000000000004">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16">
        <f t="shared" si="139"/>
        <v>32.315357142857138</v>
      </c>
      <c r="Q1527" t="str">
        <f t="shared" si="142"/>
        <v>photography</v>
      </c>
      <c r="R1527" t="str">
        <f t="shared" si="143"/>
        <v>photobooks</v>
      </c>
      <c r="S1527" s="4">
        <f t="shared" si="140"/>
        <v>42570.702986111108</v>
      </c>
      <c r="T1527" s="4">
        <f t="shared" si="141"/>
        <v>42600.702986111108</v>
      </c>
      <c r="U1527" s="5">
        <f>VLOOKUP(currency,Tables!$A$1:$C$14,3,FALSE)*pledged</f>
        <v>4524.1499999999996</v>
      </c>
    </row>
    <row r="1528" spans="1:21" ht="43.2" x14ac:dyDescent="0.55000000000000004">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16">
        <f t="shared" si="139"/>
        <v>98.839285714285708</v>
      </c>
      <c r="Q1528" t="str">
        <f t="shared" si="142"/>
        <v>photography</v>
      </c>
      <c r="R1528" t="str">
        <f t="shared" si="143"/>
        <v>photobooks</v>
      </c>
      <c r="S1528" s="4">
        <f t="shared" si="140"/>
        <v>42339.276006944448</v>
      </c>
      <c r="T1528" s="4">
        <f t="shared" si="141"/>
        <v>42388.276006944448</v>
      </c>
      <c r="U1528" s="5">
        <f>VLOOKUP(currency,Tables!$A$1:$C$14,3,FALSE)*pledged</f>
        <v>27675</v>
      </c>
    </row>
    <row r="1529" spans="1:21" ht="43.2" x14ac:dyDescent="0.55000000000000004">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16">
        <f t="shared" si="139"/>
        <v>55.222142857142863</v>
      </c>
      <c r="Q1529" t="str">
        <f t="shared" si="142"/>
        <v>photography</v>
      </c>
      <c r="R1529" t="str">
        <f t="shared" si="143"/>
        <v>photobooks</v>
      </c>
      <c r="S1529" s="4">
        <f t="shared" si="140"/>
        <v>42780.600532407407</v>
      </c>
      <c r="T1529" s="4">
        <f t="shared" si="141"/>
        <v>42808.558865740735</v>
      </c>
      <c r="U1529" s="5">
        <f>VLOOKUP(currency,Tables!$A$1:$C$14,3,FALSE)*pledged</f>
        <v>3865.55</v>
      </c>
    </row>
    <row r="1530" spans="1:21" ht="28.8" x14ac:dyDescent="0.55000000000000004">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16">
        <f t="shared" si="139"/>
        <v>52.793750000000003</v>
      </c>
      <c r="Q1530" t="str">
        <f t="shared" si="142"/>
        <v>photography</v>
      </c>
      <c r="R1530" t="str">
        <f t="shared" si="143"/>
        <v>photobooks</v>
      </c>
      <c r="S1530" s="4">
        <f t="shared" si="140"/>
        <v>42736.732893518521</v>
      </c>
      <c r="T1530" s="4">
        <f t="shared" si="141"/>
        <v>42767</v>
      </c>
      <c r="U1530" s="5">
        <f>VLOOKUP(currency,Tables!$A$1:$C$14,3,FALSE)*pledged</f>
        <v>8447</v>
      </c>
    </row>
    <row r="1531" spans="1:21" ht="28.8" x14ac:dyDescent="0.55000000000000004">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16">
        <f t="shared" si="139"/>
        <v>135.66666666666666</v>
      </c>
      <c r="Q1531" t="str">
        <f t="shared" si="142"/>
        <v>photography</v>
      </c>
      <c r="R1531" t="str">
        <f t="shared" si="143"/>
        <v>photobooks</v>
      </c>
      <c r="S1531" s="4">
        <f t="shared" si="140"/>
        <v>42052.628703703704</v>
      </c>
      <c r="T1531" s="4">
        <f t="shared" si="141"/>
        <v>42082.587037037039</v>
      </c>
      <c r="U1531" s="5">
        <f>VLOOKUP(currency,Tables!$A$1:$C$14,3,FALSE)*pledged</f>
        <v>19129</v>
      </c>
    </row>
    <row r="1532" spans="1:21" ht="43.2" x14ac:dyDescent="0.55000000000000004">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16">
        <f t="shared" si="139"/>
        <v>53.991990846681922</v>
      </c>
      <c r="Q1532" t="str">
        <f t="shared" si="142"/>
        <v>photography</v>
      </c>
      <c r="R1532" t="str">
        <f t="shared" si="143"/>
        <v>photobooks</v>
      </c>
      <c r="S1532" s="4">
        <f t="shared" si="140"/>
        <v>42275.767303240747</v>
      </c>
      <c r="T1532" s="4">
        <f t="shared" si="141"/>
        <v>42300.767303240747</v>
      </c>
      <c r="U1532" s="5">
        <f>VLOOKUP(currency,Tables!$A$1:$C$14,3,FALSE)*pledged</f>
        <v>47189</v>
      </c>
    </row>
    <row r="1533" spans="1:21" ht="43.2" x14ac:dyDescent="0.55000000000000004">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16">
        <f t="shared" si="139"/>
        <v>56.643835616438359</v>
      </c>
      <c r="Q1533" t="str">
        <f t="shared" si="142"/>
        <v>photography</v>
      </c>
      <c r="R1533" t="str">
        <f t="shared" si="143"/>
        <v>photobooks</v>
      </c>
      <c r="S1533" s="4">
        <f t="shared" si="140"/>
        <v>41941.802384259259</v>
      </c>
      <c r="T1533" s="4">
        <f t="shared" si="141"/>
        <v>41974.125</v>
      </c>
      <c r="U1533" s="5">
        <f>VLOOKUP(currency,Tables!$A$1:$C$14,3,FALSE)*pledged</f>
        <v>4135</v>
      </c>
    </row>
    <row r="1534" spans="1:21" ht="43.2" x14ac:dyDescent="0.55000000000000004">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16">
        <f t="shared" si="139"/>
        <v>82.316326530612244</v>
      </c>
      <c r="Q1534" t="str">
        <f t="shared" si="142"/>
        <v>photography</v>
      </c>
      <c r="R1534" t="str">
        <f t="shared" si="143"/>
        <v>photobooks</v>
      </c>
      <c r="S1534" s="4">
        <f t="shared" si="140"/>
        <v>42391.475289351853</v>
      </c>
      <c r="T1534" s="4">
        <f t="shared" si="141"/>
        <v>42415.625</v>
      </c>
      <c r="U1534" s="5">
        <f>VLOOKUP(currency,Tables!$A$1:$C$14,3,FALSE)*pledged</f>
        <v>17666.73</v>
      </c>
    </row>
    <row r="1535" spans="1:21" ht="28.8" x14ac:dyDescent="0.55000000000000004">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16">
        <f t="shared" si="139"/>
        <v>88.26081081081081</v>
      </c>
      <c r="Q1535" t="str">
        <f t="shared" si="142"/>
        <v>photography</v>
      </c>
      <c r="R1535" t="str">
        <f t="shared" si="143"/>
        <v>photobooks</v>
      </c>
      <c r="S1535" s="4">
        <f t="shared" si="140"/>
        <v>42443.00204861111</v>
      </c>
      <c r="T1535" s="4">
        <f t="shared" si="141"/>
        <v>42492.165972222225</v>
      </c>
      <c r="U1535" s="5">
        <f>VLOOKUP(currency,Tables!$A$1:$C$14,3,FALSE)*pledged</f>
        <v>65313</v>
      </c>
    </row>
    <row r="1536" spans="1:21" ht="43.2" x14ac:dyDescent="0.55000000000000004">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16">
        <f t="shared" si="139"/>
        <v>84.905149051490511</v>
      </c>
      <c r="Q1536" t="str">
        <f t="shared" si="142"/>
        <v>photography</v>
      </c>
      <c r="R1536" t="str">
        <f t="shared" si="143"/>
        <v>photobooks</v>
      </c>
      <c r="S1536" s="4">
        <f t="shared" si="140"/>
        <v>42221.67432870371</v>
      </c>
      <c r="T1536" s="4">
        <f t="shared" si="141"/>
        <v>42251.67432870371</v>
      </c>
      <c r="U1536" s="5">
        <f>VLOOKUP(currency,Tables!$A$1:$C$14,3,FALSE)*pledged</f>
        <v>31330</v>
      </c>
    </row>
    <row r="1537" spans="1:21" ht="43.2" x14ac:dyDescent="0.55000000000000004">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16">
        <f t="shared" si="139"/>
        <v>48.154545454545456</v>
      </c>
      <c r="Q1537" t="str">
        <f t="shared" si="142"/>
        <v>photography</v>
      </c>
      <c r="R1537" t="str">
        <f t="shared" si="143"/>
        <v>photobooks</v>
      </c>
      <c r="S1537" s="4">
        <f t="shared" si="140"/>
        <v>42484.829062500001</v>
      </c>
      <c r="T1537" s="4">
        <f t="shared" si="141"/>
        <v>42513.916666666672</v>
      </c>
      <c r="U1537" s="5">
        <f>VLOOKUP(currency,Tables!$A$1:$C$14,3,FALSE)*pledged</f>
        <v>5297</v>
      </c>
    </row>
    <row r="1538" spans="1:21" ht="43.2" x14ac:dyDescent="0.55000000000000004">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ref="O1538:O1601" si="144">pledged/goal</f>
        <v>2.5030841666666666</v>
      </c>
      <c r="P1538" s="16">
        <f t="shared" ref="P1538:P1601" si="145">IF(pledged=0,0,pledged/backers_count)</f>
        <v>66.015406593406595</v>
      </c>
      <c r="Q1538" t="str">
        <f t="shared" si="142"/>
        <v>photography</v>
      </c>
      <c r="R1538" t="str">
        <f t="shared" si="143"/>
        <v>photobooks</v>
      </c>
      <c r="S1538" s="4">
        <f t="shared" ref="S1538:S1601" si="146">(((Unix_launched_date/60)/60)/24)+DATE(1970,1,1)</f>
        <v>42213.802199074074</v>
      </c>
      <c r="T1538" s="4">
        <f t="shared" ref="T1538:T1601" si="147">(((Unix_deadline/60)/60)/24)+DATE(1970,1,1)</f>
        <v>42243.802199074074</v>
      </c>
      <c r="U1538" s="5">
        <f>VLOOKUP(currency,Tables!$A$1:$C$14,3,FALSE)*pledged</f>
        <v>30037.01</v>
      </c>
    </row>
    <row r="1539" spans="1:21" ht="43.2" x14ac:dyDescent="0.55000000000000004">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si="144"/>
        <v>1.7989999999999999</v>
      </c>
      <c r="P1539" s="16">
        <f t="shared" si="145"/>
        <v>96.375</v>
      </c>
      <c r="Q1539" t="str">
        <f t="shared" ref="Q1539:Q1602" si="148">LEFT(N1539,FIND("/",N1539,1)-1)</f>
        <v>photography</v>
      </c>
      <c r="R1539" t="str">
        <f t="shared" ref="R1539:R1602" si="149">RIGHT(N1539,(LEN(N1539)-FIND("/",N1539,1)))</f>
        <v>photobooks</v>
      </c>
      <c r="S1539" s="4">
        <f t="shared" si="146"/>
        <v>42552.315127314811</v>
      </c>
      <c r="T1539" s="4">
        <f t="shared" si="147"/>
        <v>42588.75</v>
      </c>
      <c r="U1539" s="5">
        <f>VLOOKUP(currency,Tables!$A$1:$C$14,3,FALSE)*pledged</f>
        <v>25473.84</v>
      </c>
    </row>
    <row r="1540" spans="1:21" ht="43.2" x14ac:dyDescent="0.55000000000000004">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16">
        <f t="shared" si="145"/>
        <v>156.17391304347825</v>
      </c>
      <c r="Q1540" t="str">
        <f t="shared" si="148"/>
        <v>photography</v>
      </c>
      <c r="R1540" t="str">
        <f t="shared" si="149"/>
        <v>photobooks</v>
      </c>
      <c r="S1540" s="4">
        <f t="shared" si="146"/>
        <v>41981.782060185185</v>
      </c>
      <c r="T1540" s="4">
        <f t="shared" si="147"/>
        <v>42026.782060185185</v>
      </c>
      <c r="U1540" s="5">
        <f>VLOOKUP(currency,Tables!$A$1:$C$14,3,FALSE)*pledged</f>
        <v>7184</v>
      </c>
    </row>
    <row r="1541" spans="1:21" ht="43.2" x14ac:dyDescent="0.55000000000000004">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16">
        <f t="shared" si="145"/>
        <v>95.764859154929582</v>
      </c>
      <c r="Q1541" t="str">
        <f t="shared" si="148"/>
        <v>photography</v>
      </c>
      <c r="R1541" t="str">
        <f t="shared" si="149"/>
        <v>photobooks</v>
      </c>
      <c r="S1541" s="4">
        <f t="shared" si="146"/>
        <v>42705.919201388882</v>
      </c>
      <c r="T1541" s="4">
        <f t="shared" si="147"/>
        <v>42738.919201388882</v>
      </c>
      <c r="U1541" s="5">
        <f>VLOOKUP(currency,Tables!$A$1:$C$14,3,FALSE)*pledged</f>
        <v>27197.22</v>
      </c>
    </row>
    <row r="1542" spans="1:21" ht="43.2" x14ac:dyDescent="0.55000000000000004">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16">
        <f t="shared" si="145"/>
        <v>180.40816326530611</v>
      </c>
      <c r="Q1542" t="str">
        <f t="shared" si="148"/>
        <v>photography</v>
      </c>
      <c r="R1542" t="str">
        <f t="shared" si="149"/>
        <v>photobooks</v>
      </c>
      <c r="S1542" s="4">
        <f t="shared" si="146"/>
        <v>41939.00712962963</v>
      </c>
      <c r="T1542" s="4">
        <f t="shared" si="147"/>
        <v>41969.052083333328</v>
      </c>
      <c r="U1542" s="5">
        <f>VLOOKUP(currency,Tables!$A$1:$C$14,3,FALSE)*pledged</f>
        <v>17680</v>
      </c>
    </row>
    <row r="1543" spans="1:21" ht="43.2" x14ac:dyDescent="0.55000000000000004">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16">
        <f t="shared" si="145"/>
        <v>3</v>
      </c>
      <c r="Q1543" t="str">
        <f t="shared" si="148"/>
        <v>photography</v>
      </c>
      <c r="R1543" t="str">
        <f t="shared" si="149"/>
        <v>nature</v>
      </c>
      <c r="S1543" s="4">
        <f t="shared" si="146"/>
        <v>41974.712245370371</v>
      </c>
      <c r="T1543" s="4">
        <f t="shared" si="147"/>
        <v>42004.712245370371</v>
      </c>
      <c r="U1543" s="5">
        <f>VLOOKUP(currency,Tables!$A$1:$C$14,3,FALSE)*pledged</f>
        <v>6</v>
      </c>
    </row>
    <row r="1544" spans="1:21" ht="43.2" x14ac:dyDescent="0.55000000000000004">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144"/>
        <v>0.04</v>
      </c>
      <c r="P1544" s="16">
        <f t="shared" si="145"/>
        <v>20</v>
      </c>
      <c r="Q1544" t="str">
        <f t="shared" si="148"/>
        <v>photography</v>
      </c>
      <c r="R1544" t="str">
        <f t="shared" si="149"/>
        <v>nature</v>
      </c>
      <c r="S1544" s="4">
        <f t="shared" si="146"/>
        <v>42170.996527777781</v>
      </c>
      <c r="T1544" s="4">
        <f t="shared" si="147"/>
        <v>42185.996527777781</v>
      </c>
      <c r="U1544" s="5">
        <f>VLOOKUP(currency,Tables!$A$1:$C$14,3,FALSE)*pledged</f>
        <v>15.2</v>
      </c>
    </row>
    <row r="1545" spans="1:21" ht="43.2" x14ac:dyDescent="0.55000000000000004">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16">
        <f t="shared" si="145"/>
        <v>10</v>
      </c>
      <c r="Q1545" t="str">
        <f t="shared" si="148"/>
        <v>photography</v>
      </c>
      <c r="R1545" t="str">
        <f t="shared" si="149"/>
        <v>nature</v>
      </c>
      <c r="S1545" s="4">
        <f t="shared" si="146"/>
        <v>41935.509652777779</v>
      </c>
      <c r="T1545" s="4">
        <f t="shared" si="147"/>
        <v>41965.551319444443</v>
      </c>
      <c r="U1545" s="5">
        <f>VLOOKUP(currency,Tables!$A$1:$C$14,3,FALSE)*pledged</f>
        <v>10</v>
      </c>
    </row>
    <row r="1546" spans="1:21" ht="43.2" x14ac:dyDescent="0.55000000000000004">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144"/>
        <v>0</v>
      </c>
      <c r="P1546" s="16">
        <f t="shared" si="145"/>
        <v>0</v>
      </c>
      <c r="Q1546" t="str">
        <f t="shared" si="148"/>
        <v>photography</v>
      </c>
      <c r="R1546" t="str">
        <f t="shared" si="149"/>
        <v>nature</v>
      </c>
      <c r="S1546" s="4">
        <f t="shared" si="146"/>
        <v>42053.051203703704</v>
      </c>
      <c r="T1546" s="4">
        <f t="shared" si="147"/>
        <v>42095.012499999997</v>
      </c>
      <c r="U1546" s="5">
        <f>VLOOKUP(currency,Tables!$A$1:$C$14,3,FALSE)*pledged</f>
        <v>0</v>
      </c>
    </row>
    <row r="1547" spans="1:21" ht="43.2" x14ac:dyDescent="0.55000000000000004">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16">
        <f t="shared" si="145"/>
        <v>1</v>
      </c>
      <c r="Q1547" t="str">
        <f t="shared" si="148"/>
        <v>photography</v>
      </c>
      <c r="R1547" t="str">
        <f t="shared" si="149"/>
        <v>nature</v>
      </c>
      <c r="S1547" s="4">
        <f t="shared" si="146"/>
        <v>42031.884652777779</v>
      </c>
      <c r="T1547" s="4">
        <f t="shared" si="147"/>
        <v>42065.886111111111</v>
      </c>
      <c r="U1547" s="5">
        <f>VLOOKUP(currency,Tables!$A$1:$C$14,3,FALSE)*pledged</f>
        <v>1</v>
      </c>
    </row>
    <row r="1548" spans="1:21" ht="43.2" x14ac:dyDescent="0.55000000000000004">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16">
        <f t="shared" si="145"/>
        <v>26.272727272727273</v>
      </c>
      <c r="Q1548" t="str">
        <f t="shared" si="148"/>
        <v>photography</v>
      </c>
      <c r="R1548" t="str">
        <f t="shared" si="149"/>
        <v>nature</v>
      </c>
      <c r="S1548" s="4">
        <f t="shared" si="146"/>
        <v>41839.212951388887</v>
      </c>
      <c r="T1548" s="4">
        <f t="shared" si="147"/>
        <v>41899.212951388887</v>
      </c>
      <c r="U1548" s="5">
        <f>VLOOKUP(currency,Tables!$A$1:$C$14,3,FALSE)*pledged</f>
        <v>381.48</v>
      </c>
    </row>
    <row r="1549" spans="1:21" ht="43.2" x14ac:dyDescent="0.55000000000000004">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144"/>
        <v>0</v>
      </c>
      <c r="P1549" s="16">
        <f t="shared" si="145"/>
        <v>0</v>
      </c>
      <c r="Q1549" t="str">
        <f t="shared" si="148"/>
        <v>photography</v>
      </c>
      <c r="R1549" t="str">
        <f t="shared" si="149"/>
        <v>nature</v>
      </c>
      <c r="S1549" s="4">
        <f t="shared" si="146"/>
        <v>42782.426875000005</v>
      </c>
      <c r="T1549" s="4">
        <f t="shared" si="147"/>
        <v>42789.426875000005</v>
      </c>
      <c r="U1549" s="5">
        <f>VLOOKUP(currency,Tables!$A$1:$C$14,3,FALSE)*pledged</f>
        <v>0</v>
      </c>
    </row>
    <row r="1550" spans="1:21" ht="28.8" x14ac:dyDescent="0.55000000000000004">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16">
        <f t="shared" si="145"/>
        <v>60</v>
      </c>
      <c r="Q1550" t="str">
        <f t="shared" si="148"/>
        <v>photography</v>
      </c>
      <c r="R1550" t="str">
        <f t="shared" si="149"/>
        <v>nature</v>
      </c>
      <c r="S1550" s="4">
        <f t="shared" si="146"/>
        <v>42286.88217592593</v>
      </c>
      <c r="T1550" s="4">
        <f t="shared" si="147"/>
        <v>42316.923842592587</v>
      </c>
      <c r="U1550" s="5">
        <f>VLOOKUP(currency,Tables!$A$1:$C$14,3,FALSE)*pledged</f>
        <v>60</v>
      </c>
    </row>
    <row r="1551" spans="1:21" ht="43.2" x14ac:dyDescent="0.55000000000000004">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144"/>
        <v>0.34</v>
      </c>
      <c r="P1551" s="16">
        <f t="shared" si="145"/>
        <v>28.333333333333332</v>
      </c>
      <c r="Q1551" t="str">
        <f t="shared" si="148"/>
        <v>photography</v>
      </c>
      <c r="R1551" t="str">
        <f t="shared" si="149"/>
        <v>nature</v>
      </c>
      <c r="S1551" s="4">
        <f t="shared" si="146"/>
        <v>42281.136099537034</v>
      </c>
      <c r="T1551" s="4">
        <f t="shared" si="147"/>
        <v>42311.177766203706</v>
      </c>
      <c r="U1551" s="5">
        <f>VLOOKUP(currency,Tables!$A$1:$C$14,3,FALSE)*pledged</f>
        <v>170</v>
      </c>
    </row>
    <row r="1552" spans="1:21" ht="43.2" x14ac:dyDescent="0.55000000000000004">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16">
        <f t="shared" si="145"/>
        <v>14.428571428571429</v>
      </c>
      <c r="Q1552" t="str">
        <f t="shared" si="148"/>
        <v>photography</v>
      </c>
      <c r="R1552" t="str">
        <f t="shared" si="149"/>
        <v>nature</v>
      </c>
      <c r="S1552" s="4">
        <f t="shared" si="146"/>
        <v>42472.449467592596</v>
      </c>
      <c r="T1552" s="4">
        <f t="shared" si="147"/>
        <v>42502.449467592596</v>
      </c>
      <c r="U1552" s="5">
        <f>VLOOKUP(currency,Tables!$A$1:$C$14,3,FALSE)*pledged</f>
        <v>133.32</v>
      </c>
    </row>
    <row r="1553" spans="1:21" ht="43.2" x14ac:dyDescent="0.55000000000000004">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144"/>
        <v>0</v>
      </c>
      <c r="P1553" s="16">
        <f t="shared" si="145"/>
        <v>0</v>
      </c>
      <c r="Q1553" t="str">
        <f t="shared" si="148"/>
        <v>photography</v>
      </c>
      <c r="R1553" t="str">
        <f t="shared" si="149"/>
        <v>nature</v>
      </c>
      <c r="S1553" s="4">
        <f t="shared" si="146"/>
        <v>42121.824525462958</v>
      </c>
      <c r="T1553" s="4">
        <f t="shared" si="147"/>
        <v>42151.824525462958</v>
      </c>
      <c r="U1553" s="5">
        <f>VLOOKUP(currency,Tables!$A$1:$C$14,3,FALSE)*pledged</f>
        <v>0</v>
      </c>
    </row>
    <row r="1554" spans="1:21" ht="43.2" x14ac:dyDescent="0.55000000000000004">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16">
        <f t="shared" si="145"/>
        <v>132.1875</v>
      </c>
      <c r="Q1554" t="str">
        <f t="shared" si="148"/>
        <v>photography</v>
      </c>
      <c r="R1554" t="str">
        <f t="shared" si="149"/>
        <v>nature</v>
      </c>
      <c r="S1554" s="4">
        <f t="shared" si="146"/>
        <v>41892.688750000001</v>
      </c>
      <c r="T1554" s="4">
        <f t="shared" si="147"/>
        <v>41913.165972222225</v>
      </c>
      <c r="U1554" s="5">
        <f>VLOOKUP(currency,Tables!$A$1:$C$14,3,FALSE)*pledged</f>
        <v>2115</v>
      </c>
    </row>
    <row r="1555" spans="1:21" ht="43.2" x14ac:dyDescent="0.55000000000000004">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144"/>
        <v>0</v>
      </c>
      <c r="P1555" s="16">
        <f t="shared" si="145"/>
        <v>0</v>
      </c>
      <c r="Q1555" t="str">
        <f t="shared" si="148"/>
        <v>photography</v>
      </c>
      <c r="R1555" t="str">
        <f t="shared" si="149"/>
        <v>nature</v>
      </c>
      <c r="S1555" s="4">
        <f t="shared" si="146"/>
        <v>42219.282951388886</v>
      </c>
      <c r="T1555" s="4">
        <f t="shared" si="147"/>
        <v>42249.282951388886</v>
      </c>
      <c r="U1555" s="5">
        <f>VLOOKUP(currency,Tables!$A$1:$C$14,3,FALSE)*pledged</f>
        <v>0</v>
      </c>
    </row>
    <row r="1556" spans="1:21" ht="57.6" x14ac:dyDescent="0.55000000000000004">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144"/>
        <v>0</v>
      </c>
      <c r="P1556" s="16">
        <f t="shared" si="145"/>
        <v>0</v>
      </c>
      <c r="Q1556" t="str">
        <f t="shared" si="148"/>
        <v>photography</v>
      </c>
      <c r="R1556" t="str">
        <f t="shared" si="149"/>
        <v>nature</v>
      </c>
      <c r="S1556" s="4">
        <f t="shared" si="146"/>
        <v>42188.252199074079</v>
      </c>
      <c r="T1556" s="4">
        <f t="shared" si="147"/>
        <v>42218.252199074079</v>
      </c>
      <c r="U1556" s="5">
        <f>VLOOKUP(currency,Tables!$A$1:$C$14,3,FALSE)*pledged</f>
        <v>0</v>
      </c>
    </row>
    <row r="1557" spans="1:21" ht="43.2" x14ac:dyDescent="0.55000000000000004">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144"/>
        <v>0</v>
      </c>
      <c r="P1557" s="16">
        <f t="shared" si="145"/>
        <v>0</v>
      </c>
      <c r="Q1557" t="str">
        <f t="shared" si="148"/>
        <v>photography</v>
      </c>
      <c r="R1557" t="str">
        <f t="shared" si="149"/>
        <v>nature</v>
      </c>
      <c r="S1557" s="4">
        <f t="shared" si="146"/>
        <v>42241.613796296297</v>
      </c>
      <c r="T1557" s="4">
        <f t="shared" si="147"/>
        <v>42264.708333333328</v>
      </c>
      <c r="U1557" s="5">
        <f>VLOOKUP(currency,Tables!$A$1:$C$14,3,FALSE)*pledged</f>
        <v>0</v>
      </c>
    </row>
    <row r="1558" spans="1:21" ht="43.2" x14ac:dyDescent="0.55000000000000004">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16">
        <f t="shared" si="145"/>
        <v>56.416666666666664</v>
      </c>
      <c r="Q1558" t="str">
        <f t="shared" si="148"/>
        <v>photography</v>
      </c>
      <c r="R1558" t="str">
        <f t="shared" si="149"/>
        <v>nature</v>
      </c>
      <c r="S1558" s="4">
        <f t="shared" si="146"/>
        <v>42525.153055555551</v>
      </c>
      <c r="T1558" s="4">
        <f t="shared" si="147"/>
        <v>42555.153055555551</v>
      </c>
      <c r="U1558" s="5">
        <f>VLOOKUP(currency,Tables!$A$1:$C$14,3,FALSE)*pledged</f>
        <v>514.52</v>
      </c>
    </row>
    <row r="1559" spans="1:21" ht="43.2" x14ac:dyDescent="0.55000000000000004">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144"/>
        <v>0.04</v>
      </c>
      <c r="P1559" s="16">
        <f t="shared" si="145"/>
        <v>100</v>
      </c>
      <c r="Q1559" t="str">
        <f t="shared" si="148"/>
        <v>photography</v>
      </c>
      <c r="R1559" t="str">
        <f t="shared" si="149"/>
        <v>nature</v>
      </c>
      <c r="S1559" s="4">
        <f t="shared" si="146"/>
        <v>41871.65315972222</v>
      </c>
      <c r="T1559" s="4">
        <f t="shared" si="147"/>
        <v>41902.65315972222</v>
      </c>
      <c r="U1559" s="5">
        <f>VLOOKUP(currency,Tables!$A$1:$C$14,3,FALSE)*pledged</f>
        <v>100</v>
      </c>
    </row>
    <row r="1560" spans="1:21" ht="28.8" x14ac:dyDescent="0.55000000000000004">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16">
        <f t="shared" si="145"/>
        <v>11.666666666666666</v>
      </c>
      <c r="Q1560" t="str">
        <f t="shared" si="148"/>
        <v>photography</v>
      </c>
      <c r="R1560" t="str">
        <f t="shared" si="149"/>
        <v>nature</v>
      </c>
      <c r="S1560" s="4">
        <f t="shared" si="146"/>
        <v>42185.397673611107</v>
      </c>
      <c r="T1560" s="4">
        <f t="shared" si="147"/>
        <v>42244.508333333331</v>
      </c>
      <c r="U1560" s="5">
        <f>VLOOKUP(currency,Tables!$A$1:$C$14,3,FALSE)*pledged</f>
        <v>46.2</v>
      </c>
    </row>
    <row r="1561" spans="1:21" ht="28.8" x14ac:dyDescent="0.55000000000000004">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16">
        <f t="shared" si="145"/>
        <v>50</v>
      </c>
      <c r="Q1561" t="str">
        <f t="shared" si="148"/>
        <v>photography</v>
      </c>
      <c r="R1561" t="str">
        <f t="shared" si="149"/>
        <v>nature</v>
      </c>
      <c r="S1561" s="4">
        <f t="shared" si="146"/>
        <v>42108.05322916666</v>
      </c>
      <c r="T1561" s="4">
        <f t="shared" si="147"/>
        <v>42123.05322916666</v>
      </c>
      <c r="U1561" s="5">
        <f>VLOOKUP(currency,Tables!$A$1:$C$14,3,FALSE)*pledged</f>
        <v>50</v>
      </c>
    </row>
    <row r="1562" spans="1:21" ht="43.2" x14ac:dyDescent="0.55000000000000004">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16">
        <f t="shared" si="145"/>
        <v>23.5</v>
      </c>
      <c r="Q1562" t="str">
        <f t="shared" si="148"/>
        <v>photography</v>
      </c>
      <c r="R1562" t="str">
        <f t="shared" si="149"/>
        <v>nature</v>
      </c>
      <c r="S1562" s="4">
        <f t="shared" si="146"/>
        <v>41936.020752314813</v>
      </c>
      <c r="T1562" s="4">
        <f t="shared" si="147"/>
        <v>41956.062418981484</v>
      </c>
      <c r="U1562" s="5">
        <f>VLOOKUP(currency,Tables!$A$1:$C$14,3,FALSE)*pledged</f>
        <v>94</v>
      </c>
    </row>
    <row r="1563" spans="1:21" ht="43.2" x14ac:dyDescent="0.55000000000000004">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16">
        <f t="shared" si="145"/>
        <v>67</v>
      </c>
      <c r="Q1563" t="str">
        <f t="shared" si="148"/>
        <v>publishing</v>
      </c>
      <c r="R1563" t="str">
        <f t="shared" si="149"/>
        <v>art books</v>
      </c>
      <c r="S1563" s="4">
        <f t="shared" si="146"/>
        <v>41555.041701388887</v>
      </c>
      <c r="T1563" s="4">
        <f t="shared" si="147"/>
        <v>41585.083368055559</v>
      </c>
      <c r="U1563" s="5">
        <f>VLOOKUP(currency,Tables!$A$1:$C$14,3,FALSE)*pledged</f>
        <v>67</v>
      </c>
    </row>
    <row r="1564" spans="1:21" ht="43.2" x14ac:dyDescent="0.55000000000000004">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144"/>
        <v>0</v>
      </c>
      <c r="P1564" s="16">
        <f t="shared" si="145"/>
        <v>0</v>
      </c>
      <c r="Q1564" t="str">
        <f t="shared" si="148"/>
        <v>publishing</v>
      </c>
      <c r="R1564" t="str">
        <f t="shared" si="149"/>
        <v>art books</v>
      </c>
      <c r="S1564" s="4">
        <f t="shared" si="146"/>
        <v>40079.566157407404</v>
      </c>
      <c r="T1564" s="4">
        <f t="shared" si="147"/>
        <v>40149.034722222219</v>
      </c>
      <c r="U1564" s="5">
        <f>VLOOKUP(currency,Tables!$A$1:$C$14,3,FALSE)*pledged</f>
        <v>0</v>
      </c>
    </row>
    <row r="1565" spans="1:21" ht="43.2" x14ac:dyDescent="0.55000000000000004">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16">
        <f t="shared" si="145"/>
        <v>42.5</v>
      </c>
      <c r="Q1565" t="str">
        <f t="shared" si="148"/>
        <v>publishing</v>
      </c>
      <c r="R1565" t="str">
        <f t="shared" si="149"/>
        <v>art books</v>
      </c>
      <c r="S1565" s="4">
        <f t="shared" si="146"/>
        <v>41652.742488425924</v>
      </c>
      <c r="T1565" s="4">
        <f t="shared" si="147"/>
        <v>41712.700821759259</v>
      </c>
      <c r="U1565" s="5">
        <f>VLOOKUP(currency,Tables!$A$1:$C$14,3,FALSE)*pledged</f>
        <v>112.2</v>
      </c>
    </row>
    <row r="1566" spans="1:21" ht="43.2" x14ac:dyDescent="0.55000000000000004">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144"/>
        <v>1E-3</v>
      </c>
      <c r="P1566" s="16">
        <f t="shared" si="145"/>
        <v>10</v>
      </c>
      <c r="Q1566" t="str">
        <f t="shared" si="148"/>
        <v>publishing</v>
      </c>
      <c r="R1566" t="str">
        <f t="shared" si="149"/>
        <v>art books</v>
      </c>
      <c r="S1566" s="4">
        <f t="shared" si="146"/>
        <v>42121.367002314815</v>
      </c>
      <c r="T1566" s="4">
        <f t="shared" si="147"/>
        <v>42152.836805555555</v>
      </c>
      <c r="U1566" s="5">
        <f>VLOOKUP(currency,Tables!$A$1:$C$14,3,FALSE)*pledged</f>
        <v>10</v>
      </c>
    </row>
    <row r="1567" spans="1:21" ht="43.2" x14ac:dyDescent="0.55000000000000004">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16">
        <f t="shared" si="145"/>
        <v>100</v>
      </c>
      <c r="Q1567" t="str">
        <f t="shared" si="148"/>
        <v>publishing</v>
      </c>
      <c r="R1567" t="str">
        <f t="shared" si="149"/>
        <v>art books</v>
      </c>
      <c r="S1567" s="4">
        <f t="shared" si="146"/>
        <v>40672.729872685188</v>
      </c>
      <c r="T1567" s="4">
        <f t="shared" si="147"/>
        <v>40702.729872685188</v>
      </c>
      <c r="U1567" s="5">
        <f>VLOOKUP(currency,Tables!$A$1:$C$14,3,FALSE)*pledged</f>
        <v>100</v>
      </c>
    </row>
    <row r="1568" spans="1:21" ht="43.2" x14ac:dyDescent="0.55000000000000004">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16">
        <f t="shared" si="145"/>
        <v>108.05084745762711</v>
      </c>
      <c r="Q1568" t="str">
        <f t="shared" si="148"/>
        <v>publishing</v>
      </c>
      <c r="R1568" t="str">
        <f t="shared" si="149"/>
        <v>art books</v>
      </c>
      <c r="S1568" s="4">
        <f t="shared" si="146"/>
        <v>42549.916712962964</v>
      </c>
      <c r="T1568" s="4">
        <f t="shared" si="147"/>
        <v>42578.916666666672</v>
      </c>
      <c r="U1568" s="5">
        <f>VLOOKUP(currency,Tables!$A$1:$C$14,3,FALSE)*pledged</f>
        <v>6375</v>
      </c>
    </row>
    <row r="1569" spans="1:21" ht="43.2" x14ac:dyDescent="0.55000000000000004">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16">
        <f t="shared" si="145"/>
        <v>26.923076923076923</v>
      </c>
      <c r="Q1569" t="str">
        <f t="shared" si="148"/>
        <v>publishing</v>
      </c>
      <c r="R1569" t="str">
        <f t="shared" si="149"/>
        <v>art books</v>
      </c>
      <c r="S1569" s="4">
        <f t="shared" si="146"/>
        <v>41671.936863425923</v>
      </c>
      <c r="T1569" s="4">
        <f t="shared" si="147"/>
        <v>41687</v>
      </c>
      <c r="U1569" s="5">
        <f>VLOOKUP(currency,Tables!$A$1:$C$14,3,FALSE)*pledged</f>
        <v>350</v>
      </c>
    </row>
    <row r="1570" spans="1:21" ht="43.2" x14ac:dyDescent="0.55000000000000004">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16">
        <f t="shared" si="145"/>
        <v>155</v>
      </c>
      <c r="Q1570" t="str">
        <f t="shared" si="148"/>
        <v>publishing</v>
      </c>
      <c r="R1570" t="str">
        <f t="shared" si="149"/>
        <v>art books</v>
      </c>
      <c r="S1570" s="4">
        <f t="shared" si="146"/>
        <v>41962.062326388885</v>
      </c>
      <c r="T1570" s="4">
        <f t="shared" si="147"/>
        <v>41997.062326388885</v>
      </c>
      <c r="U1570" s="5">
        <f>VLOOKUP(currency,Tables!$A$1:$C$14,3,FALSE)*pledged</f>
        <v>3410</v>
      </c>
    </row>
    <row r="1571" spans="1:21" x14ac:dyDescent="0.55000000000000004">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144"/>
        <v>0</v>
      </c>
      <c r="P1571" s="16">
        <f t="shared" si="145"/>
        <v>0</v>
      </c>
      <c r="Q1571" t="str">
        <f t="shared" si="148"/>
        <v>publishing</v>
      </c>
      <c r="R1571" t="str">
        <f t="shared" si="149"/>
        <v>art books</v>
      </c>
      <c r="S1571" s="4">
        <f t="shared" si="146"/>
        <v>41389.679560185185</v>
      </c>
      <c r="T1571" s="4">
        <f t="shared" si="147"/>
        <v>41419.679560185185</v>
      </c>
      <c r="U1571" s="5">
        <f>VLOOKUP(currency,Tables!$A$1:$C$14,3,FALSE)*pledged</f>
        <v>0</v>
      </c>
    </row>
    <row r="1572" spans="1:21" ht="28.8" x14ac:dyDescent="0.55000000000000004">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16">
        <f t="shared" si="145"/>
        <v>47.769230769230766</v>
      </c>
      <c r="Q1572" t="str">
        <f t="shared" si="148"/>
        <v>publishing</v>
      </c>
      <c r="R1572" t="str">
        <f t="shared" si="149"/>
        <v>art books</v>
      </c>
      <c r="S1572" s="4">
        <f t="shared" si="146"/>
        <v>42438.813449074078</v>
      </c>
      <c r="T1572" s="4">
        <f t="shared" si="147"/>
        <v>42468.771782407406</v>
      </c>
      <c r="U1572" s="5">
        <f>VLOOKUP(currency,Tables!$A$1:$C$14,3,FALSE)*pledged</f>
        <v>2484</v>
      </c>
    </row>
    <row r="1573" spans="1:21" ht="43.2" x14ac:dyDescent="0.55000000000000004">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16">
        <f t="shared" si="145"/>
        <v>20</v>
      </c>
      <c r="Q1573" t="str">
        <f t="shared" si="148"/>
        <v>publishing</v>
      </c>
      <c r="R1573" t="str">
        <f t="shared" si="149"/>
        <v>art books</v>
      </c>
      <c r="S1573" s="4">
        <f t="shared" si="146"/>
        <v>42144.769479166673</v>
      </c>
      <c r="T1573" s="4">
        <f t="shared" si="147"/>
        <v>42174.769479166673</v>
      </c>
      <c r="U1573" s="5">
        <f>VLOOKUP(currency,Tables!$A$1:$C$14,3,FALSE)*pledged</f>
        <v>105.60000000000001</v>
      </c>
    </row>
    <row r="1574" spans="1:21" ht="43.2" x14ac:dyDescent="0.55000000000000004">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144"/>
        <v>0.05</v>
      </c>
      <c r="P1574" s="16">
        <f t="shared" si="145"/>
        <v>41.666666666666664</v>
      </c>
      <c r="Q1574" t="str">
        <f t="shared" si="148"/>
        <v>publishing</v>
      </c>
      <c r="R1574" t="str">
        <f t="shared" si="149"/>
        <v>art books</v>
      </c>
      <c r="S1574" s="4">
        <f t="shared" si="146"/>
        <v>42404.033090277779</v>
      </c>
      <c r="T1574" s="4">
        <f t="shared" si="147"/>
        <v>42428.999305555553</v>
      </c>
      <c r="U1574" s="5">
        <f>VLOOKUP(currency,Tables!$A$1:$C$14,3,FALSE)*pledged</f>
        <v>165</v>
      </c>
    </row>
    <row r="1575" spans="1:21" ht="43.2" x14ac:dyDescent="0.55000000000000004">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16">
        <f t="shared" si="145"/>
        <v>74.333333333333329</v>
      </c>
      <c r="Q1575" t="str">
        <f t="shared" si="148"/>
        <v>publishing</v>
      </c>
      <c r="R1575" t="str">
        <f t="shared" si="149"/>
        <v>art books</v>
      </c>
      <c r="S1575" s="4">
        <f t="shared" si="146"/>
        <v>42786.000023148154</v>
      </c>
      <c r="T1575" s="4">
        <f t="shared" si="147"/>
        <v>42826.165972222225</v>
      </c>
      <c r="U1575" s="5">
        <f>VLOOKUP(currency,Tables!$A$1:$C$14,3,FALSE)*pledged</f>
        <v>169.48</v>
      </c>
    </row>
    <row r="1576" spans="1:21" ht="43.2" x14ac:dyDescent="0.55000000000000004">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16">
        <f t="shared" si="145"/>
        <v>84.333333333333329</v>
      </c>
      <c r="Q1576" t="str">
        <f t="shared" si="148"/>
        <v>publishing</v>
      </c>
      <c r="R1576" t="str">
        <f t="shared" si="149"/>
        <v>art books</v>
      </c>
      <c r="S1576" s="4">
        <f t="shared" si="146"/>
        <v>42017.927418981482</v>
      </c>
      <c r="T1576" s="4">
        <f t="shared" si="147"/>
        <v>42052.927418981482</v>
      </c>
      <c r="U1576" s="5">
        <f>VLOOKUP(currency,Tables!$A$1:$C$14,3,FALSE)*pledged</f>
        <v>506</v>
      </c>
    </row>
    <row r="1577" spans="1:21" ht="43.2" x14ac:dyDescent="0.55000000000000004">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16">
        <f t="shared" si="145"/>
        <v>65.457142857142856</v>
      </c>
      <c r="Q1577" t="str">
        <f t="shared" si="148"/>
        <v>publishing</v>
      </c>
      <c r="R1577" t="str">
        <f t="shared" si="149"/>
        <v>art books</v>
      </c>
      <c r="S1577" s="4">
        <f t="shared" si="146"/>
        <v>41799.524259259262</v>
      </c>
      <c r="T1577" s="4">
        <f t="shared" si="147"/>
        <v>41829.524259259262</v>
      </c>
      <c r="U1577" s="5">
        <f>VLOOKUP(currency,Tables!$A$1:$C$14,3,FALSE)*pledged</f>
        <v>2291</v>
      </c>
    </row>
    <row r="1578" spans="1:21" ht="28.8" x14ac:dyDescent="0.55000000000000004">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144"/>
        <v>0.13</v>
      </c>
      <c r="P1578" s="16">
        <f t="shared" si="145"/>
        <v>65</v>
      </c>
      <c r="Q1578" t="str">
        <f t="shared" si="148"/>
        <v>publishing</v>
      </c>
      <c r="R1578" t="str">
        <f t="shared" si="149"/>
        <v>art books</v>
      </c>
      <c r="S1578" s="4">
        <f t="shared" si="146"/>
        <v>42140.879259259258</v>
      </c>
      <c r="T1578" s="4">
        <f t="shared" si="147"/>
        <v>42185.879259259258</v>
      </c>
      <c r="U1578" s="5">
        <f>VLOOKUP(currency,Tables!$A$1:$C$14,3,FALSE)*pledged</f>
        <v>650</v>
      </c>
    </row>
    <row r="1579" spans="1:21" ht="43.2" x14ac:dyDescent="0.55000000000000004">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16">
        <f t="shared" si="145"/>
        <v>27.5</v>
      </c>
      <c r="Q1579" t="str">
        <f t="shared" si="148"/>
        <v>publishing</v>
      </c>
      <c r="R1579" t="str">
        <f t="shared" si="149"/>
        <v>art books</v>
      </c>
      <c r="S1579" s="4">
        <f t="shared" si="146"/>
        <v>41054.847777777781</v>
      </c>
      <c r="T1579" s="4">
        <f t="shared" si="147"/>
        <v>41114.847777777781</v>
      </c>
      <c r="U1579" s="5">
        <f>VLOOKUP(currency,Tables!$A$1:$C$14,3,FALSE)*pledged</f>
        <v>55</v>
      </c>
    </row>
    <row r="1580" spans="1:21" ht="57.6" x14ac:dyDescent="0.55000000000000004">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16">
        <f t="shared" si="145"/>
        <v>51.25</v>
      </c>
      <c r="Q1580" t="str">
        <f t="shared" si="148"/>
        <v>publishing</v>
      </c>
      <c r="R1580" t="str">
        <f t="shared" si="149"/>
        <v>art books</v>
      </c>
      <c r="S1580" s="4">
        <f t="shared" si="146"/>
        <v>40399.065868055557</v>
      </c>
      <c r="T1580" s="4">
        <f t="shared" si="147"/>
        <v>40423.083333333336</v>
      </c>
      <c r="U1580" s="5">
        <f>VLOOKUP(currency,Tables!$A$1:$C$14,3,FALSE)*pledged</f>
        <v>205</v>
      </c>
    </row>
    <row r="1581" spans="1:21" ht="28.8" x14ac:dyDescent="0.55000000000000004">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16">
        <f t="shared" si="145"/>
        <v>14</v>
      </c>
      <c r="Q1581" t="str">
        <f t="shared" si="148"/>
        <v>publishing</v>
      </c>
      <c r="R1581" t="str">
        <f t="shared" si="149"/>
        <v>art books</v>
      </c>
      <c r="S1581" s="4">
        <f t="shared" si="146"/>
        <v>41481.996423611112</v>
      </c>
      <c r="T1581" s="4">
        <f t="shared" si="147"/>
        <v>41514.996423611112</v>
      </c>
      <c r="U1581" s="5">
        <f>VLOOKUP(currency,Tables!$A$1:$C$14,3,FALSE)*pledged</f>
        <v>28</v>
      </c>
    </row>
    <row r="1582" spans="1:21" ht="43.2" x14ac:dyDescent="0.55000000000000004">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144"/>
        <v>0</v>
      </c>
      <c r="P1582" s="16">
        <f t="shared" si="145"/>
        <v>0</v>
      </c>
      <c r="Q1582" t="str">
        <f t="shared" si="148"/>
        <v>publishing</v>
      </c>
      <c r="R1582" t="str">
        <f t="shared" si="149"/>
        <v>art books</v>
      </c>
      <c r="S1582" s="4">
        <f t="shared" si="146"/>
        <v>40990.050069444449</v>
      </c>
      <c r="T1582" s="4">
        <f t="shared" si="147"/>
        <v>41050.050069444449</v>
      </c>
      <c r="U1582" s="5">
        <f>VLOOKUP(currency,Tables!$A$1:$C$14,3,FALSE)*pledged</f>
        <v>0</v>
      </c>
    </row>
    <row r="1583" spans="1:21" ht="43.2" x14ac:dyDescent="0.55000000000000004">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16">
        <f t="shared" si="145"/>
        <v>5</v>
      </c>
      <c r="Q1583" t="str">
        <f t="shared" si="148"/>
        <v>photography</v>
      </c>
      <c r="R1583" t="str">
        <f t="shared" si="149"/>
        <v>places</v>
      </c>
      <c r="S1583" s="4">
        <f t="shared" si="146"/>
        <v>42325.448958333334</v>
      </c>
      <c r="T1583" s="4">
        <f t="shared" si="147"/>
        <v>42357.448958333334</v>
      </c>
      <c r="U1583" s="5">
        <f>VLOOKUP(currency,Tables!$A$1:$C$14,3,FALSE)*pledged</f>
        <v>6.6000000000000005</v>
      </c>
    </row>
    <row r="1584" spans="1:21" ht="28.8" x14ac:dyDescent="0.55000000000000004">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16">
        <f t="shared" si="145"/>
        <v>31</v>
      </c>
      <c r="Q1584" t="str">
        <f t="shared" si="148"/>
        <v>photography</v>
      </c>
      <c r="R1584" t="str">
        <f t="shared" si="149"/>
        <v>places</v>
      </c>
      <c r="S1584" s="4">
        <f t="shared" si="146"/>
        <v>42246.789965277778</v>
      </c>
      <c r="T1584" s="4">
        <f t="shared" si="147"/>
        <v>42303.888888888891</v>
      </c>
      <c r="U1584" s="5">
        <f>VLOOKUP(currency,Tables!$A$1:$C$14,3,FALSE)*pledged</f>
        <v>93</v>
      </c>
    </row>
    <row r="1585" spans="1:21" ht="43.2" x14ac:dyDescent="0.55000000000000004">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16">
        <f t="shared" si="145"/>
        <v>15</v>
      </c>
      <c r="Q1585" t="str">
        <f t="shared" si="148"/>
        <v>photography</v>
      </c>
      <c r="R1585" t="str">
        <f t="shared" si="149"/>
        <v>places</v>
      </c>
      <c r="S1585" s="4">
        <f t="shared" si="146"/>
        <v>41877.904988425929</v>
      </c>
      <c r="T1585" s="4">
        <f t="shared" si="147"/>
        <v>41907.904988425929</v>
      </c>
      <c r="U1585" s="5">
        <f>VLOOKUP(currency,Tables!$A$1:$C$14,3,FALSE)*pledged</f>
        <v>19.8</v>
      </c>
    </row>
    <row r="1586" spans="1:21" ht="43.2" x14ac:dyDescent="0.55000000000000004">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144"/>
        <v>0</v>
      </c>
      <c r="P1586" s="16">
        <f t="shared" si="145"/>
        <v>0</v>
      </c>
      <c r="Q1586" t="str">
        <f t="shared" si="148"/>
        <v>photography</v>
      </c>
      <c r="R1586" t="str">
        <f t="shared" si="149"/>
        <v>places</v>
      </c>
      <c r="S1586" s="4">
        <f t="shared" si="146"/>
        <v>41779.649317129632</v>
      </c>
      <c r="T1586" s="4">
        <f t="shared" si="147"/>
        <v>41789.649317129632</v>
      </c>
      <c r="U1586" s="5">
        <f>VLOOKUP(currency,Tables!$A$1:$C$14,3,FALSE)*pledged</f>
        <v>0</v>
      </c>
    </row>
    <row r="1587" spans="1:21" ht="43.2" x14ac:dyDescent="0.55000000000000004">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144"/>
        <v>0.79</v>
      </c>
      <c r="P1587" s="16">
        <f t="shared" si="145"/>
        <v>131.66666666666666</v>
      </c>
      <c r="Q1587" t="str">
        <f t="shared" si="148"/>
        <v>photography</v>
      </c>
      <c r="R1587" t="str">
        <f t="shared" si="149"/>
        <v>places</v>
      </c>
      <c r="S1587" s="4">
        <f t="shared" si="146"/>
        <v>42707.895462962959</v>
      </c>
      <c r="T1587" s="4">
        <f t="shared" si="147"/>
        <v>42729.458333333328</v>
      </c>
      <c r="U1587" s="5">
        <f>VLOOKUP(currency,Tables!$A$1:$C$14,3,FALSE)*pledged</f>
        <v>1200.8</v>
      </c>
    </row>
    <row r="1588" spans="1:21" ht="28.8" x14ac:dyDescent="0.55000000000000004">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144"/>
        <v>0</v>
      </c>
      <c r="P1588" s="16">
        <f t="shared" si="145"/>
        <v>0</v>
      </c>
      <c r="Q1588" t="str">
        <f t="shared" si="148"/>
        <v>photography</v>
      </c>
      <c r="R1588" t="str">
        <f t="shared" si="149"/>
        <v>places</v>
      </c>
      <c r="S1588" s="4">
        <f t="shared" si="146"/>
        <v>42069.104421296302</v>
      </c>
      <c r="T1588" s="4">
        <f t="shared" si="147"/>
        <v>42099.062754629631</v>
      </c>
      <c r="U1588" s="5">
        <f>VLOOKUP(currency,Tables!$A$1:$C$14,3,FALSE)*pledged</f>
        <v>0</v>
      </c>
    </row>
    <row r="1589" spans="1:21" ht="43.2" x14ac:dyDescent="0.55000000000000004">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16">
        <f t="shared" si="145"/>
        <v>1</v>
      </c>
      <c r="Q1589" t="str">
        <f t="shared" si="148"/>
        <v>photography</v>
      </c>
      <c r="R1589" t="str">
        <f t="shared" si="149"/>
        <v>places</v>
      </c>
      <c r="S1589" s="4">
        <f t="shared" si="146"/>
        <v>41956.950983796298</v>
      </c>
      <c r="T1589" s="4">
        <f t="shared" si="147"/>
        <v>41986.950983796298</v>
      </c>
      <c r="U1589" s="5">
        <f>VLOOKUP(currency,Tables!$A$1:$C$14,3,FALSE)*pledged</f>
        <v>1</v>
      </c>
    </row>
    <row r="1590" spans="1:21" ht="28.8" x14ac:dyDescent="0.55000000000000004">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144"/>
        <v>0</v>
      </c>
      <c r="P1590" s="16">
        <f t="shared" si="145"/>
        <v>0</v>
      </c>
      <c r="Q1590" t="str">
        <f t="shared" si="148"/>
        <v>photography</v>
      </c>
      <c r="R1590" t="str">
        <f t="shared" si="149"/>
        <v>places</v>
      </c>
      <c r="S1590" s="4">
        <f t="shared" si="146"/>
        <v>42005.24998842593</v>
      </c>
      <c r="T1590" s="4">
        <f t="shared" si="147"/>
        <v>42035.841666666667</v>
      </c>
      <c r="U1590" s="5">
        <f>VLOOKUP(currency,Tables!$A$1:$C$14,3,FALSE)*pledged</f>
        <v>0</v>
      </c>
    </row>
    <row r="1591" spans="1:21" ht="43.2" x14ac:dyDescent="0.55000000000000004">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144"/>
        <v>0</v>
      </c>
      <c r="P1591" s="16">
        <f t="shared" si="145"/>
        <v>0</v>
      </c>
      <c r="Q1591" t="str">
        <f t="shared" si="148"/>
        <v>photography</v>
      </c>
      <c r="R1591" t="str">
        <f t="shared" si="149"/>
        <v>places</v>
      </c>
      <c r="S1591" s="4">
        <f t="shared" si="146"/>
        <v>42256.984791666662</v>
      </c>
      <c r="T1591" s="4">
        <f t="shared" si="147"/>
        <v>42286.984791666662</v>
      </c>
      <c r="U1591" s="5">
        <f>VLOOKUP(currency,Tables!$A$1:$C$14,3,FALSE)*pledged</f>
        <v>0</v>
      </c>
    </row>
    <row r="1592" spans="1:21" x14ac:dyDescent="0.55000000000000004">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16">
        <f t="shared" si="145"/>
        <v>510</v>
      </c>
      <c r="Q1592" t="str">
        <f t="shared" si="148"/>
        <v>photography</v>
      </c>
      <c r="R1592" t="str">
        <f t="shared" si="149"/>
        <v>places</v>
      </c>
      <c r="S1592" s="4">
        <f t="shared" si="146"/>
        <v>42240.857222222221</v>
      </c>
      <c r="T1592" s="4">
        <f t="shared" si="147"/>
        <v>42270.857222222221</v>
      </c>
      <c r="U1592" s="5">
        <f>VLOOKUP(currency,Tables!$A$1:$C$14,3,FALSE)*pledged</f>
        <v>1203.5999999999999</v>
      </c>
    </row>
    <row r="1593" spans="1:21" ht="43.2" x14ac:dyDescent="0.55000000000000004">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16">
        <f t="shared" si="145"/>
        <v>44.478260869565219</v>
      </c>
      <c r="Q1593" t="str">
        <f t="shared" si="148"/>
        <v>photography</v>
      </c>
      <c r="R1593" t="str">
        <f t="shared" si="149"/>
        <v>places</v>
      </c>
      <c r="S1593" s="4">
        <f t="shared" si="146"/>
        <v>42433.726168981477</v>
      </c>
      <c r="T1593" s="4">
        <f t="shared" si="147"/>
        <v>42463.68450231482</v>
      </c>
      <c r="U1593" s="5">
        <f>VLOOKUP(currency,Tables!$A$1:$C$14,3,FALSE)*pledged</f>
        <v>5401.4400000000005</v>
      </c>
    </row>
    <row r="1594" spans="1:21" ht="28.8" x14ac:dyDescent="0.55000000000000004">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144"/>
        <v>0</v>
      </c>
      <c r="P1594" s="16">
        <f t="shared" si="145"/>
        <v>0</v>
      </c>
      <c r="Q1594" t="str">
        <f t="shared" si="148"/>
        <v>photography</v>
      </c>
      <c r="R1594" t="str">
        <f t="shared" si="149"/>
        <v>places</v>
      </c>
      <c r="S1594" s="4">
        <f t="shared" si="146"/>
        <v>42046.072743055556</v>
      </c>
      <c r="T1594" s="4">
        <f t="shared" si="147"/>
        <v>42091.031076388885</v>
      </c>
      <c r="U1594" s="5">
        <f>VLOOKUP(currency,Tables!$A$1:$C$14,3,FALSE)*pledged</f>
        <v>0</v>
      </c>
    </row>
    <row r="1595" spans="1:21" ht="28.8" x14ac:dyDescent="0.55000000000000004">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16">
        <f t="shared" si="145"/>
        <v>1</v>
      </c>
      <c r="Q1595" t="str">
        <f t="shared" si="148"/>
        <v>photography</v>
      </c>
      <c r="R1595" t="str">
        <f t="shared" si="149"/>
        <v>places</v>
      </c>
      <c r="S1595" s="4">
        <f t="shared" si="146"/>
        <v>42033.845543981486</v>
      </c>
      <c r="T1595" s="4">
        <f t="shared" si="147"/>
        <v>42063.845543981486</v>
      </c>
      <c r="U1595" s="5">
        <f>VLOOKUP(currency,Tables!$A$1:$C$14,3,FALSE)*pledged</f>
        <v>3</v>
      </c>
    </row>
    <row r="1596" spans="1:21" ht="28.8" x14ac:dyDescent="0.55000000000000004">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16">
        <f t="shared" si="145"/>
        <v>20.5</v>
      </c>
      <c r="Q1596" t="str">
        <f t="shared" si="148"/>
        <v>photography</v>
      </c>
      <c r="R1596" t="str">
        <f t="shared" si="149"/>
        <v>places</v>
      </c>
      <c r="S1596" s="4">
        <f t="shared" si="146"/>
        <v>42445.712754629625</v>
      </c>
      <c r="T1596" s="4">
        <f t="shared" si="147"/>
        <v>42505.681249999994</v>
      </c>
      <c r="U1596" s="5">
        <f>VLOOKUP(currency,Tables!$A$1:$C$14,3,FALSE)*pledged</f>
        <v>205</v>
      </c>
    </row>
    <row r="1597" spans="1:21" ht="43.2" x14ac:dyDescent="0.55000000000000004">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16">
        <f t="shared" si="145"/>
        <v>40</v>
      </c>
      <c r="Q1597" t="str">
        <f t="shared" si="148"/>
        <v>photography</v>
      </c>
      <c r="R1597" t="str">
        <f t="shared" si="149"/>
        <v>places</v>
      </c>
      <c r="S1597" s="4">
        <f t="shared" si="146"/>
        <v>41780.050092592595</v>
      </c>
      <c r="T1597" s="4">
        <f t="shared" si="147"/>
        <v>41808.842361111114</v>
      </c>
      <c r="U1597" s="5">
        <f>VLOOKUP(currency,Tables!$A$1:$C$14,3,FALSE)*pledged</f>
        <v>280</v>
      </c>
    </row>
    <row r="1598" spans="1:21" ht="28.8" x14ac:dyDescent="0.55000000000000004">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16">
        <f t="shared" si="145"/>
        <v>25</v>
      </c>
      <c r="Q1598" t="str">
        <f t="shared" si="148"/>
        <v>photography</v>
      </c>
      <c r="R1598" t="str">
        <f t="shared" si="149"/>
        <v>places</v>
      </c>
      <c r="S1598" s="4">
        <f t="shared" si="146"/>
        <v>41941.430196759262</v>
      </c>
      <c r="T1598" s="4">
        <f t="shared" si="147"/>
        <v>41986.471863425926</v>
      </c>
      <c r="U1598" s="5">
        <f>VLOOKUP(currency,Tables!$A$1:$C$14,3,FALSE)*pledged</f>
        <v>99</v>
      </c>
    </row>
    <row r="1599" spans="1:21" ht="43.2" x14ac:dyDescent="0.55000000000000004">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144"/>
        <v>0</v>
      </c>
      <c r="P1599" s="16">
        <f t="shared" si="145"/>
        <v>0</v>
      </c>
      <c r="Q1599" t="str">
        <f t="shared" si="148"/>
        <v>photography</v>
      </c>
      <c r="R1599" t="str">
        <f t="shared" si="149"/>
        <v>places</v>
      </c>
      <c r="S1599" s="4">
        <f t="shared" si="146"/>
        <v>42603.354131944448</v>
      </c>
      <c r="T1599" s="4">
        <f t="shared" si="147"/>
        <v>42633.354131944448</v>
      </c>
      <c r="U1599" s="5">
        <f>VLOOKUP(currency,Tables!$A$1:$C$14,3,FALSE)*pledged</f>
        <v>0</v>
      </c>
    </row>
    <row r="1600" spans="1:21" ht="43.2" x14ac:dyDescent="0.55000000000000004">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144"/>
        <v>1.25E-3</v>
      </c>
      <c r="P1600" s="16">
        <f t="shared" si="145"/>
        <v>1</v>
      </c>
      <c r="Q1600" t="str">
        <f t="shared" si="148"/>
        <v>photography</v>
      </c>
      <c r="R1600" t="str">
        <f t="shared" si="149"/>
        <v>places</v>
      </c>
      <c r="S1600" s="4">
        <f t="shared" si="146"/>
        <v>42151.667337962965</v>
      </c>
      <c r="T1600" s="4">
        <f t="shared" si="147"/>
        <v>42211.667337962965</v>
      </c>
      <c r="U1600" s="5">
        <f>VLOOKUP(currency,Tables!$A$1:$C$14,3,FALSE)*pledged</f>
        <v>1</v>
      </c>
    </row>
    <row r="1601" spans="1:21" ht="43.2" x14ac:dyDescent="0.55000000000000004">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144"/>
        <v>0</v>
      </c>
      <c r="P1601" s="16">
        <f t="shared" si="145"/>
        <v>0</v>
      </c>
      <c r="Q1601" t="str">
        <f t="shared" si="148"/>
        <v>photography</v>
      </c>
      <c r="R1601" t="str">
        <f t="shared" si="149"/>
        <v>places</v>
      </c>
      <c r="S1601" s="4">
        <f t="shared" si="146"/>
        <v>42438.53907407407</v>
      </c>
      <c r="T1601" s="4">
        <f t="shared" si="147"/>
        <v>42468.497407407413</v>
      </c>
      <c r="U1601" s="5">
        <f>VLOOKUP(currency,Tables!$A$1:$C$14,3,FALSE)*pledged</f>
        <v>0</v>
      </c>
    </row>
    <row r="1602" spans="1:21" ht="43.2" x14ac:dyDescent="0.55000000000000004">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ref="O1602:O1665" si="150">pledged/goal</f>
        <v>7.3400000000000007E-2</v>
      </c>
      <c r="P1602" s="16">
        <f t="shared" ref="P1602:P1665" si="151">IF(pledged=0,0,pledged/backers_count)</f>
        <v>40.777777777777779</v>
      </c>
      <c r="Q1602" t="str">
        <f t="shared" si="148"/>
        <v>photography</v>
      </c>
      <c r="R1602" t="str">
        <f t="shared" si="149"/>
        <v>places</v>
      </c>
      <c r="S1602" s="4">
        <f t="shared" ref="S1602:S1665" si="152">(((Unix_launched_date/60)/60)/24)+DATE(1970,1,1)</f>
        <v>41791.057314814818</v>
      </c>
      <c r="T1602" s="4">
        <f t="shared" ref="T1602:T1665" si="153">(((Unix_deadline/60)/60)/24)+DATE(1970,1,1)</f>
        <v>41835.21597222222</v>
      </c>
      <c r="U1602" s="5">
        <f>VLOOKUP(currency,Tables!$A$1:$C$14,3,FALSE)*pledged</f>
        <v>367</v>
      </c>
    </row>
    <row r="1603" spans="1:21" ht="43.2" x14ac:dyDescent="0.55000000000000004">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si="150"/>
        <v>1.082492</v>
      </c>
      <c r="P1603" s="16">
        <f t="shared" si="151"/>
        <v>48.325535714285714</v>
      </c>
      <c r="Q1603" t="str">
        <f t="shared" ref="Q1603:Q1666" si="154">LEFT(N1603,FIND("/",N1603,1)-1)</f>
        <v>music</v>
      </c>
      <c r="R1603" t="str">
        <f t="shared" ref="R1603:R1666" si="155">RIGHT(N1603,(LEN(N1603)-FIND("/",N1603,1)))</f>
        <v>rock</v>
      </c>
      <c r="S1603" s="4">
        <f t="shared" si="152"/>
        <v>40638.092974537038</v>
      </c>
      <c r="T1603" s="4">
        <f t="shared" si="153"/>
        <v>40668.092974537038</v>
      </c>
      <c r="U1603" s="5">
        <f>VLOOKUP(currency,Tables!$A$1:$C$14,3,FALSE)*pledged</f>
        <v>2706.23</v>
      </c>
    </row>
    <row r="1604" spans="1:21" ht="43.2" x14ac:dyDescent="0.55000000000000004">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16">
        <f t="shared" si="151"/>
        <v>46.953125</v>
      </c>
      <c r="Q1604" t="str">
        <f t="shared" si="154"/>
        <v>music</v>
      </c>
      <c r="R1604" t="str">
        <f t="shared" si="155"/>
        <v>rock</v>
      </c>
      <c r="S1604" s="4">
        <f t="shared" si="152"/>
        <v>40788.297650462962</v>
      </c>
      <c r="T1604" s="4">
        <f t="shared" si="153"/>
        <v>40830.958333333336</v>
      </c>
      <c r="U1604" s="5">
        <f>VLOOKUP(currency,Tables!$A$1:$C$14,3,FALSE)*pledged</f>
        <v>1502.5</v>
      </c>
    </row>
    <row r="1605" spans="1:21" ht="28.8" x14ac:dyDescent="0.55000000000000004">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16">
        <f t="shared" si="151"/>
        <v>66.688666666666663</v>
      </c>
      <c r="Q1605" t="str">
        <f t="shared" si="154"/>
        <v>music</v>
      </c>
      <c r="R1605" t="str">
        <f t="shared" si="155"/>
        <v>rock</v>
      </c>
      <c r="S1605" s="4">
        <f t="shared" si="152"/>
        <v>40876.169664351852</v>
      </c>
      <c r="T1605" s="4">
        <f t="shared" si="153"/>
        <v>40936.169664351852</v>
      </c>
      <c r="U1605" s="5">
        <f>VLOOKUP(currency,Tables!$A$1:$C$14,3,FALSE)*pledged</f>
        <v>2000.66</v>
      </c>
    </row>
    <row r="1606" spans="1:21" ht="43.2" x14ac:dyDescent="0.55000000000000004">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16">
        <f t="shared" si="151"/>
        <v>48.842857142857142</v>
      </c>
      <c r="Q1606" t="str">
        <f t="shared" si="154"/>
        <v>music</v>
      </c>
      <c r="R1606" t="str">
        <f t="shared" si="155"/>
        <v>rock</v>
      </c>
      <c r="S1606" s="4">
        <f t="shared" si="152"/>
        <v>40945.845312500001</v>
      </c>
      <c r="T1606" s="4">
        <f t="shared" si="153"/>
        <v>40985.80364583333</v>
      </c>
      <c r="U1606" s="5">
        <f>VLOOKUP(currency,Tables!$A$1:$C$14,3,FALSE)*pledged</f>
        <v>3419</v>
      </c>
    </row>
    <row r="1607" spans="1:21" ht="43.2" x14ac:dyDescent="0.55000000000000004">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16">
        <f t="shared" si="151"/>
        <v>137.30909090909091</v>
      </c>
      <c r="Q1607" t="str">
        <f t="shared" si="154"/>
        <v>music</v>
      </c>
      <c r="R1607" t="str">
        <f t="shared" si="155"/>
        <v>rock</v>
      </c>
      <c r="S1607" s="4">
        <f t="shared" si="152"/>
        <v>40747.012881944444</v>
      </c>
      <c r="T1607" s="4">
        <f t="shared" si="153"/>
        <v>40756.291666666664</v>
      </c>
      <c r="U1607" s="5">
        <f>VLOOKUP(currency,Tables!$A$1:$C$14,3,FALSE)*pledged</f>
        <v>6041.6</v>
      </c>
    </row>
    <row r="1608" spans="1:21" ht="43.2" x14ac:dyDescent="0.55000000000000004">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16">
        <f t="shared" si="151"/>
        <v>87.829673913043479</v>
      </c>
      <c r="Q1608" t="str">
        <f t="shared" si="154"/>
        <v>music</v>
      </c>
      <c r="R1608" t="str">
        <f t="shared" si="155"/>
        <v>rock</v>
      </c>
      <c r="S1608" s="4">
        <f t="shared" si="152"/>
        <v>40536.111550925925</v>
      </c>
      <c r="T1608" s="4">
        <f t="shared" si="153"/>
        <v>40626.069884259261</v>
      </c>
      <c r="U1608" s="5">
        <f>VLOOKUP(currency,Tables!$A$1:$C$14,3,FALSE)*pledged</f>
        <v>8080.33</v>
      </c>
    </row>
    <row r="1609" spans="1:21" ht="43.2" x14ac:dyDescent="0.55000000000000004">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16">
        <f t="shared" si="151"/>
        <v>70.785365853658533</v>
      </c>
      <c r="Q1609" t="str">
        <f t="shared" si="154"/>
        <v>music</v>
      </c>
      <c r="R1609" t="str">
        <f t="shared" si="155"/>
        <v>rock</v>
      </c>
      <c r="S1609" s="4">
        <f t="shared" si="152"/>
        <v>41053.80846064815</v>
      </c>
      <c r="T1609" s="4">
        <f t="shared" si="153"/>
        <v>41074.80846064815</v>
      </c>
      <c r="U1609" s="5">
        <f>VLOOKUP(currency,Tables!$A$1:$C$14,3,FALSE)*pledged</f>
        <v>14511</v>
      </c>
    </row>
    <row r="1610" spans="1:21" ht="28.8" x14ac:dyDescent="0.55000000000000004">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16">
        <f t="shared" si="151"/>
        <v>52.826086956521742</v>
      </c>
      <c r="Q1610" t="str">
        <f t="shared" si="154"/>
        <v>music</v>
      </c>
      <c r="R1610" t="str">
        <f t="shared" si="155"/>
        <v>rock</v>
      </c>
      <c r="S1610" s="4">
        <f t="shared" si="152"/>
        <v>41607.83085648148</v>
      </c>
      <c r="T1610" s="4">
        <f t="shared" si="153"/>
        <v>41640.226388888892</v>
      </c>
      <c r="U1610" s="5">
        <f>VLOOKUP(currency,Tables!$A$1:$C$14,3,FALSE)*pledged</f>
        <v>1215</v>
      </c>
    </row>
    <row r="1611" spans="1:21" ht="43.2" x14ac:dyDescent="0.55000000000000004">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16">
        <f t="shared" si="151"/>
        <v>443.75</v>
      </c>
      <c r="Q1611" t="str">
        <f t="shared" si="154"/>
        <v>music</v>
      </c>
      <c r="R1611" t="str">
        <f t="shared" si="155"/>
        <v>rock</v>
      </c>
      <c r="S1611" s="4">
        <f t="shared" si="152"/>
        <v>40796.001261574071</v>
      </c>
      <c r="T1611" s="4">
        <f t="shared" si="153"/>
        <v>40849.333333333336</v>
      </c>
      <c r="U1611" s="5">
        <f>VLOOKUP(currency,Tables!$A$1:$C$14,3,FALSE)*pledged</f>
        <v>1775</v>
      </c>
    </row>
    <row r="1612" spans="1:21" ht="28.8" x14ac:dyDescent="0.55000000000000004">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16">
        <f t="shared" si="151"/>
        <v>48.544642857142854</v>
      </c>
      <c r="Q1612" t="str">
        <f t="shared" si="154"/>
        <v>music</v>
      </c>
      <c r="R1612" t="str">
        <f t="shared" si="155"/>
        <v>rock</v>
      </c>
      <c r="S1612" s="4">
        <f t="shared" si="152"/>
        <v>41228.924884259257</v>
      </c>
      <c r="T1612" s="4">
        <f t="shared" si="153"/>
        <v>41258.924884259257</v>
      </c>
      <c r="U1612" s="5">
        <f>VLOOKUP(currency,Tables!$A$1:$C$14,3,FALSE)*pledged</f>
        <v>5437</v>
      </c>
    </row>
    <row r="1613" spans="1:21" x14ac:dyDescent="0.55000000000000004">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16">
        <f t="shared" si="151"/>
        <v>37.074074074074076</v>
      </c>
      <c r="Q1613" t="str">
        <f t="shared" si="154"/>
        <v>music</v>
      </c>
      <c r="R1613" t="str">
        <f t="shared" si="155"/>
        <v>rock</v>
      </c>
      <c r="S1613" s="4">
        <f t="shared" si="152"/>
        <v>41409.00037037037</v>
      </c>
      <c r="T1613" s="4">
        <f t="shared" si="153"/>
        <v>41430.00037037037</v>
      </c>
      <c r="U1613" s="5">
        <f>VLOOKUP(currency,Tables!$A$1:$C$14,3,FALSE)*pledged</f>
        <v>1001</v>
      </c>
    </row>
    <row r="1614" spans="1:21" ht="28.8" x14ac:dyDescent="0.55000000000000004">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16">
        <f t="shared" si="151"/>
        <v>50</v>
      </c>
      <c r="Q1614" t="str">
        <f t="shared" si="154"/>
        <v>music</v>
      </c>
      <c r="R1614" t="str">
        <f t="shared" si="155"/>
        <v>rock</v>
      </c>
      <c r="S1614" s="4">
        <f t="shared" si="152"/>
        <v>41246.874814814815</v>
      </c>
      <c r="T1614" s="4">
        <f t="shared" si="153"/>
        <v>41276.874814814815</v>
      </c>
      <c r="U1614" s="5">
        <f>VLOOKUP(currency,Tables!$A$1:$C$14,3,FALSE)*pledged</f>
        <v>550</v>
      </c>
    </row>
    <row r="1615" spans="1:21" ht="43.2" x14ac:dyDescent="0.55000000000000004">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16">
        <f t="shared" si="151"/>
        <v>39.03846153846154</v>
      </c>
      <c r="Q1615" t="str">
        <f t="shared" si="154"/>
        <v>music</v>
      </c>
      <c r="R1615" t="str">
        <f t="shared" si="155"/>
        <v>rock</v>
      </c>
      <c r="S1615" s="4">
        <f t="shared" si="152"/>
        <v>41082.069467592592</v>
      </c>
      <c r="T1615" s="4">
        <f t="shared" si="153"/>
        <v>41112.069467592592</v>
      </c>
      <c r="U1615" s="5">
        <f>VLOOKUP(currency,Tables!$A$1:$C$14,3,FALSE)*pledged</f>
        <v>1015</v>
      </c>
    </row>
    <row r="1616" spans="1:21" ht="43.2" x14ac:dyDescent="0.55000000000000004">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16">
        <f t="shared" si="151"/>
        <v>66.688311688311686</v>
      </c>
      <c r="Q1616" t="str">
        <f t="shared" si="154"/>
        <v>music</v>
      </c>
      <c r="R1616" t="str">
        <f t="shared" si="155"/>
        <v>rock</v>
      </c>
      <c r="S1616" s="4">
        <f t="shared" si="152"/>
        <v>41794.981122685182</v>
      </c>
      <c r="T1616" s="4">
        <f t="shared" si="153"/>
        <v>41854.708333333336</v>
      </c>
      <c r="U1616" s="5">
        <f>VLOOKUP(currency,Tables!$A$1:$C$14,3,FALSE)*pledged</f>
        <v>5135</v>
      </c>
    </row>
    <row r="1617" spans="1:21" ht="43.2" x14ac:dyDescent="0.55000000000000004">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16">
        <f t="shared" si="151"/>
        <v>67.132352941176464</v>
      </c>
      <c r="Q1617" t="str">
        <f t="shared" si="154"/>
        <v>music</v>
      </c>
      <c r="R1617" t="str">
        <f t="shared" si="155"/>
        <v>rock</v>
      </c>
      <c r="S1617" s="4">
        <f t="shared" si="152"/>
        <v>40845.050879629627</v>
      </c>
      <c r="T1617" s="4">
        <f t="shared" si="153"/>
        <v>40890.092546296299</v>
      </c>
      <c r="U1617" s="5">
        <f>VLOOKUP(currency,Tables!$A$1:$C$14,3,FALSE)*pledged</f>
        <v>9130</v>
      </c>
    </row>
    <row r="1618" spans="1:21" ht="43.2" x14ac:dyDescent="0.55000000000000004">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16">
        <f t="shared" si="151"/>
        <v>66.369426751592357</v>
      </c>
      <c r="Q1618" t="str">
        <f t="shared" si="154"/>
        <v>music</v>
      </c>
      <c r="R1618" t="str">
        <f t="shared" si="155"/>
        <v>rock</v>
      </c>
      <c r="S1618" s="4">
        <f t="shared" si="152"/>
        <v>41194.715520833335</v>
      </c>
      <c r="T1618" s="4">
        <f t="shared" si="153"/>
        <v>41235.916666666664</v>
      </c>
      <c r="U1618" s="5">
        <f>VLOOKUP(currency,Tables!$A$1:$C$14,3,FALSE)*pledged</f>
        <v>10420</v>
      </c>
    </row>
    <row r="1619" spans="1:21" ht="28.8" x14ac:dyDescent="0.55000000000000004">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16">
        <f t="shared" si="151"/>
        <v>64.620253164556956</v>
      </c>
      <c r="Q1619" t="str">
        <f t="shared" si="154"/>
        <v>music</v>
      </c>
      <c r="R1619" t="str">
        <f t="shared" si="155"/>
        <v>rock</v>
      </c>
      <c r="S1619" s="4">
        <f t="shared" si="152"/>
        <v>41546.664212962962</v>
      </c>
      <c r="T1619" s="4">
        <f t="shared" si="153"/>
        <v>41579.791666666664</v>
      </c>
      <c r="U1619" s="5">
        <f>VLOOKUP(currency,Tables!$A$1:$C$14,3,FALSE)*pledged</f>
        <v>10210</v>
      </c>
    </row>
    <row r="1620" spans="1:21" ht="28.8" x14ac:dyDescent="0.55000000000000004">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16">
        <f t="shared" si="151"/>
        <v>58.370370370370374</v>
      </c>
      <c r="Q1620" t="str">
        <f t="shared" si="154"/>
        <v>music</v>
      </c>
      <c r="R1620" t="str">
        <f t="shared" si="155"/>
        <v>rock</v>
      </c>
      <c r="S1620" s="4">
        <f t="shared" si="152"/>
        <v>41301.654340277775</v>
      </c>
      <c r="T1620" s="4">
        <f t="shared" si="153"/>
        <v>41341.654340277775</v>
      </c>
      <c r="U1620" s="5">
        <f>VLOOKUP(currency,Tables!$A$1:$C$14,3,FALSE)*pledged</f>
        <v>1576</v>
      </c>
    </row>
    <row r="1621" spans="1:21" ht="43.2" x14ac:dyDescent="0.55000000000000004">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16">
        <f t="shared" si="151"/>
        <v>86.956521739130437</v>
      </c>
      <c r="Q1621" t="str">
        <f t="shared" si="154"/>
        <v>music</v>
      </c>
      <c r="R1621" t="str">
        <f t="shared" si="155"/>
        <v>rock</v>
      </c>
      <c r="S1621" s="4">
        <f t="shared" si="152"/>
        <v>41876.18618055556</v>
      </c>
      <c r="T1621" s="4">
        <f t="shared" si="153"/>
        <v>41897.18618055556</v>
      </c>
      <c r="U1621" s="5">
        <f>VLOOKUP(currency,Tables!$A$1:$C$14,3,FALSE)*pledged</f>
        <v>2000</v>
      </c>
    </row>
    <row r="1622" spans="1:21" ht="28.8" x14ac:dyDescent="0.55000000000000004">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16">
        <f t="shared" si="151"/>
        <v>66.470588235294116</v>
      </c>
      <c r="Q1622" t="str">
        <f t="shared" si="154"/>
        <v>music</v>
      </c>
      <c r="R1622" t="str">
        <f t="shared" si="155"/>
        <v>rock</v>
      </c>
      <c r="S1622" s="4">
        <f t="shared" si="152"/>
        <v>41321.339583333334</v>
      </c>
      <c r="T1622" s="4">
        <f t="shared" si="153"/>
        <v>41328.339583333334</v>
      </c>
      <c r="U1622" s="5">
        <f>VLOOKUP(currency,Tables!$A$1:$C$14,3,FALSE)*pledged</f>
        <v>1130</v>
      </c>
    </row>
    <row r="1623" spans="1:21" ht="43.2" x14ac:dyDescent="0.55000000000000004">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16">
        <f t="shared" si="151"/>
        <v>163.78378378378378</v>
      </c>
      <c r="Q1623" t="str">
        <f t="shared" si="154"/>
        <v>music</v>
      </c>
      <c r="R1623" t="str">
        <f t="shared" si="155"/>
        <v>rock</v>
      </c>
      <c r="S1623" s="4">
        <f t="shared" si="152"/>
        <v>41003.60665509259</v>
      </c>
      <c r="T1623" s="4">
        <f t="shared" si="153"/>
        <v>41057.165972222225</v>
      </c>
      <c r="U1623" s="5">
        <f>VLOOKUP(currency,Tables!$A$1:$C$14,3,FALSE)*pledged</f>
        <v>6060</v>
      </c>
    </row>
    <row r="1624" spans="1:21" ht="43.2" x14ac:dyDescent="0.55000000000000004">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16">
        <f t="shared" si="151"/>
        <v>107.98461538461538</v>
      </c>
      <c r="Q1624" t="str">
        <f t="shared" si="154"/>
        <v>music</v>
      </c>
      <c r="R1624" t="str">
        <f t="shared" si="155"/>
        <v>rock</v>
      </c>
      <c r="S1624" s="4">
        <f t="shared" si="152"/>
        <v>41950.29483796296</v>
      </c>
      <c r="T1624" s="4">
        <f t="shared" si="153"/>
        <v>41990.332638888889</v>
      </c>
      <c r="U1624" s="5">
        <f>VLOOKUP(currency,Tables!$A$1:$C$14,3,FALSE)*pledged</f>
        <v>7019</v>
      </c>
    </row>
    <row r="1625" spans="1:21" ht="43.2" x14ac:dyDescent="0.55000000000000004">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16">
        <f t="shared" si="151"/>
        <v>42.111111111111114</v>
      </c>
      <c r="Q1625" t="str">
        <f t="shared" si="154"/>
        <v>music</v>
      </c>
      <c r="R1625" t="str">
        <f t="shared" si="155"/>
        <v>rock</v>
      </c>
      <c r="S1625" s="4">
        <f t="shared" si="152"/>
        <v>41453.688530092593</v>
      </c>
      <c r="T1625" s="4">
        <f t="shared" si="153"/>
        <v>41513.688530092593</v>
      </c>
      <c r="U1625" s="5">
        <f>VLOOKUP(currency,Tables!$A$1:$C$14,3,FALSE)*pledged</f>
        <v>1000.5600000000001</v>
      </c>
    </row>
    <row r="1626" spans="1:21" ht="28.8" x14ac:dyDescent="0.55000000000000004">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50"/>
        <v>1.18</v>
      </c>
      <c r="P1626" s="16">
        <f t="shared" si="151"/>
        <v>47.2</v>
      </c>
      <c r="Q1626" t="str">
        <f t="shared" si="154"/>
        <v>music</v>
      </c>
      <c r="R1626" t="str">
        <f t="shared" si="155"/>
        <v>rock</v>
      </c>
      <c r="S1626" s="4">
        <f t="shared" si="152"/>
        <v>41243.367303240739</v>
      </c>
      <c r="T1626" s="4">
        <f t="shared" si="153"/>
        <v>41283.367303240739</v>
      </c>
      <c r="U1626" s="5">
        <f>VLOOKUP(currency,Tables!$A$1:$C$14,3,FALSE)*pledged</f>
        <v>1180</v>
      </c>
    </row>
    <row r="1627" spans="1:21" ht="43.2" x14ac:dyDescent="0.55000000000000004">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16">
        <f t="shared" si="151"/>
        <v>112.01923076923077</v>
      </c>
      <c r="Q1627" t="str">
        <f t="shared" si="154"/>
        <v>music</v>
      </c>
      <c r="R1627" t="str">
        <f t="shared" si="155"/>
        <v>rock</v>
      </c>
      <c r="S1627" s="4">
        <f t="shared" si="152"/>
        <v>41135.699687500004</v>
      </c>
      <c r="T1627" s="4">
        <f t="shared" si="153"/>
        <v>41163.699687500004</v>
      </c>
      <c r="U1627" s="5">
        <f>VLOOKUP(currency,Tables!$A$1:$C$14,3,FALSE)*pledged</f>
        <v>11650</v>
      </c>
    </row>
    <row r="1628" spans="1:21" ht="43.2" x14ac:dyDescent="0.55000000000000004">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16">
        <f t="shared" si="151"/>
        <v>74.953703703703709</v>
      </c>
      <c r="Q1628" t="str">
        <f t="shared" si="154"/>
        <v>music</v>
      </c>
      <c r="R1628" t="str">
        <f t="shared" si="155"/>
        <v>rock</v>
      </c>
      <c r="S1628" s="4">
        <f t="shared" si="152"/>
        <v>41579.847997685189</v>
      </c>
      <c r="T1628" s="4">
        <f t="shared" si="153"/>
        <v>41609.889664351853</v>
      </c>
      <c r="U1628" s="5">
        <f>VLOOKUP(currency,Tables!$A$1:$C$14,3,FALSE)*pledged</f>
        <v>8095</v>
      </c>
    </row>
    <row r="1629" spans="1:21" ht="43.2" x14ac:dyDescent="0.55000000000000004">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50"/>
        <v>1.17</v>
      </c>
      <c r="P1629" s="16">
        <f t="shared" si="151"/>
        <v>61.578947368421055</v>
      </c>
      <c r="Q1629" t="str">
        <f t="shared" si="154"/>
        <v>music</v>
      </c>
      <c r="R1629" t="str">
        <f t="shared" si="155"/>
        <v>rock</v>
      </c>
      <c r="S1629" s="4">
        <f t="shared" si="152"/>
        <v>41205.707048611112</v>
      </c>
      <c r="T1629" s="4">
        <f t="shared" si="153"/>
        <v>41239.207638888889</v>
      </c>
      <c r="U1629" s="5">
        <f>VLOOKUP(currency,Tables!$A$1:$C$14,3,FALSE)*pledged</f>
        <v>2340</v>
      </c>
    </row>
    <row r="1630" spans="1:21" ht="28.8" x14ac:dyDescent="0.55000000000000004">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16">
        <f t="shared" si="151"/>
        <v>45.875</v>
      </c>
      <c r="Q1630" t="str">
        <f t="shared" si="154"/>
        <v>music</v>
      </c>
      <c r="R1630" t="str">
        <f t="shared" si="155"/>
        <v>rock</v>
      </c>
      <c r="S1630" s="4">
        <f t="shared" si="152"/>
        <v>41774.737060185187</v>
      </c>
      <c r="T1630" s="4">
        <f t="shared" si="153"/>
        <v>41807.737060185187</v>
      </c>
      <c r="U1630" s="5">
        <f>VLOOKUP(currency,Tables!$A$1:$C$14,3,FALSE)*pledged</f>
        <v>4037</v>
      </c>
    </row>
    <row r="1631" spans="1:21" ht="28.8" x14ac:dyDescent="0.55000000000000004">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16">
        <f t="shared" si="151"/>
        <v>75.853658536585371</v>
      </c>
      <c r="Q1631" t="str">
        <f t="shared" si="154"/>
        <v>music</v>
      </c>
      <c r="R1631" t="str">
        <f t="shared" si="155"/>
        <v>rock</v>
      </c>
      <c r="S1631" s="4">
        <f t="shared" si="152"/>
        <v>41645.867280092592</v>
      </c>
      <c r="T1631" s="4">
        <f t="shared" si="153"/>
        <v>41690.867280092592</v>
      </c>
      <c r="U1631" s="5">
        <f>VLOOKUP(currency,Tables!$A$1:$C$14,3,FALSE)*pledged</f>
        <v>6220</v>
      </c>
    </row>
    <row r="1632" spans="1:21" ht="43.2" x14ac:dyDescent="0.55000000000000004">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16">
        <f t="shared" si="151"/>
        <v>84.206349206349202</v>
      </c>
      <c r="Q1632" t="str">
        <f t="shared" si="154"/>
        <v>music</v>
      </c>
      <c r="R1632" t="str">
        <f t="shared" si="155"/>
        <v>rock</v>
      </c>
      <c r="S1632" s="4">
        <f t="shared" si="152"/>
        <v>40939.837673611109</v>
      </c>
      <c r="T1632" s="4">
        <f t="shared" si="153"/>
        <v>40970.290972222225</v>
      </c>
      <c r="U1632" s="5">
        <f>VLOOKUP(currency,Tables!$A$1:$C$14,3,FALSE)*pledged</f>
        <v>10610</v>
      </c>
    </row>
    <row r="1633" spans="1:21" ht="43.2" x14ac:dyDescent="0.55000000000000004">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16">
        <f t="shared" si="151"/>
        <v>117.22556390977444</v>
      </c>
      <c r="Q1633" t="str">
        <f t="shared" si="154"/>
        <v>music</v>
      </c>
      <c r="R1633" t="str">
        <f t="shared" si="155"/>
        <v>rock</v>
      </c>
      <c r="S1633" s="4">
        <f t="shared" si="152"/>
        <v>41164.859502314815</v>
      </c>
      <c r="T1633" s="4">
        <f t="shared" si="153"/>
        <v>41194.859502314815</v>
      </c>
      <c r="U1633" s="5">
        <f>VLOOKUP(currency,Tables!$A$1:$C$14,3,FALSE)*pledged</f>
        <v>15591</v>
      </c>
    </row>
    <row r="1634" spans="1:21" ht="43.2" x14ac:dyDescent="0.55000000000000004">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16">
        <f t="shared" si="151"/>
        <v>86.489361702127653</v>
      </c>
      <c r="Q1634" t="str">
        <f t="shared" si="154"/>
        <v>music</v>
      </c>
      <c r="R1634" t="str">
        <f t="shared" si="155"/>
        <v>rock</v>
      </c>
      <c r="S1634" s="4">
        <f t="shared" si="152"/>
        <v>40750.340902777774</v>
      </c>
      <c r="T1634" s="4">
        <f t="shared" si="153"/>
        <v>40810.340902777774</v>
      </c>
      <c r="U1634" s="5">
        <f>VLOOKUP(currency,Tables!$A$1:$C$14,3,FALSE)*pledged</f>
        <v>4065</v>
      </c>
    </row>
    <row r="1635" spans="1:21" ht="43.2" x14ac:dyDescent="0.55000000000000004">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50"/>
        <v>1</v>
      </c>
      <c r="P1635" s="16">
        <f t="shared" si="151"/>
        <v>172.41379310344828</v>
      </c>
      <c r="Q1635" t="str">
        <f t="shared" si="154"/>
        <v>music</v>
      </c>
      <c r="R1635" t="str">
        <f t="shared" si="155"/>
        <v>rock</v>
      </c>
      <c r="S1635" s="4">
        <f t="shared" si="152"/>
        <v>40896.883750000001</v>
      </c>
      <c r="T1635" s="4">
        <f t="shared" si="153"/>
        <v>40924.208333333336</v>
      </c>
      <c r="U1635" s="5">
        <f>VLOOKUP(currency,Tables!$A$1:$C$14,3,FALSE)*pledged</f>
        <v>10000</v>
      </c>
    </row>
    <row r="1636" spans="1:21" ht="28.8" x14ac:dyDescent="0.55000000000000004">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16">
        <f t="shared" si="151"/>
        <v>62.8125</v>
      </c>
      <c r="Q1636" t="str">
        <f t="shared" si="154"/>
        <v>music</v>
      </c>
      <c r="R1636" t="str">
        <f t="shared" si="155"/>
        <v>rock</v>
      </c>
      <c r="S1636" s="4">
        <f t="shared" si="152"/>
        <v>40658.189826388887</v>
      </c>
      <c r="T1636" s="4">
        <f t="shared" si="153"/>
        <v>40696.249305555553</v>
      </c>
      <c r="U1636" s="5">
        <f>VLOOKUP(currency,Tables!$A$1:$C$14,3,FALSE)*pledged</f>
        <v>2010</v>
      </c>
    </row>
    <row r="1637" spans="1:21" ht="43.2" x14ac:dyDescent="0.55000000000000004">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16">
        <f t="shared" si="151"/>
        <v>67.729729729729726</v>
      </c>
      <c r="Q1637" t="str">
        <f t="shared" si="154"/>
        <v>music</v>
      </c>
      <c r="R1637" t="str">
        <f t="shared" si="155"/>
        <v>rock</v>
      </c>
      <c r="S1637" s="4">
        <f t="shared" si="152"/>
        <v>42502.868761574078</v>
      </c>
      <c r="T1637" s="4">
        <f t="shared" si="153"/>
        <v>42562.868761574078</v>
      </c>
      <c r="U1637" s="5">
        <f>VLOOKUP(currency,Tables!$A$1:$C$14,3,FALSE)*pledged</f>
        <v>2506</v>
      </c>
    </row>
    <row r="1638" spans="1:21" ht="43.2" x14ac:dyDescent="0.55000000000000004">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16">
        <f t="shared" si="151"/>
        <v>53.5632183908046</v>
      </c>
      <c r="Q1638" t="str">
        <f t="shared" si="154"/>
        <v>music</v>
      </c>
      <c r="R1638" t="str">
        <f t="shared" si="155"/>
        <v>rock</v>
      </c>
      <c r="S1638" s="4">
        <f t="shared" si="152"/>
        <v>40663.08666666667</v>
      </c>
      <c r="T1638" s="4">
        <f t="shared" si="153"/>
        <v>40706.166666666664</v>
      </c>
      <c r="U1638" s="5">
        <f>VLOOKUP(currency,Tables!$A$1:$C$14,3,FALSE)*pledged</f>
        <v>4660</v>
      </c>
    </row>
    <row r="1639" spans="1:21" ht="43.2" x14ac:dyDescent="0.55000000000000004">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50"/>
        <v>1.038</v>
      </c>
      <c r="P1639" s="16">
        <f t="shared" si="151"/>
        <v>34.6</v>
      </c>
      <c r="Q1639" t="str">
        <f t="shared" si="154"/>
        <v>music</v>
      </c>
      <c r="R1639" t="str">
        <f t="shared" si="155"/>
        <v>rock</v>
      </c>
      <c r="S1639" s="4">
        <f t="shared" si="152"/>
        <v>40122.751620370371</v>
      </c>
      <c r="T1639" s="4">
        <f t="shared" si="153"/>
        <v>40178.98541666667</v>
      </c>
      <c r="U1639" s="5">
        <f>VLOOKUP(currency,Tables!$A$1:$C$14,3,FALSE)*pledged</f>
        <v>519</v>
      </c>
    </row>
    <row r="1640" spans="1:21" ht="28.8" x14ac:dyDescent="0.55000000000000004">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50"/>
        <v>1.05</v>
      </c>
      <c r="P1640" s="16">
        <f t="shared" si="151"/>
        <v>38.888888888888886</v>
      </c>
      <c r="Q1640" t="str">
        <f t="shared" si="154"/>
        <v>music</v>
      </c>
      <c r="R1640" t="str">
        <f t="shared" si="155"/>
        <v>rock</v>
      </c>
      <c r="S1640" s="4">
        <f t="shared" si="152"/>
        <v>41288.68712962963</v>
      </c>
      <c r="T1640" s="4">
        <f t="shared" si="153"/>
        <v>41333.892361111109</v>
      </c>
      <c r="U1640" s="5">
        <f>VLOOKUP(currency,Tables!$A$1:$C$14,3,FALSE)*pledged</f>
        <v>1050</v>
      </c>
    </row>
    <row r="1641" spans="1:21" ht="43.2" x14ac:dyDescent="0.55000000000000004">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50"/>
        <v>1</v>
      </c>
      <c r="P1641" s="16">
        <f t="shared" si="151"/>
        <v>94.736842105263165</v>
      </c>
      <c r="Q1641" t="str">
        <f t="shared" si="154"/>
        <v>music</v>
      </c>
      <c r="R1641" t="str">
        <f t="shared" si="155"/>
        <v>rock</v>
      </c>
      <c r="S1641" s="4">
        <f t="shared" si="152"/>
        <v>40941.652372685188</v>
      </c>
      <c r="T1641" s="4">
        <f t="shared" si="153"/>
        <v>40971.652372685188</v>
      </c>
      <c r="U1641" s="5">
        <f>VLOOKUP(currency,Tables!$A$1:$C$14,3,FALSE)*pledged</f>
        <v>1800</v>
      </c>
    </row>
    <row r="1642" spans="1:21" ht="43.2" x14ac:dyDescent="0.55000000000000004">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16">
        <f t="shared" si="151"/>
        <v>39.967058823529413</v>
      </c>
      <c r="Q1642" t="str">
        <f t="shared" si="154"/>
        <v>music</v>
      </c>
      <c r="R1642" t="str">
        <f t="shared" si="155"/>
        <v>rock</v>
      </c>
      <c r="S1642" s="4">
        <f t="shared" si="152"/>
        <v>40379.23096064815</v>
      </c>
      <c r="T1642" s="4">
        <f t="shared" si="153"/>
        <v>40393.082638888889</v>
      </c>
      <c r="U1642" s="5">
        <f>VLOOKUP(currency,Tables!$A$1:$C$14,3,FALSE)*pledged</f>
        <v>679.44</v>
      </c>
    </row>
    <row r="1643" spans="1:21" ht="28.8" x14ac:dyDescent="0.55000000000000004">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16">
        <f t="shared" si="151"/>
        <v>97.5</v>
      </c>
      <c r="Q1643" t="str">
        <f t="shared" si="154"/>
        <v>music</v>
      </c>
      <c r="R1643" t="str">
        <f t="shared" si="155"/>
        <v>pop</v>
      </c>
      <c r="S1643" s="4">
        <f t="shared" si="152"/>
        <v>41962.596574074079</v>
      </c>
      <c r="T1643" s="4">
        <f t="shared" si="153"/>
        <v>41992.596574074079</v>
      </c>
      <c r="U1643" s="5">
        <f>VLOOKUP(currency,Tables!$A$1:$C$14,3,FALSE)*pledged</f>
        <v>2535</v>
      </c>
    </row>
    <row r="1644" spans="1:21" ht="43.2" x14ac:dyDescent="0.55000000000000004">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50"/>
        <v>1</v>
      </c>
      <c r="P1644" s="16">
        <f t="shared" si="151"/>
        <v>42.857142857142854</v>
      </c>
      <c r="Q1644" t="str">
        <f t="shared" si="154"/>
        <v>music</v>
      </c>
      <c r="R1644" t="str">
        <f t="shared" si="155"/>
        <v>pop</v>
      </c>
      <c r="S1644" s="4">
        <f t="shared" si="152"/>
        <v>40688.024618055555</v>
      </c>
      <c r="T1644" s="4">
        <f t="shared" si="153"/>
        <v>40708.024618055555</v>
      </c>
      <c r="U1644" s="5">
        <f>VLOOKUP(currency,Tables!$A$1:$C$14,3,FALSE)*pledged</f>
        <v>1200</v>
      </c>
    </row>
    <row r="1645" spans="1:21" ht="28.8" x14ac:dyDescent="0.55000000000000004">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16">
        <f t="shared" si="151"/>
        <v>168.51351351351352</v>
      </c>
      <c r="Q1645" t="str">
        <f t="shared" si="154"/>
        <v>music</v>
      </c>
      <c r="R1645" t="str">
        <f t="shared" si="155"/>
        <v>pop</v>
      </c>
      <c r="S1645" s="4">
        <f t="shared" si="152"/>
        <v>41146.824212962965</v>
      </c>
      <c r="T1645" s="4">
        <f t="shared" si="153"/>
        <v>41176.824212962965</v>
      </c>
      <c r="U1645" s="5">
        <f>VLOOKUP(currency,Tables!$A$1:$C$14,3,FALSE)*pledged</f>
        <v>6235</v>
      </c>
    </row>
    <row r="1646" spans="1:21" ht="43.2" x14ac:dyDescent="0.55000000000000004">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16">
        <f t="shared" si="151"/>
        <v>85.546875</v>
      </c>
      <c r="Q1646" t="str">
        <f t="shared" si="154"/>
        <v>music</v>
      </c>
      <c r="R1646" t="str">
        <f t="shared" si="155"/>
        <v>pop</v>
      </c>
      <c r="S1646" s="4">
        <f t="shared" si="152"/>
        <v>41175.05972222222</v>
      </c>
      <c r="T1646" s="4">
        <f t="shared" si="153"/>
        <v>41235.101388888892</v>
      </c>
      <c r="U1646" s="5">
        <f>VLOOKUP(currency,Tables!$A$1:$C$14,3,FALSE)*pledged</f>
        <v>10950</v>
      </c>
    </row>
    <row r="1647" spans="1:21" ht="43.2" x14ac:dyDescent="0.55000000000000004">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16">
        <f t="shared" si="151"/>
        <v>554</v>
      </c>
      <c r="Q1647" t="str">
        <f t="shared" si="154"/>
        <v>music</v>
      </c>
      <c r="R1647" t="str">
        <f t="shared" si="155"/>
        <v>pop</v>
      </c>
      <c r="S1647" s="4">
        <f t="shared" si="152"/>
        <v>41521.617361111108</v>
      </c>
      <c r="T1647" s="4">
        <f t="shared" si="153"/>
        <v>41535.617361111108</v>
      </c>
      <c r="U1647" s="5">
        <f>VLOOKUP(currency,Tables!$A$1:$C$14,3,FALSE)*pledged</f>
        <v>5540</v>
      </c>
    </row>
    <row r="1648" spans="1:21" ht="43.2" x14ac:dyDescent="0.55000000000000004">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16">
        <f t="shared" si="151"/>
        <v>26.554216867469879</v>
      </c>
      <c r="Q1648" t="str">
        <f t="shared" si="154"/>
        <v>music</v>
      </c>
      <c r="R1648" t="str">
        <f t="shared" si="155"/>
        <v>pop</v>
      </c>
      <c r="S1648" s="4">
        <f t="shared" si="152"/>
        <v>41833.450266203705</v>
      </c>
      <c r="T1648" s="4">
        <f t="shared" si="153"/>
        <v>41865.757638888892</v>
      </c>
      <c r="U1648" s="5">
        <f>VLOOKUP(currency,Tables!$A$1:$C$14,3,FALSE)*pledged</f>
        <v>2909.28</v>
      </c>
    </row>
    <row r="1649" spans="1:21" ht="43.2" x14ac:dyDescent="0.55000000000000004">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16">
        <f t="shared" si="151"/>
        <v>113.82608695652173</v>
      </c>
      <c r="Q1649" t="str">
        <f t="shared" si="154"/>
        <v>music</v>
      </c>
      <c r="R1649" t="str">
        <f t="shared" si="155"/>
        <v>pop</v>
      </c>
      <c r="S1649" s="4">
        <f t="shared" si="152"/>
        <v>41039.409456018519</v>
      </c>
      <c r="T1649" s="4">
        <f t="shared" si="153"/>
        <v>41069.409456018519</v>
      </c>
      <c r="U1649" s="5">
        <f>VLOOKUP(currency,Tables!$A$1:$C$14,3,FALSE)*pledged</f>
        <v>5236</v>
      </c>
    </row>
    <row r="1650" spans="1:21" ht="43.2" x14ac:dyDescent="0.55000000000000004">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16">
        <f t="shared" si="151"/>
        <v>32.011111111111113</v>
      </c>
      <c r="Q1650" t="str">
        <f t="shared" si="154"/>
        <v>music</v>
      </c>
      <c r="R1650" t="str">
        <f t="shared" si="155"/>
        <v>pop</v>
      </c>
      <c r="S1650" s="4">
        <f t="shared" si="152"/>
        <v>40592.704652777778</v>
      </c>
      <c r="T1650" s="4">
        <f t="shared" si="153"/>
        <v>40622.662986111114</v>
      </c>
      <c r="U1650" s="5">
        <f>VLOOKUP(currency,Tables!$A$1:$C$14,3,FALSE)*pledged</f>
        <v>2881</v>
      </c>
    </row>
    <row r="1651" spans="1:21" ht="43.2" x14ac:dyDescent="0.55000000000000004">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16">
        <f t="shared" si="151"/>
        <v>47.189259259259259</v>
      </c>
      <c r="Q1651" t="str">
        <f t="shared" si="154"/>
        <v>music</v>
      </c>
      <c r="R1651" t="str">
        <f t="shared" si="155"/>
        <v>pop</v>
      </c>
      <c r="S1651" s="4">
        <f t="shared" si="152"/>
        <v>41737.684664351851</v>
      </c>
      <c r="T1651" s="4">
        <f t="shared" si="153"/>
        <v>41782.684664351851</v>
      </c>
      <c r="U1651" s="5">
        <f>VLOOKUP(currency,Tables!$A$1:$C$14,3,FALSE)*pledged</f>
        <v>3822.33</v>
      </c>
    </row>
    <row r="1652" spans="1:21" ht="28.8" x14ac:dyDescent="0.55000000000000004">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16">
        <f t="shared" si="151"/>
        <v>88.46875</v>
      </c>
      <c r="Q1652" t="str">
        <f t="shared" si="154"/>
        <v>music</v>
      </c>
      <c r="R1652" t="str">
        <f t="shared" si="155"/>
        <v>pop</v>
      </c>
      <c r="S1652" s="4">
        <f t="shared" si="152"/>
        <v>41526.435613425929</v>
      </c>
      <c r="T1652" s="4">
        <f t="shared" si="153"/>
        <v>41556.435613425929</v>
      </c>
      <c r="U1652" s="5">
        <f>VLOOKUP(currency,Tables!$A$1:$C$14,3,FALSE)*pledged</f>
        <v>2831</v>
      </c>
    </row>
    <row r="1653" spans="1:21" ht="43.2" x14ac:dyDescent="0.55000000000000004">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16">
        <f t="shared" si="151"/>
        <v>100.75</v>
      </c>
      <c r="Q1653" t="str">
        <f t="shared" si="154"/>
        <v>music</v>
      </c>
      <c r="R1653" t="str">
        <f t="shared" si="155"/>
        <v>pop</v>
      </c>
      <c r="S1653" s="4">
        <f t="shared" si="152"/>
        <v>40625.900694444441</v>
      </c>
      <c r="T1653" s="4">
        <f t="shared" si="153"/>
        <v>40659.290972222225</v>
      </c>
      <c r="U1653" s="5">
        <f>VLOOKUP(currency,Tables!$A$1:$C$14,3,FALSE)*pledged</f>
        <v>2015</v>
      </c>
    </row>
    <row r="1654" spans="1:21" ht="43.2" x14ac:dyDescent="0.55000000000000004">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16">
        <f t="shared" si="151"/>
        <v>64.714285714285708</v>
      </c>
      <c r="Q1654" t="str">
        <f t="shared" si="154"/>
        <v>music</v>
      </c>
      <c r="R1654" t="str">
        <f t="shared" si="155"/>
        <v>pop</v>
      </c>
      <c r="S1654" s="4">
        <f t="shared" si="152"/>
        <v>41572.492974537039</v>
      </c>
      <c r="T1654" s="4">
        <f t="shared" si="153"/>
        <v>41602.534641203703</v>
      </c>
      <c r="U1654" s="5">
        <f>VLOOKUP(currency,Tables!$A$1:$C$14,3,FALSE)*pledged</f>
        <v>4530</v>
      </c>
    </row>
    <row r="1655" spans="1:21" ht="43.2" x14ac:dyDescent="0.55000000000000004">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16">
        <f t="shared" si="151"/>
        <v>51.854285714285716</v>
      </c>
      <c r="Q1655" t="str">
        <f t="shared" si="154"/>
        <v>music</v>
      </c>
      <c r="R1655" t="str">
        <f t="shared" si="155"/>
        <v>pop</v>
      </c>
      <c r="S1655" s="4">
        <f t="shared" si="152"/>
        <v>40626.834444444445</v>
      </c>
      <c r="T1655" s="4">
        <f t="shared" si="153"/>
        <v>40657.834444444445</v>
      </c>
      <c r="U1655" s="5">
        <f>VLOOKUP(currency,Tables!$A$1:$C$14,3,FALSE)*pledged</f>
        <v>8711.52</v>
      </c>
    </row>
    <row r="1656" spans="1:21" ht="43.2" x14ac:dyDescent="0.55000000000000004">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16">
        <f t="shared" si="151"/>
        <v>38.794117647058826</v>
      </c>
      <c r="Q1656" t="str">
        <f t="shared" si="154"/>
        <v>music</v>
      </c>
      <c r="R1656" t="str">
        <f t="shared" si="155"/>
        <v>pop</v>
      </c>
      <c r="S1656" s="4">
        <f t="shared" si="152"/>
        <v>40987.890740740739</v>
      </c>
      <c r="T1656" s="4">
        <f t="shared" si="153"/>
        <v>41017.890740740739</v>
      </c>
      <c r="U1656" s="5">
        <f>VLOOKUP(currency,Tables!$A$1:$C$14,3,FALSE)*pledged</f>
        <v>1319</v>
      </c>
    </row>
    <row r="1657" spans="1:21" ht="28.8" x14ac:dyDescent="0.55000000000000004">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16">
        <f t="shared" si="151"/>
        <v>44.645833333333336</v>
      </c>
      <c r="Q1657" t="str">
        <f t="shared" si="154"/>
        <v>music</v>
      </c>
      <c r="R1657" t="str">
        <f t="shared" si="155"/>
        <v>pop</v>
      </c>
      <c r="S1657" s="4">
        <f t="shared" si="152"/>
        <v>40974.791898148149</v>
      </c>
      <c r="T1657" s="4">
        <f t="shared" si="153"/>
        <v>41004.750231481477</v>
      </c>
      <c r="U1657" s="5">
        <f>VLOOKUP(currency,Tables!$A$1:$C$14,3,FALSE)*pledged</f>
        <v>2143</v>
      </c>
    </row>
    <row r="1658" spans="1:21" ht="57.6" x14ac:dyDescent="0.55000000000000004">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16">
        <f t="shared" si="151"/>
        <v>156.77333333333334</v>
      </c>
      <c r="Q1658" t="str">
        <f t="shared" si="154"/>
        <v>music</v>
      </c>
      <c r="R1658" t="str">
        <f t="shared" si="155"/>
        <v>pop</v>
      </c>
      <c r="S1658" s="4">
        <f t="shared" si="152"/>
        <v>41226.928842592592</v>
      </c>
      <c r="T1658" s="4">
        <f t="shared" si="153"/>
        <v>41256.928842592592</v>
      </c>
      <c r="U1658" s="5">
        <f>VLOOKUP(currency,Tables!$A$1:$C$14,3,FALSE)*pledged</f>
        <v>7525.12</v>
      </c>
    </row>
    <row r="1659" spans="1:21" ht="43.2" x14ac:dyDescent="0.55000000000000004">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16">
        <f t="shared" si="151"/>
        <v>118.70339366515837</v>
      </c>
      <c r="Q1659" t="str">
        <f t="shared" si="154"/>
        <v>music</v>
      </c>
      <c r="R1659" t="str">
        <f t="shared" si="155"/>
        <v>pop</v>
      </c>
      <c r="S1659" s="4">
        <f t="shared" si="152"/>
        <v>41023.782037037039</v>
      </c>
      <c r="T1659" s="4">
        <f t="shared" si="153"/>
        <v>41053.782037037039</v>
      </c>
      <c r="U1659" s="5">
        <f>VLOOKUP(currency,Tables!$A$1:$C$14,3,FALSE)*pledged</f>
        <v>26233.45</v>
      </c>
    </row>
    <row r="1660" spans="1:21" ht="43.2" x14ac:dyDescent="0.55000000000000004">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16">
        <f t="shared" si="151"/>
        <v>74.149532710280369</v>
      </c>
      <c r="Q1660" t="str">
        <f t="shared" si="154"/>
        <v>music</v>
      </c>
      <c r="R1660" t="str">
        <f t="shared" si="155"/>
        <v>pop</v>
      </c>
      <c r="S1660" s="4">
        <f t="shared" si="152"/>
        <v>41223.22184027778</v>
      </c>
      <c r="T1660" s="4">
        <f t="shared" si="153"/>
        <v>41261.597222222219</v>
      </c>
      <c r="U1660" s="5">
        <f>VLOOKUP(currency,Tables!$A$1:$C$14,3,FALSE)*pledged</f>
        <v>7934</v>
      </c>
    </row>
    <row r="1661" spans="1:21" ht="43.2" x14ac:dyDescent="0.55000000000000004">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16">
        <f t="shared" si="151"/>
        <v>12.533333333333333</v>
      </c>
      <c r="Q1661" t="str">
        <f t="shared" si="154"/>
        <v>music</v>
      </c>
      <c r="R1661" t="str">
        <f t="shared" si="155"/>
        <v>pop</v>
      </c>
      <c r="S1661" s="4">
        <f t="shared" si="152"/>
        <v>41596.913437499999</v>
      </c>
      <c r="T1661" s="4">
        <f t="shared" si="153"/>
        <v>41625.5</v>
      </c>
      <c r="U1661" s="5">
        <f>VLOOKUP(currency,Tables!$A$1:$C$14,3,FALSE)*pledged</f>
        <v>744.48</v>
      </c>
    </row>
    <row r="1662" spans="1:21" ht="43.2" x14ac:dyDescent="0.55000000000000004">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16">
        <f t="shared" si="151"/>
        <v>27.861111111111111</v>
      </c>
      <c r="Q1662" t="str">
        <f t="shared" si="154"/>
        <v>music</v>
      </c>
      <c r="R1662" t="str">
        <f t="shared" si="155"/>
        <v>pop</v>
      </c>
      <c r="S1662" s="4">
        <f t="shared" si="152"/>
        <v>42459.693865740745</v>
      </c>
      <c r="T1662" s="4">
        <f t="shared" si="153"/>
        <v>42490.915972222225</v>
      </c>
      <c r="U1662" s="5">
        <f>VLOOKUP(currency,Tables!$A$1:$C$14,3,FALSE)*pledged</f>
        <v>1183.54</v>
      </c>
    </row>
    <row r="1663" spans="1:21" ht="57.6" x14ac:dyDescent="0.55000000000000004">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16">
        <f t="shared" si="151"/>
        <v>80.178217821782184</v>
      </c>
      <c r="Q1663" t="str">
        <f t="shared" si="154"/>
        <v>music</v>
      </c>
      <c r="R1663" t="str">
        <f t="shared" si="155"/>
        <v>pop</v>
      </c>
      <c r="S1663" s="4">
        <f t="shared" si="152"/>
        <v>42343.998043981483</v>
      </c>
      <c r="T1663" s="4">
        <f t="shared" si="153"/>
        <v>42386.875</v>
      </c>
      <c r="U1663" s="5">
        <f>VLOOKUP(currency,Tables!$A$1:$C$14,3,FALSE)*pledged</f>
        <v>9555.64</v>
      </c>
    </row>
    <row r="1664" spans="1:21" ht="43.2" x14ac:dyDescent="0.55000000000000004">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16">
        <f t="shared" si="151"/>
        <v>132.43548387096774</v>
      </c>
      <c r="Q1664" t="str">
        <f t="shared" si="154"/>
        <v>music</v>
      </c>
      <c r="R1664" t="str">
        <f t="shared" si="155"/>
        <v>pop</v>
      </c>
      <c r="S1664" s="4">
        <f t="shared" si="152"/>
        <v>40848.198333333334</v>
      </c>
      <c r="T1664" s="4">
        <f t="shared" si="153"/>
        <v>40908.239999999998</v>
      </c>
      <c r="U1664" s="5">
        <f>VLOOKUP(currency,Tables!$A$1:$C$14,3,FALSE)*pledged</f>
        <v>8211</v>
      </c>
    </row>
    <row r="1665" spans="1:21" ht="28.8" x14ac:dyDescent="0.55000000000000004">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50"/>
        <v>1.08</v>
      </c>
      <c r="P1665" s="16">
        <f t="shared" si="151"/>
        <v>33.75</v>
      </c>
      <c r="Q1665" t="str">
        <f t="shared" si="154"/>
        <v>music</v>
      </c>
      <c r="R1665" t="str">
        <f t="shared" si="155"/>
        <v>pop</v>
      </c>
      <c r="S1665" s="4">
        <f t="shared" si="152"/>
        <v>42006.02207175926</v>
      </c>
      <c r="T1665" s="4">
        <f t="shared" si="153"/>
        <v>42036.02207175926</v>
      </c>
      <c r="U1665" s="5">
        <f>VLOOKUP(currency,Tables!$A$1:$C$14,3,FALSE)*pledged</f>
        <v>1080</v>
      </c>
    </row>
    <row r="1666" spans="1:21" ht="43.2" x14ac:dyDescent="0.55000000000000004">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ref="O1666:O1729" si="156">pledged/goal</f>
        <v>1.2240879999999998</v>
      </c>
      <c r="P1666" s="16">
        <f t="shared" ref="P1666:P1729" si="157">IF(pledged=0,0,pledged/backers_count)</f>
        <v>34.384494382022467</v>
      </c>
      <c r="Q1666" t="str">
        <f t="shared" si="154"/>
        <v>music</v>
      </c>
      <c r="R1666" t="str">
        <f t="shared" si="155"/>
        <v>pop</v>
      </c>
      <c r="S1666" s="4">
        <f t="shared" ref="S1666:S1729" si="158">(((Unix_launched_date/60)/60)/24)+DATE(1970,1,1)</f>
        <v>40939.761782407404</v>
      </c>
      <c r="T1666" s="4">
        <f t="shared" ref="T1666:T1729" si="159">(((Unix_deadline/60)/60)/24)+DATE(1970,1,1)</f>
        <v>40984.165972222225</v>
      </c>
      <c r="U1666" s="5">
        <f>VLOOKUP(currency,Tables!$A$1:$C$14,3,FALSE)*pledged</f>
        <v>3060.22</v>
      </c>
    </row>
    <row r="1667" spans="1:21" ht="43.2" x14ac:dyDescent="0.55000000000000004">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si="156"/>
        <v>1.1945714285714286</v>
      </c>
      <c r="P1667" s="16">
        <f t="shared" si="157"/>
        <v>44.956989247311824</v>
      </c>
      <c r="Q1667" t="str">
        <f t="shared" ref="Q1667:Q1730" si="160">LEFT(N1667,FIND("/",N1667,1)-1)</f>
        <v>music</v>
      </c>
      <c r="R1667" t="str">
        <f t="shared" ref="R1667:R1730" si="161">RIGHT(N1667,(LEN(N1667)-FIND("/",N1667,1)))</f>
        <v>pop</v>
      </c>
      <c r="S1667" s="4">
        <f t="shared" si="158"/>
        <v>40564.649456018517</v>
      </c>
      <c r="T1667" s="4">
        <f t="shared" si="159"/>
        <v>40596.125</v>
      </c>
      <c r="U1667" s="5">
        <f>VLOOKUP(currency,Tables!$A$1:$C$14,3,FALSE)*pledged</f>
        <v>4181</v>
      </c>
    </row>
    <row r="1668" spans="1:21" ht="43.2" x14ac:dyDescent="0.55000000000000004">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16">
        <f t="shared" si="157"/>
        <v>41.04081632653061</v>
      </c>
      <c r="Q1668" t="str">
        <f t="shared" si="160"/>
        <v>music</v>
      </c>
      <c r="R1668" t="str">
        <f t="shared" si="161"/>
        <v>pop</v>
      </c>
      <c r="S1668" s="4">
        <f t="shared" si="158"/>
        <v>41331.253159722226</v>
      </c>
      <c r="T1668" s="4">
        <f t="shared" si="159"/>
        <v>41361.211493055554</v>
      </c>
      <c r="U1668" s="5">
        <f>VLOOKUP(currency,Tables!$A$1:$C$14,3,FALSE)*pledged</f>
        <v>4022</v>
      </c>
    </row>
    <row r="1669" spans="1:21" ht="43.2" x14ac:dyDescent="0.55000000000000004">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16">
        <f t="shared" si="157"/>
        <v>52.597560975609753</v>
      </c>
      <c r="Q1669" t="str">
        <f t="shared" si="160"/>
        <v>music</v>
      </c>
      <c r="R1669" t="str">
        <f t="shared" si="161"/>
        <v>pop</v>
      </c>
      <c r="S1669" s="4">
        <f t="shared" si="158"/>
        <v>41682.0705787037</v>
      </c>
      <c r="T1669" s="4">
        <f t="shared" si="159"/>
        <v>41709.290972222225</v>
      </c>
      <c r="U1669" s="5">
        <f>VLOOKUP(currency,Tables!$A$1:$C$14,3,FALSE)*pledged</f>
        <v>4313</v>
      </c>
    </row>
    <row r="1670" spans="1:21" ht="43.2" x14ac:dyDescent="0.55000000000000004">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16">
        <f t="shared" si="157"/>
        <v>70.784482758620683</v>
      </c>
      <c r="Q1670" t="str">
        <f t="shared" si="160"/>
        <v>music</v>
      </c>
      <c r="R1670" t="str">
        <f t="shared" si="161"/>
        <v>pop</v>
      </c>
      <c r="S1670" s="4">
        <f t="shared" si="158"/>
        <v>40845.14975694444</v>
      </c>
      <c r="T1670" s="4">
        <f t="shared" si="159"/>
        <v>40875.191423611112</v>
      </c>
      <c r="U1670" s="5">
        <f>VLOOKUP(currency,Tables!$A$1:$C$14,3,FALSE)*pledged</f>
        <v>8211</v>
      </c>
    </row>
    <row r="1671" spans="1:21" ht="43.2" x14ac:dyDescent="0.55000000000000004">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16">
        <f t="shared" si="157"/>
        <v>53.75</v>
      </c>
      <c r="Q1671" t="str">
        <f t="shared" si="160"/>
        <v>music</v>
      </c>
      <c r="R1671" t="str">
        <f t="shared" si="161"/>
        <v>pop</v>
      </c>
      <c r="S1671" s="4">
        <f t="shared" si="158"/>
        <v>42461.885138888887</v>
      </c>
      <c r="T1671" s="4">
        <f t="shared" si="159"/>
        <v>42521.885138888887</v>
      </c>
      <c r="U1671" s="5">
        <f>VLOOKUP(currency,Tables!$A$1:$C$14,3,FALSE)*pledged</f>
        <v>2795</v>
      </c>
    </row>
    <row r="1672" spans="1:21" ht="57.6" x14ac:dyDescent="0.55000000000000004">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16">
        <f t="shared" si="157"/>
        <v>44.608695652173914</v>
      </c>
      <c r="Q1672" t="str">
        <f t="shared" si="160"/>
        <v>music</v>
      </c>
      <c r="R1672" t="str">
        <f t="shared" si="161"/>
        <v>pop</v>
      </c>
      <c r="S1672" s="4">
        <f t="shared" si="158"/>
        <v>40313.930543981485</v>
      </c>
      <c r="T1672" s="4">
        <f t="shared" si="159"/>
        <v>40364.166666666664</v>
      </c>
      <c r="U1672" s="5">
        <f>VLOOKUP(currency,Tables!$A$1:$C$14,3,FALSE)*pledged</f>
        <v>1026</v>
      </c>
    </row>
    <row r="1673" spans="1:21" ht="28.8" x14ac:dyDescent="0.55000000000000004">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16">
        <f t="shared" si="157"/>
        <v>26.148961038961041</v>
      </c>
      <c r="Q1673" t="str">
        <f t="shared" si="160"/>
        <v>music</v>
      </c>
      <c r="R1673" t="str">
        <f t="shared" si="161"/>
        <v>pop</v>
      </c>
      <c r="S1673" s="4">
        <f t="shared" si="158"/>
        <v>42553.54414351852</v>
      </c>
      <c r="T1673" s="4">
        <f t="shared" si="159"/>
        <v>42583.54414351852</v>
      </c>
      <c r="U1673" s="5">
        <f>VLOOKUP(currency,Tables!$A$1:$C$14,3,FALSE)*pledged</f>
        <v>2013.47</v>
      </c>
    </row>
    <row r="1674" spans="1:21" ht="28.8" x14ac:dyDescent="0.55000000000000004">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16">
        <f t="shared" si="157"/>
        <v>39.183673469387756</v>
      </c>
      <c r="Q1674" t="str">
        <f t="shared" si="160"/>
        <v>music</v>
      </c>
      <c r="R1674" t="str">
        <f t="shared" si="161"/>
        <v>pop</v>
      </c>
      <c r="S1674" s="4">
        <f t="shared" si="158"/>
        <v>41034.656597222223</v>
      </c>
      <c r="T1674" s="4">
        <f t="shared" si="159"/>
        <v>41064.656597222223</v>
      </c>
      <c r="U1674" s="5">
        <f>VLOOKUP(currency,Tables!$A$1:$C$14,3,FALSE)*pledged</f>
        <v>1920</v>
      </c>
    </row>
    <row r="1675" spans="1:21" ht="43.2" x14ac:dyDescent="0.55000000000000004">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16">
        <f t="shared" si="157"/>
        <v>45.593220338983052</v>
      </c>
      <c r="Q1675" t="str">
        <f t="shared" si="160"/>
        <v>music</v>
      </c>
      <c r="R1675" t="str">
        <f t="shared" si="161"/>
        <v>pop</v>
      </c>
      <c r="S1675" s="4">
        <f t="shared" si="158"/>
        <v>42039.878379629634</v>
      </c>
      <c r="T1675" s="4">
        <f t="shared" si="159"/>
        <v>42069.878379629634</v>
      </c>
      <c r="U1675" s="5">
        <f>VLOOKUP(currency,Tables!$A$1:$C$14,3,FALSE)*pledged</f>
        <v>2690</v>
      </c>
    </row>
    <row r="1676" spans="1:21" ht="43.2" x14ac:dyDescent="0.55000000000000004">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16">
        <f t="shared" si="157"/>
        <v>89.247787610619469</v>
      </c>
      <c r="Q1676" t="str">
        <f t="shared" si="160"/>
        <v>music</v>
      </c>
      <c r="R1676" t="str">
        <f t="shared" si="161"/>
        <v>pop</v>
      </c>
      <c r="S1676" s="4">
        <f t="shared" si="158"/>
        <v>42569.605393518519</v>
      </c>
      <c r="T1676" s="4">
        <f t="shared" si="159"/>
        <v>42600.290972222225</v>
      </c>
      <c r="U1676" s="5">
        <f>VLOOKUP(currency,Tables!$A$1:$C$14,3,FALSE)*pledged</f>
        <v>10085</v>
      </c>
    </row>
    <row r="1677" spans="1:21" ht="28.8" x14ac:dyDescent="0.55000000000000004">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16">
        <f t="shared" si="157"/>
        <v>40.416470588235299</v>
      </c>
      <c r="Q1677" t="str">
        <f t="shared" si="160"/>
        <v>music</v>
      </c>
      <c r="R1677" t="str">
        <f t="shared" si="161"/>
        <v>pop</v>
      </c>
      <c r="S1677" s="4">
        <f t="shared" si="158"/>
        <v>40802.733101851853</v>
      </c>
      <c r="T1677" s="4">
        <f t="shared" si="159"/>
        <v>40832.918749999997</v>
      </c>
      <c r="U1677" s="5">
        <f>VLOOKUP(currency,Tables!$A$1:$C$14,3,FALSE)*pledged</f>
        <v>1374.16</v>
      </c>
    </row>
    <row r="1678" spans="1:21" ht="28.8" x14ac:dyDescent="0.55000000000000004">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16">
        <f t="shared" si="157"/>
        <v>82.38095238095238</v>
      </c>
      <c r="Q1678" t="str">
        <f t="shared" si="160"/>
        <v>music</v>
      </c>
      <c r="R1678" t="str">
        <f t="shared" si="161"/>
        <v>pop</v>
      </c>
      <c r="S1678" s="4">
        <f t="shared" si="158"/>
        <v>40973.72623842593</v>
      </c>
      <c r="T1678" s="4">
        <f t="shared" si="159"/>
        <v>41020.165972222225</v>
      </c>
      <c r="U1678" s="5">
        <f>VLOOKUP(currency,Tables!$A$1:$C$14,3,FALSE)*pledged</f>
        <v>3460</v>
      </c>
    </row>
    <row r="1679" spans="1:21" ht="43.2" x14ac:dyDescent="0.55000000000000004">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16">
        <f t="shared" si="157"/>
        <v>159.52380952380952</v>
      </c>
      <c r="Q1679" t="str">
        <f t="shared" si="160"/>
        <v>music</v>
      </c>
      <c r="R1679" t="str">
        <f t="shared" si="161"/>
        <v>pop</v>
      </c>
      <c r="S1679" s="4">
        <f t="shared" si="158"/>
        <v>42416.407129629632</v>
      </c>
      <c r="T1679" s="4">
        <f t="shared" si="159"/>
        <v>42476.249305555553</v>
      </c>
      <c r="U1679" s="5">
        <f>VLOOKUP(currency,Tables!$A$1:$C$14,3,FALSE)*pledged</f>
        <v>7906</v>
      </c>
    </row>
    <row r="1680" spans="1:21" ht="43.2" x14ac:dyDescent="0.55000000000000004">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16">
        <f t="shared" si="157"/>
        <v>36.244897959183675</v>
      </c>
      <c r="Q1680" t="str">
        <f t="shared" si="160"/>
        <v>music</v>
      </c>
      <c r="R1680" t="str">
        <f t="shared" si="161"/>
        <v>pop</v>
      </c>
      <c r="S1680" s="4">
        <f t="shared" si="158"/>
        <v>41662.854988425926</v>
      </c>
      <c r="T1680" s="4">
        <f t="shared" si="159"/>
        <v>41676.854988425926</v>
      </c>
      <c r="U1680" s="5">
        <f>VLOOKUP(currency,Tables!$A$1:$C$14,3,FALSE)*pledged</f>
        <v>1776</v>
      </c>
    </row>
    <row r="1681" spans="1:21" ht="57.6" x14ac:dyDescent="0.55000000000000004">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56"/>
        <v>1.75</v>
      </c>
      <c r="P1681" s="16">
        <f t="shared" si="157"/>
        <v>62.5</v>
      </c>
      <c r="Q1681" t="str">
        <f t="shared" si="160"/>
        <v>music</v>
      </c>
      <c r="R1681" t="str">
        <f t="shared" si="161"/>
        <v>pop</v>
      </c>
      <c r="S1681" s="4">
        <f t="shared" si="158"/>
        <v>40723.068807870368</v>
      </c>
      <c r="T1681" s="4">
        <f t="shared" si="159"/>
        <v>40746.068807870368</v>
      </c>
      <c r="U1681" s="5">
        <f>VLOOKUP(currency,Tables!$A$1:$C$14,3,FALSE)*pledged</f>
        <v>3500</v>
      </c>
    </row>
    <row r="1682" spans="1:21" ht="28.8" x14ac:dyDescent="0.55000000000000004">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16">
        <f t="shared" si="157"/>
        <v>47</v>
      </c>
      <c r="Q1682" t="str">
        <f t="shared" si="160"/>
        <v>music</v>
      </c>
      <c r="R1682" t="str">
        <f t="shared" si="161"/>
        <v>pop</v>
      </c>
      <c r="S1682" s="4">
        <f t="shared" si="158"/>
        <v>41802.757719907408</v>
      </c>
      <c r="T1682" s="4">
        <f t="shared" si="159"/>
        <v>41832.757719907408</v>
      </c>
      <c r="U1682" s="5">
        <f>VLOOKUP(currency,Tables!$A$1:$C$14,3,FALSE)*pledged</f>
        <v>1175</v>
      </c>
    </row>
    <row r="1683" spans="1:21" ht="43.2" x14ac:dyDescent="0.55000000000000004">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16">
        <f t="shared" si="157"/>
        <v>74.575090497737563</v>
      </c>
      <c r="Q1683" t="str">
        <f t="shared" si="160"/>
        <v>music</v>
      </c>
      <c r="R1683" t="str">
        <f t="shared" si="161"/>
        <v>faith</v>
      </c>
      <c r="S1683" s="4">
        <f t="shared" si="158"/>
        <v>42774.121342592596</v>
      </c>
      <c r="T1683" s="4">
        <f t="shared" si="159"/>
        <v>42823.083333333328</v>
      </c>
      <c r="U1683" s="5">
        <f>VLOOKUP(currency,Tables!$A$1:$C$14,3,FALSE)*pledged</f>
        <v>65924.38</v>
      </c>
    </row>
    <row r="1684" spans="1:21" ht="28.8" x14ac:dyDescent="0.55000000000000004">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56"/>
        <v>0</v>
      </c>
      <c r="P1684" s="16">
        <f t="shared" si="157"/>
        <v>0</v>
      </c>
      <c r="Q1684" t="str">
        <f t="shared" si="160"/>
        <v>music</v>
      </c>
      <c r="R1684" t="str">
        <f t="shared" si="161"/>
        <v>faith</v>
      </c>
      <c r="S1684" s="4">
        <f t="shared" si="158"/>
        <v>42779.21365740741</v>
      </c>
      <c r="T1684" s="4">
        <f t="shared" si="159"/>
        <v>42839.171990740739</v>
      </c>
      <c r="U1684" s="5">
        <f>VLOOKUP(currency,Tables!$A$1:$C$14,3,FALSE)*pledged</f>
        <v>0</v>
      </c>
    </row>
    <row r="1685" spans="1:21" ht="43.2" x14ac:dyDescent="0.55000000000000004">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16">
        <f t="shared" si="157"/>
        <v>76</v>
      </c>
      <c r="Q1685" t="str">
        <f t="shared" si="160"/>
        <v>music</v>
      </c>
      <c r="R1685" t="str">
        <f t="shared" si="161"/>
        <v>faith</v>
      </c>
      <c r="S1685" s="4">
        <f t="shared" si="158"/>
        <v>42808.781689814816</v>
      </c>
      <c r="T1685" s="4">
        <f t="shared" si="159"/>
        <v>42832.781689814816</v>
      </c>
      <c r="U1685" s="5">
        <f>VLOOKUP(currency,Tables!$A$1:$C$14,3,FALSE)*pledged</f>
        <v>896.8</v>
      </c>
    </row>
    <row r="1686" spans="1:21" ht="28.8" x14ac:dyDescent="0.55000000000000004">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16">
        <f t="shared" si="157"/>
        <v>86.43564356435644</v>
      </c>
      <c r="Q1686" t="str">
        <f t="shared" si="160"/>
        <v>music</v>
      </c>
      <c r="R1686" t="str">
        <f t="shared" si="161"/>
        <v>faith</v>
      </c>
      <c r="S1686" s="4">
        <f t="shared" si="158"/>
        <v>42783.815289351856</v>
      </c>
      <c r="T1686" s="4">
        <f t="shared" si="159"/>
        <v>42811.773622685185</v>
      </c>
      <c r="U1686" s="5">
        <f>VLOOKUP(currency,Tables!$A$1:$C$14,3,FALSE)*pledged</f>
        <v>8730</v>
      </c>
    </row>
    <row r="1687" spans="1:21" ht="43.2" x14ac:dyDescent="0.55000000000000004">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16">
        <f t="shared" si="157"/>
        <v>24</v>
      </c>
      <c r="Q1687" t="str">
        <f t="shared" si="160"/>
        <v>music</v>
      </c>
      <c r="R1687" t="str">
        <f t="shared" si="161"/>
        <v>faith</v>
      </c>
      <c r="S1687" s="4">
        <f t="shared" si="158"/>
        <v>42788.2502662037</v>
      </c>
      <c r="T1687" s="4">
        <f t="shared" si="159"/>
        <v>42818.208599537036</v>
      </c>
      <c r="U1687" s="5">
        <f>VLOOKUP(currency,Tables!$A$1:$C$14,3,FALSE)*pledged</f>
        <v>360</v>
      </c>
    </row>
    <row r="1688" spans="1:21" ht="43.2" x14ac:dyDescent="0.55000000000000004">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16">
        <f t="shared" si="157"/>
        <v>18</v>
      </c>
      <c r="Q1688" t="str">
        <f t="shared" si="160"/>
        <v>music</v>
      </c>
      <c r="R1688" t="str">
        <f t="shared" si="161"/>
        <v>faith</v>
      </c>
      <c r="S1688" s="4">
        <f t="shared" si="158"/>
        <v>42792.843969907408</v>
      </c>
      <c r="T1688" s="4">
        <f t="shared" si="159"/>
        <v>42852.802303240736</v>
      </c>
      <c r="U1688" s="5">
        <f>VLOOKUP(currency,Tables!$A$1:$C$14,3,FALSE)*pledged</f>
        <v>13.68</v>
      </c>
    </row>
    <row r="1689" spans="1:21" ht="43.2" x14ac:dyDescent="0.55000000000000004">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16">
        <f t="shared" si="157"/>
        <v>80.128205128205124</v>
      </c>
      <c r="Q1689" t="str">
        <f t="shared" si="160"/>
        <v>music</v>
      </c>
      <c r="R1689" t="str">
        <f t="shared" si="161"/>
        <v>faith</v>
      </c>
      <c r="S1689" s="4">
        <f t="shared" si="158"/>
        <v>42802.046817129631</v>
      </c>
      <c r="T1689" s="4">
        <f t="shared" si="159"/>
        <v>42835.84375</v>
      </c>
      <c r="U1689" s="5">
        <f>VLOOKUP(currency,Tables!$A$1:$C$14,3,FALSE)*pledged</f>
        <v>3125</v>
      </c>
    </row>
    <row r="1690" spans="1:21" ht="57.6" x14ac:dyDescent="0.55000000000000004">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56"/>
        <v>0.443</v>
      </c>
      <c r="P1690" s="16">
        <f t="shared" si="157"/>
        <v>253.14285714285714</v>
      </c>
      <c r="Q1690" t="str">
        <f t="shared" si="160"/>
        <v>music</v>
      </c>
      <c r="R1690" t="str">
        <f t="shared" si="161"/>
        <v>faith</v>
      </c>
      <c r="S1690" s="4">
        <f t="shared" si="158"/>
        <v>42804.534652777773</v>
      </c>
      <c r="T1690" s="4">
        <f t="shared" si="159"/>
        <v>42834.492986111116</v>
      </c>
      <c r="U1690" s="5">
        <f>VLOOKUP(currency,Tables!$A$1:$C$14,3,FALSE)*pledged</f>
        <v>1772</v>
      </c>
    </row>
    <row r="1691" spans="1:21" x14ac:dyDescent="0.55000000000000004">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56"/>
        <v>1</v>
      </c>
      <c r="P1691" s="16">
        <f t="shared" si="157"/>
        <v>171.42857142857142</v>
      </c>
      <c r="Q1691" t="str">
        <f t="shared" si="160"/>
        <v>music</v>
      </c>
      <c r="R1691" t="str">
        <f t="shared" si="161"/>
        <v>faith</v>
      </c>
      <c r="S1691" s="4">
        <f t="shared" si="158"/>
        <v>42780.942476851851</v>
      </c>
      <c r="T1691" s="4">
        <f t="shared" si="159"/>
        <v>42810.900810185187</v>
      </c>
      <c r="U1691" s="5">
        <f>VLOOKUP(currency,Tables!$A$1:$C$14,3,FALSE)*pledged</f>
        <v>2400</v>
      </c>
    </row>
    <row r="1692" spans="1:21" ht="43.2" x14ac:dyDescent="0.55000000000000004">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56"/>
        <v>0.254</v>
      </c>
      <c r="P1692" s="16">
        <f t="shared" si="157"/>
        <v>57.727272727272727</v>
      </c>
      <c r="Q1692" t="str">
        <f t="shared" si="160"/>
        <v>music</v>
      </c>
      <c r="R1692" t="str">
        <f t="shared" si="161"/>
        <v>faith</v>
      </c>
      <c r="S1692" s="4">
        <f t="shared" si="158"/>
        <v>42801.43104166667</v>
      </c>
      <c r="T1692" s="4">
        <f t="shared" si="159"/>
        <v>42831.389374999999</v>
      </c>
      <c r="U1692" s="5">
        <f>VLOOKUP(currency,Tables!$A$1:$C$14,3,FALSE)*pledged</f>
        <v>635</v>
      </c>
    </row>
    <row r="1693" spans="1:21" ht="43.2" x14ac:dyDescent="0.55000000000000004">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16">
        <f t="shared" si="157"/>
        <v>264.26315789473682</v>
      </c>
      <c r="Q1693" t="str">
        <f t="shared" si="160"/>
        <v>music</v>
      </c>
      <c r="R1693" t="str">
        <f t="shared" si="161"/>
        <v>faith</v>
      </c>
      <c r="S1693" s="4">
        <f t="shared" si="158"/>
        <v>42795.701481481476</v>
      </c>
      <c r="T1693" s="4">
        <f t="shared" si="159"/>
        <v>42828.041666666672</v>
      </c>
      <c r="U1693" s="5">
        <f>VLOOKUP(currency,Tables!$A$1:$C$14,3,FALSE)*pledged</f>
        <v>10042</v>
      </c>
    </row>
    <row r="1694" spans="1:21" ht="43.2" x14ac:dyDescent="0.55000000000000004">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16">
        <f t="shared" si="157"/>
        <v>159.33333333333334</v>
      </c>
      <c r="Q1694" t="str">
        <f t="shared" si="160"/>
        <v>music</v>
      </c>
      <c r="R1694" t="str">
        <f t="shared" si="161"/>
        <v>faith</v>
      </c>
      <c r="S1694" s="4">
        <f t="shared" si="158"/>
        <v>42788.151238425926</v>
      </c>
      <c r="T1694" s="4">
        <f t="shared" si="159"/>
        <v>42820.999305555553</v>
      </c>
      <c r="U1694" s="5">
        <f>VLOOKUP(currency,Tables!$A$1:$C$14,3,FALSE)*pledged</f>
        <v>2390</v>
      </c>
    </row>
    <row r="1695" spans="1:21" ht="43.2" x14ac:dyDescent="0.55000000000000004">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16">
        <f t="shared" si="157"/>
        <v>35</v>
      </c>
      <c r="Q1695" t="str">
        <f t="shared" si="160"/>
        <v>music</v>
      </c>
      <c r="R1695" t="str">
        <f t="shared" si="161"/>
        <v>faith</v>
      </c>
      <c r="S1695" s="4">
        <f t="shared" si="158"/>
        <v>42803.920277777783</v>
      </c>
      <c r="T1695" s="4">
        <f t="shared" si="159"/>
        <v>42834.833333333328</v>
      </c>
      <c r="U1695" s="5">
        <f>VLOOKUP(currency,Tables!$A$1:$C$14,3,FALSE)*pledged</f>
        <v>369.6</v>
      </c>
    </row>
    <row r="1696" spans="1:21" ht="43.2" x14ac:dyDescent="0.55000000000000004">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16">
        <f t="shared" si="157"/>
        <v>5</v>
      </c>
      <c r="Q1696" t="str">
        <f t="shared" si="160"/>
        <v>music</v>
      </c>
      <c r="R1696" t="str">
        <f t="shared" si="161"/>
        <v>faith</v>
      </c>
      <c r="S1696" s="4">
        <f t="shared" si="158"/>
        <v>42791.669837962967</v>
      </c>
      <c r="T1696" s="4">
        <f t="shared" si="159"/>
        <v>42821.191666666666</v>
      </c>
      <c r="U1696" s="5">
        <f>VLOOKUP(currency,Tables!$A$1:$C$14,3,FALSE)*pledged</f>
        <v>5</v>
      </c>
    </row>
    <row r="1697" spans="1:21" ht="43.2" x14ac:dyDescent="0.55000000000000004">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16">
        <f t="shared" si="157"/>
        <v>61.086956521739133</v>
      </c>
      <c r="Q1697" t="str">
        <f t="shared" si="160"/>
        <v>music</v>
      </c>
      <c r="R1697" t="str">
        <f t="shared" si="161"/>
        <v>faith</v>
      </c>
      <c r="S1697" s="4">
        <f t="shared" si="158"/>
        <v>42801.031412037039</v>
      </c>
      <c r="T1697" s="4">
        <f t="shared" si="159"/>
        <v>42835.041666666672</v>
      </c>
      <c r="U1697" s="5">
        <f>VLOOKUP(currency,Tables!$A$1:$C$14,3,FALSE)*pledged</f>
        <v>1405</v>
      </c>
    </row>
    <row r="1698" spans="1:21" ht="43.2" x14ac:dyDescent="0.55000000000000004">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56"/>
        <v>0</v>
      </c>
      <c r="P1698" s="16">
        <f t="shared" si="157"/>
        <v>0</v>
      </c>
      <c r="Q1698" t="str">
        <f t="shared" si="160"/>
        <v>music</v>
      </c>
      <c r="R1698" t="str">
        <f t="shared" si="161"/>
        <v>faith</v>
      </c>
      <c r="S1698" s="4">
        <f t="shared" si="158"/>
        <v>42796.069571759261</v>
      </c>
      <c r="T1698" s="4">
        <f t="shared" si="159"/>
        <v>42826.027905092589</v>
      </c>
      <c r="U1698" s="5">
        <f>VLOOKUP(currency,Tables!$A$1:$C$14,3,FALSE)*pledged</f>
        <v>0</v>
      </c>
    </row>
    <row r="1699" spans="1:21" ht="43.2" x14ac:dyDescent="0.55000000000000004">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16">
        <f t="shared" si="157"/>
        <v>114.81818181818181</v>
      </c>
      <c r="Q1699" t="str">
        <f t="shared" si="160"/>
        <v>music</v>
      </c>
      <c r="R1699" t="str">
        <f t="shared" si="161"/>
        <v>faith</v>
      </c>
      <c r="S1699" s="4">
        <f t="shared" si="158"/>
        <v>42805.032962962956</v>
      </c>
      <c r="T1699" s="4">
        <f t="shared" si="159"/>
        <v>42834.991296296299</v>
      </c>
      <c r="U1699" s="5">
        <f>VLOOKUP(currency,Tables!$A$1:$C$14,3,FALSE)*pledged</f>
        <v>2526</v>
      </c>
    </row>
    <row r="1700" spans="1:21" ht="72" x14ac:dyDescent="0.55000000000000004">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56"/>
        <v>0</v>
      </c>
      <c r="P1700" s="16">
        <f t="shared" si="157"/>
        <v>0</v>
      </c>
      <c r="Q1700" t="str">
        <f t="shared" si="160"/>
        <v>music</v>
      </c>
      <c r="R1700" t="str">
        <f t="shared" si="161"/>
        <v>faith</v>
      </c>
      <c r="S1700" s="4">
        <f t="shared" si="158"/>
        <v>42796.207870370374</v>
      </c>
      <c r="T1700" s="4">
        <f t="shared" si="159"/>
        <v>42820.147916666669</v>
      </c>
      <c r="U1700" s="5">
        <f>VLOOKUP(currency,Tables!$A$1:$C$14,3,FALSE)*pledged</f>
        <v>0</v>
      </c>
    </row>
    <row r="1701" spans="1:21" ht="43.2" x14ac:dyDescent="0.55000000000000004">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16">
        <f t="shared" si="157"/>
        <v>54</v>
      </c>
      <c r="Q1701" t="str">
        <f t="shared" si="160"/>
        <v>music</v>
      </c>
      <c r="R1701" t="str">
        <f t="shared" si="161"/>
        <v>faith</v>
      </c>
      <c r="S1701" s="4">
        <f t="shared" si="158"/>
        <v>42806.863946759258</v>
      </c>
      <c r="T1701" s="4">
        <f t="shared" si="159"/>
        <v>42836.863946759258</v>
      </c>
      <c r="U1701" s="5">
        <f>VLOOKUP(currency,Tables!$A$1:$C$14,3,FALSE)*pledged</f>
        <v>216</v>
      </c>
    </row>
    <row r="1702" spans="1:21" ht="43.2" x14ac:dyDescent="0.55000000000000004">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16">
        <f t="shared" si="157"/>
        <v>65.974683544303801</v>
      </c>
      <c r="Q1702" t="str">
        <f t="shared" si="160"/>
        <v>music</v>
      </c>
      <c r="R1702" t="str">
        <f t="shared" si="161"/>
        <v>faith</v>
      </c>
      <c r="S1702" s="4">
        <f t="shared" si="158"/>
        <v>42796.071643518517</v>
      </c>
      <c r="T1702" s="4">
        <f t="shared" si="159"/>
        <v>42826.166666666672</v>
      </c>
      <c r="U1702" s="5">
        <f>VLOOKUP(currency,Tables!$A$1:$C$14,3,FALSE)*pledged</f>
        <v>5212</v>
      </c>
    </row>
    <row r="1703" spans="1:21" ht="43.2" x14ac:dyDescent="0.55000000000000004">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16">
        <f t="shared" si="157"/>
        <v>5</v>
      </c>
      <c r="Q1703" t="str">
        <f t="shared" si="160"/>
        <v>music</v>
      </c>
      <c r="R1703" t="str">
        <f t="shared" si="161"/>
        <v>faith</v>
      </c>
      <c r="S1703" s="4">
        <f t="shared" si="158"/>
        <v>41989.664409722223</v>
      </c>
      <c r="T1703" s="4">
        <f t="shared" si="159"/>
        <v>42019.664409722223</v>
      </c>
      <c r="U1703" s="5">
        <f>VLOOKUP(currency,Tables!$A$1:$C$14,3,FALSE)*pledged</f>
        <v>10</v>
      </c>
    </row>
    <row r="1704" spans="1:21" x14ac:dyDescent="0.55000000000000004">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16">
        <f t="shared" si="157"/>
        <v>1</v>
      </c>
      <c r="Q1704" t="str">
        <f t="shared" si="160"/>
        <v>music</v>
      </c>
      <c r="R1704" t="str">
        <f t="shared" si="161"/>
        <v>faith</v>
      </c>
      <c r="S1704" s="4">
        <f t="shared" si="158"/>
        <v>42063.869791666672</v>
      </c>
      <c r="T1704" s="4">
        <f t="shared" si="159"/>
        <v>42093.828125</v>
      </c>
      <c r="U1704" s="5">
        <f>VLOOKUP(currency,Tables!$A$1:$C$14,3,FALSE)*pledged</f>
        <v>1</v>
      </c>
    </row>
    <row r="1705" spans="1:21" ht="43.2" x14ac:dyDescent="0.55000000000000004">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16">
        <f t="shared" si="157"/>
        <v>25.5</v>
      </c>
      <c r="Q1705" t="str">
        <f t="shared" si="160"/>
        <v>music</v>
      </c>
      <c r="R1705" t="str">
        <f t="shared" si="161"/>
        <v>faith</v>
      </c>
      <c r="S1705" s="4">
        <f t="shared" si="158"/>
        <v>42187.281678240746</v>
      </c>
      <c r="T1705" s="4">
        <f t="shared" si="159"/>
        <v>42247.281678240746</v>
      </c>
      <c r="U1705" s="5">
        <f>VLOOKUP(currency,Tables!$A$1:$C$14,3,FALSE)*pledged</f>
        <v>51</v>
      </c>
    </row>
    <row r="1706" spans="1:21" ht="28.8" x14ac:dyDescent="0.55000000000000004">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16">
        <f t="shared" si="157"/>
        <v>118.36363636363636</v>
      </c>
      <c r="Q1706" t="str">
        <f t="shared" si="160"/>
        <v>music</v>
      </c>
      <c r="R1706" t="str">
        <f t="shared" si="161"/>
        <v>faith</v>
      </c>
      <c r="S1706" s="4">
        <f t="shared" si="158"/>
        <v>42021.139733796299</v>
      </c>
      <c r="T1706" s="4">
        <f t="shared" si="159"/>
        <v>42051.139733796299</v>
      </c>
      <c r="U1706" s="5">
        <f>VLOOKUP(currency,Tables!$A$1:$C$14,3,FALSE)*pledged</f>
        <v>1302</v>
      </c>
    </row>
    <row r="1707" spans="1:21" ht="43.2" x14ac:dyDescent="0.55000000000000004">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56"/>
        <v>0</v>
      </c>
      <c r="P1707" s="16">
        <f t="shared" si="157"/>
        <v>0</v>
      </c>
      <c r="Q1707" t="str">
        <f t="shared" si="160"/>
        <v>music</v>
      </c>
      <c r="R1707" t="str">
        <f t="shared" si="161"/>
        <v>faith</v>
      </c>
      <c r="S1707" s="4">
        <f t="shared" si="158"/>
        <v>42245.016736111109</v>
      </c>
      <c r="T1707" s="4">
        <f t="shared" si="159"/>
        <v>42256.666666666672</v>
      </c>
      <c r="U1707" s="5">
        <f>VLOOKUP(currency,Tables!$A$1:$C$14,3,FALSE)*pledged</f>
        <v>0</v>
      </c>
    </row>
    <row r="1708" spans="1:21" ht="43.2" x14ac:dyDescent="0.55000000000000004">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56"/>
        <v>0</v>
      </c>
      <c r="P1708" s="16">
        <f t="shared" si="157"/>
        <v>0</v>
      </c>
      <c r="Q1708" t="str">
        <f t="shared" si="160"/>
        <v>music</v>
      </c>
      <c r="R1708" t="str">
        <f t="shared" si="161"/>
        <v>faith</v>
      </c>
      <c r="S1708" s="4">
        <f t="shared" si="158"/>
        <v>42179.306388888886</v>
      </c>
      <c r="T1708" s="4">
        <f t="shared" si="159"/>
        <v>42239.306388888886</v>
      </c>
      <c r="U1708" s="5">
        <f>VLOOKUP(currency,Tables!$A$1:$C$14,3,FALSE)*pledged</f>
        <v>0</v>
      </c>
    </row>
    <row r="1709" spans="1:21" ht="43.2" x14ac:dyDescent="0.55000000000000004">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56"/>
        <v>9.74E-2</v>
      </c>
      <c r="P1709" s="16">
        <f t="shared" si="157"/>
        <v>54.111111111111114</v>
      </c>
      <c r="Q1709" t="str">
        <f t="shared" si="160"/>
        <v>music</v>
      </c>
      <c r="R1709" t="str">
        <f t="shared" si="161"/>
        <v>faith</v>
      </c>
      <c r="S1709" s="4">
        <f t="shared" si="158"/>
        <v>42427.721006944441</v>
      </c>
      <c r="T1709" s="4">
        <f t="shared" si="159"/>
        <v>42457.679340277777</v>
      </c>
      <c r="U1709" s="5">
        <f>VLOOKUP(currency,Tables!$A$1:$C$14,3,FALSE)*pledged</f>
        <v>487</v>
      </c>
    </row>
    <row r="1710" spans="1:21" ht="43.2" x14ac:dyDescent="0.55000000000000004">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56"/>
        <v>0</v>
      </c>
      <c r="P1710" s="16">
        <f t="shared" si="157"/>
        <v>0</v>
      </c>
      <c r="Q1710" t="str">
        <f t="shared" si="160"/>
        <v>music</v>
      </c>
      <c r="R1710" t="str">
        <f t="shared" si="161"/>
        <v>faith</v>
      </c>
      <c r="S1710" s="4">
        <f t="shared" si="158"/>
        <v>42451.866967592592</v>
      </c>
      <c r="T1710" s="4">
        <f t="shared" si="159"/>
        <v>42491.866967592592</v>
      </c>
      <c r="U1710" s="5">
        <f>VLOOKUP(currency,Tables!$A$1:$C$14,3,FALSE)*pledged</f>
        <v>0</v>
      </c>
    </row>
    <row r="1711" spans="1:21" ht="43.2" x14ac:dyDescent="0.55000000000000004">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16">
        <f t="shared" si="157"/>
        <v>21.25</v>
      </c>
      <c r="Q1711" t="str">
        <f t="shared" si="160"/>
        <v>music</v>
      </c>
      <c r="R1711" t="str">
        <f t="shared" si="161"/>
        <v>faith</v>
      </c>
      <c r="S1711" s="4">
        <f t="shared" si="158"/>
        <v>41841.56381944444</v>
      </c>
      <c r="T1711" s="4">
        <f t="shared" si="159"/>
        <v>41882.818749999999</v>
      </c>
      <c r="U1711" s="5">
        <f>VLOOKUP(currency,Tables!$A$1:$C$14,3,FALSE)*pledged</f>
        <v>85</v>
      </c>
    </row>
    <row r="1712" spans="1:21" ht="28.8" x14ac:dyDescent="0.55000000000000004">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16">
        <f t="shared" si="157"/>
        <v>34</v>
      </c>
      <c r="Q1712" t="str">
        <f t="shared" si="160"/>
        <v>music</v>
      </c>
      <c r="R1712" t="str">
        <f t="shared" si="161"/>
        <v>faith</v>
      </c>
      <c r="S1712" s="4">
        <f t="shared" si="158"/>
        <v>42341.59129629629</v>
      </c>
      <c r="T1712" s="4">
        <f t="shared" si="159"/>
        <v>42387.541666666672</v>
      </c>
      <c r="U1712" s="5">
        <f>VLOOKUP(currency,Tables!$A$1:$C$14,3,FALSE)*pledged</f>
        <v>40.119999999999997</v>
      </c>
    </row>
    <row r="1713" spans="1:21" ht="43.2" x14ac:dyDescent="0.55000000000000004">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16">
        <f t="shared" si="157"/>
        <v>525</v>
      </c>
      <c r="Q1713" t="str">
        <f t="shared" si="160"/>
        <v>music</v>
      </c>
      <c r="R1713" t="str">
        <f t="shared" si="161"/>
        <v>faith</v>
      </c>
      <c r="S1713" s="4">
        <f t="shared" si="158"/>
        <v>41852.646226851852</v>
      </c>
      <c r="T1713" s="4">
        <f t="shared" si="159"/>
        <v>41883.646226851852</v>
      </c>
      <c r="U1713" s="5">
        <f>VLOOKUP(currency,Tables!$A$1:$C$14,3,FALSE)*pledged</f>
        <v>1050</v>
      </c>
    </row>
    <row r="1714" spans="1:21" ht="43.2" x14ac:dyDescent="0.55000000000000004">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56"/>
        <v>0</v>
      </c>
      <c r="P1714" s="16">
        <f t="shared" si="157"/>
        <v>0</v>
      </c>
      <c r="Q1714" t="str">
        <f t="shared" si="160"/>
        <v>music</v>
      </c>
      <c r="R1714" t="str">
        <f t="shared" si="161"/>
        <v>faith</v>
      </c>
      <c r="S1714" s="4">
        <f t="shared" si="158"/>
        <v>42125.913807870369</v>
      </c>
      <c r="T1714" s="4">
        <f t="shared" si="159"/>
        <v>42185.913807870369</v>
      </c>
      <c r="U1714" s="5">
        <f>VLOOKUP(currency,Tables!$A$1:$C$14,3,FALSE)*pledged</f>
        <v>0</v>
      </c>
    </row>
    <row r="1715" spans="1:21" ht="57.6" x14ac:dyDescent="0.55000000000000004">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16">
        <f t="shared" si="157"/>
        <v>50</v>
      </c>
      <c r="Q1715" t="str">
        <f t="shared" si="160"/>
        <v>music</v>
      </c>
      <c r="R1715" t="str">
        <f t="shared" si="161"/>
        <v>faith</v>
      </c>
      <c r="S1715" s="4">
        <f t="shared" si="158"/>
        <v>41887.801064814819</v>
      </c>
      <c r="T1715" s="4">
        <f t="shared" si="159"/>
        <v>41917.801064814819</v>
      </c>
      <c r="U1715" s="5">
        <f>VLOOKUP(currency,Tables!$A$1:$C$14,3,FALSE)*pledged</f>
        <v>50</v>
      </c>
    </row>
    <row r="1716" spans="1:21" ht="43.2" x14ac:dyDescent="0.55000000000000004">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16">
        <f t="shared" si="157"/>
        <v>115.70588235294117</v>
      </c>
      <c r="Q1716" t="str">
        <f t="shared" si="160"/>
        <v>music</v>
      </c>
      <c r="R1716" t="str">
        <f t="shared" si="161"/>
        <v>faith</v>
      </c>
      <c r="S1716" s="4">
        <f t="shared" si="158"/>
        <v>42095.918530092589</v>
      </c>
      <c r="T1716" s="4">
        <f t="shared" si="159"/>
        <v>42125.918530092589</v>
      </c>
      <c r="U1716" s="5">
        <f>VLOOKUP(currency,Tables!$A$1:$C$14,3,FALSE)*pledged</f>
        <v>1967</v>
      </c>
    </row>
    <row r="1717" spans="1:21" ht="43.2" x14ac:dyDescent="0.55000000000000004">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16">
        <f t="shared" si="157"/>
        <v>5.5</v>
      </c>
      <c r="Q1717" t="str">
        <f t="shared" si="160"/>
        <v>music</v>
      </c>
      <c r="R1717" t="str">
        <f t="shared" si="161"/>
        <v>faith</v>
      </c>
      <c r="S1717" s="4">
        <f t="shared" si="158"/>
        <v>42064.217418981483</v>
      </c>
      <c r="T1717" s="4">
        <f t="shared" si="159"/>
        <v>42094.140277777777</v>
      </c>
      <c r="U1717" s="5">
        <f>VLOOKUP(currency,Tables!$A$1:$C$14,3,FALSE)*pledged</f>
        <v>11</v>
      </c>
    </row>
    <row r="1718" spans="1:21" ht="43.2" x14ac:dyDescent="0.55000000000000004">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16">
        <f t="shared" si="157"/>
        <v>50</v>
      </c>
      <c r="Q1718" t="str">
        <f t="shared" si="160"/>
        <v>music</v>
      </c>
      <c r="R1718" t="str">
        <f t="shared" si="161"/>
        <v>faith</v>
      </c>
      <c r="S1718" s="4">
        <f t="shared" si="158"/>
        <v>42673.577534722222</v>
      </c>
      <c r="T1718" s="4">
        <f t="shared" si="159"/>
        <v>42713.619201388887</v>
      </c>
      <c r="U1718" s="5">
        <f>VLOOKUP(currency,Tables!$A$1:$C$14,3,FALSE)*pledged</f>
        <v>150</v>
      </c>
    </row>
    <row r="1719" spans="1:21" ht="43.2" x14ac:dyDescent="0.55000000000000004">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16">
        <f t="shared" si="157"/>
        <v>34.024390243902438</v>
      </c>
      <c r="Q1719" t="str">
        <f t="shared" si="160"/>
        <v>music</v>
      </c>
      <c r="R1719" t="str">
        <f t="shared" si="161"/>
        <v>faith</v>
      </c>
      <c r="S1719" s="4">
        <f t="shared" si="158"/>
        <v>42460.98192129629</v>
      </c>
      <c r="T1719" s="4">
        <f t="shared" si="159"/>
        <v>42481.166666666672</v>
      </c>
      <c r="U1719" s="5">
        <f>VLOOKUP(currency,Tables!$A$1:$C$14,3,FALSE)*pledged</f>
        <v>1395</v>
      </c>
    </row>
    <row r="1720" spans="1:21" x14ac:dyDescent="0.55000000000000004">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16">
        <f t="shared" si="157"/>
        <v>37.5</v>
      </c>
      <c r="Q1720" t="str">
        <f t="shared" si="160"/>
        <v>music</v>
      </c>
      <c r="R1720" t="str">
        <f t="shared" si="161"/>
        <v>faith</v>
      </c>
      <c r="S1720" s="4">
        <f t="shared" si="158"/>
        <v>42460.610520833332</v>
      </c>
      <c r="T1720" s="4">
        <f t="shared" si="159"/>
        <v>42504.207638888889</v>
      </c>
      <c r="U1720" s="5">
        <f>VLOOKUP(currency,Tables!$A$1:$C$14,3,FALSE)*pledged</f>
        <v>75</v>
      </c>
    </row>
    <row r="1721" spans="1:21" ht="43.2" x14ac:dyDescent="0.55000000000000004">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16">
        <f t="shared" si="157"/>
        <v>11.666666666666666</v>
      </c>
      <c r="Q1721" t="str">
        <f t="shared" si="160"/>
        <v>music</v>
      </c>
      <c r="R1721" t="str">
        <f t="shared" si="161"/>
        <v>faith</v>
      </c>
      <c r="S1721" s="4">
        <f t="shared" si="158"/>
        <v>41869.534618055557</v>
      </c>
      <c r="T1721" s="4">
        <f t="shared" si="159"/>
        <v>41899.534618055557</v>
      </c>
      <c r="U1721" s="5">
        <f>VLOOKUP(currency,Tables!$A$1:$C$14,3,FALSE)*pledged</f>
        <v>35</v>
      </c>
    </row>
    <row r="1722" spans="1:21" ht="43.2" x14ac:dyDescent="0.55000000000000004">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16">
        <f t="shared" si="157"/>
        <v>28.125</v>
      </c>
      <c r="Q1722" t="str">
        <f t="shared" si="160"/>
        <v>music</v>
      </c>
      <c r="R1722" t="str">
        <f t="shared" si="161"/>
        <v>faith</v>
      </c>
      <c r="S1722" s="4">
        <f t="shared" si="158"/>
        <v>41922.783229166671</v>
      </c>
      <c r="T1722" s="4">
        <f t="shared" si="159"/>
        <v>41952.824895833335</v>
      </c>
      <c r="U1722" s="5">
        <f>VLOOKUP(currency,Tables!$A$1:$C$14,3,FALSE)*pledged</f>
        <v>225</v>
      </c>
    </row>
    <row r="1723" spans="1:21" ht="43.2" x14ac:dyDescent="0.55000000000000004">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56"/>
        <v>0</v>
      </c>
      <c r="P1723" s="16">
        <f t="shared" si="157"/>
        <v>0</v>
      </c>
      <c r="Q1723" t="str">
        <f t="shared" si="160"/>
        <v>music</v>
      </c>
      <c r="R1723" t="str">
        <f t="shared" si="161"/>
        <v>faith</v>
      </c>
      <c r="S1723" s="4">
        <f t="shared" si="158"/>
        <v>42319.461377314816</v>
      </c>
      <c r="T1723" s="4">
        <f t="shared" si="159"/>
        <v>42349.461377314816</v>
      </c>
      <c r="U1723" s="5">
        <f>VLOOKUP(currency,Tables!$A$1:$C$14,3,FALSE)*pledged</f>
        <v>0</v>
      </c>
    </row>
    <row r="1724" spans="1:21" ht="43.2" x14ac:dyDescent="0.55000000000000004">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16">
        <f t="shared" si="157"/>
        <v>1</v>
      </c>
      <c r="Q1724" t="str">
        <f t="shared" si="160"/>
        <v>music</v>
      </c>
      <c r="R1724" t="str">
        <f t="shared" si="161"/>
        <v>faith</v>
      </c>
      <c r="S1724" s="4">
        <f t="shared" si="158"/>
        <v>42425.960983796293</v>
      </c>
      <c r="T1724" s="4">
        <f t="shared" si="159"/>
        <v>42463.006944444445</v>
      </c>
      <c r="U1724" s="5">
        <f>VLOOKUP(currency,Tables!$A$1:$C$14,3,FALSE)*pledged</f>
        <v>1</v>
      </c>
    </row>
    <row r="1725" spans="1:21" ht="43.2" x14ac:dyDescent="0.55000000000000004">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16">
        <f t="shared" si="157"/>
        <v>216.66666666666666</v>
      </c>
      <c r="Q1725" t="str">
        <f t="shared" si="160"/>
        <v>music</v>
      </c>
      <c r="R1725" t="str">
        <f t="shared" si="161"/>
        <v>faith</v>
      </c>
      <c r="S1725" s="4">
        <f t="shared" si="158"/>
        <v>42129.82540509259</v>
      </c>
      <c r="T1725" s="4">
        <f t="shared" si="159"/>
        <v>42186.25</v>
      </c>
      <c r="U1725" s="5">
        <f>VLOOKUP(currency,Tables!$A$1:$C$14,3,FALSE)*pledged</f>
        <v>650</v>
      </c>
    </row>
    <row r="1726" spans="1:21" ht="43.2" x14ac:dyDescent="0.55000000000000004">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16">
        <f t="shared" si="157"/>
        <v>8.75</v>
      </c>
      <c r="Q1726" t="str">
        <f t="shared" si="160"/>
        <v>music</v>
      </c>
      <c r="R1726" t="str">
        <f t="shared" si="161"/>
        <v>faith</v>
      </c>
      <c r="S1726" s="4">
        <f t="shared" si="158"/>
        <v>41912.932430555556</v>
      </c>
      <c r="T1726" s="4">
        <f t="shared" si="159"/>
        <v>41942.932430555556</v>
      </c>
      <c r="U1726" s="5">
        <f>VLOOKUP(currency,Tables!$A$1:$C$14,3,FALSE)*pledged</f>
        <v>35</v>
      </c>
    </row>
    <row r="1727" spans="1:21" ht="43.2" x14ac:dyDescent="0.55000000000000004">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16">
        <f t="shared" si="157"/>
        <v>62.222222222222221</v>
      </c>
      <c r="Q1727" t="str">
        <f t="shared" si="160"/>
        <v>music</v>
      </c>
      <c r="R1727" t="str">
        <f t="shared" si="161"/>
        <v>faith</v>
      </c>
      <c r="S1727" s="4">
        <f t="shared" si="158"/>
        <v>41845.968159722222</v>
      </c>
      <c r="T1727" s="4">
        <f t="shared" si="159"/>
        <v>41875.968159722222</v>
      </c>
      <c r="U1727" s="5">
        <f>VLOOKUP(currency,Tables!$A$1:$C$14,3,FALSE)*pledged</f>
        <v>560</v>
      </c>
    </row>
    <row r="1728" spans="1:21" ht="28.8" x14ac:dyDescent="0.55000000000000004">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16">
        <f t="shared" si="157"/>
        <v>137.25</v>
      </c>
      <c r="Q1728" t="str">
        <f t="shared" si="160"/>
        <v>music</v>
      </c>
      <c r="R1728" t="str">
        <f t="shared" si="161"/>
        <v>faith</v>
      </c>
      <c r="S1728" s="4">
        <f t="shared" si="158"/>
        <v>41788.919722222221</v>
      </c>
      <c r="T1728" s="4">
        <f t="shared" si="159"/>
        <v>41817.919722222221</v>
      </c>
      <c r="U1728" s="5">
        <f>VLOOKUP(currency,Tables!$A$1:$C$14,3,FALSE)*pledged</f>
        <v>2196</v>
      </c>
    </row>
    <row r="1729" spans="1:21" ht="43.2" x14ac:dyDescent="0.55000000000000004">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16">
        <f t="shared" si="157"/>
        <v>1</v>
      </c>
      <c r="Q1729" t="str">
        <f t="shared" si="160"/>
        <v>music</v>
      </c>
      <c r="R1729" t="str">
        <f t="shared" si="161"/>
        <v>faith</v>
      </c>
      <c r="S1729" s="4">
        <f t="shared" si="158"/>
        <v>42044.927974537044</v>
      </c>
      <c r="T1729" s="4">
        <f t="shared" si="159"/>
        <v>42099.458333333328</v>
      </c>
      <c r="U1729" s="5">
        <f>VLOOKUP(currency,Tables!$A$1:$C$14,3,FALSE)*pledged</f>
        <v>1.32</v>
      </c>
    </row>
    <row r="1730" spans="1:21" ht="43.2" x14ac:dyDescent="0.55000000000000004">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ref="O1730:O1793" si="162">pledged/goal</f>
        <v>0.68400000000000005</v>
      </c>
      <c r="P1730" s="16">
        <f t="shared" ref="P1730:P1793" si="163">IF(pledged=0,0,pledged/backers_count)</f>
        <v>122.14285714285714</v>
      </c>
      <c r="Q1730" t="str">
        <f t="shared" si="160"/>
        <v>music</v>
      </c>
      <c r="R1730" t="str">
        <f t="shared" si="161"/>
        <v>faith</v>
      </c>
      <c r="S1730" s="4">
        <f t="shared" ref="S1730:S1793" si="164">(((Unix_launched_date/60)/60)/24)+DATE(1970,1,1)</f>
        <v>42268.625856481478</v>
      </c>
      <c r="T1730" s="4">
        <f t="shared" ref="T1730:T1793" si="165">(((Unix_deadline/60)/60)/24)+DATE(1970,1,1)</f>
        <v>42298.625856481478</v>
      </c>
      <c r="U1730" s="5">
        <f>VLOOKUP(currency,Tables!$A$1:$C$14,3,FALSE)*pledged</f>
        <v>855</v>
      </c>
    </row>
    <row r="1731" spans="1:21" ht="43.2" x14ac:dyDescent="0.55000000000000004">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si="162"/>
        <v>0</v>
      </c>
      <c r="P1731" s="16">
        <f t="shared" si="163"/>
        <v>0</v>
      </c>
      <c r="Q1731" t="str">
        <f t="shared" ref="Q1731:Q1794" si="166">LEFT(N1731,FIND("/",N1731,1)-1)</f>
        <v>music</v>
      </c>
      <c r="R1731" t="str">
        <f t="shared" ref="R1731:R1794" si="167">RIGHT(N1731,(LEN(N1731)-FIND("/",N1731,1)))</f>
        <v>faith</v>
      </c>
      <c r="S1731" s="4">
        <f t="shared" si="164"/>
        <v>42471.052152777775</v>
      </c>
      <c r="T1731" s="4">
        <f t="shared" si="165"/>
        <v>42531.052152777775</v>
      </c>
      <c r="U1731" s="5">
        <f>VLOOKUP(currency,Tables!$A$1:$C$14,3,FALSE)*pledged</f>
        <v>0</v>
      </c>
    </row>
    <row r="1732" spans="1:21" ht="43.2" x14ac:dyDescent="0.55000000000000004">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62"/>
        <v>0</v>
      </c>
      <c r="P1732" s="16">
        <f t="shared" si="163"/>
        <v>0</v>
      </c>
      <c r="Q1732" t="str">
        <f t="shared" si="166"/>
        <v>music</v>
      </c>
      <c r="R1732" t="str">
        <f t="shared" si="167"/>
        <v>faith</v>
      </c>
      <c r="S1732" s="4">
        <f t="shared" si="164"/>
        <v>42272.087766203709</v>
      </c>
      <c r="T1732" s="4">
        <f t="shared" si="165"/>
        <v>42302.087766203709</v>
      </c>
      <c r="U1732" s="5">
        <f>VLOOKUP(currency,Tables!$A$1:$C$14,3,FALSE)*pledged</f>
        <v>0</v>
      </c>
    </row>
    <row r="1733" spans="1:21" ht="28.8" x14ac:dyDescent="0.55000000000000004">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62"/>
        <v>0</v>
      </c>
      <c r="P1733" s="16">
        <f t="shared" si="163"/>
        <v>0</v>
      </c>
      <c r="Q1733" t="str">
        <f t="shared" si="166"/>
        <v>music</v>
      </c>
      <c r="R1733" t="str">
        <f t="shared" si="167"/>
        <v>faith</v>
      </c>
      <c r="S1733" s="4">
        <f t="shared" si="164"/>
        <v>42152.906851851847</v>
      </c>
      <c r="T1733" s="4">
        <f t="shared" si="165"/>
        <v>42166.625</v>
      </c>
      <c r="U1733" s="5">
        <f>VLOOKUP(currency,Tables!$A$1:$C$14,3,FALSE)*pledged</f>
        <v>0</v>
      </c>
    </row>
    <row r="1734" spans="1:21" ht="43.2" x14ac:dyDescent="0.55000000000000004">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62"/>
        <v>0</v>
      </c>
      <c r="P1734" s="16">
        <f t="shared" si="163"/>
        <v>0</v>
      </c>
      <c r="Q1734" t="str">
        <f t="shared" si="166"/>
        <v>music</v>
      </c>
      <c r="R1734" t="str">
        <f t="shared" si="167"/>
        <v>faith</v>
      </c>
      <c r="S1734" s="4">
        <f t="shared" si="164"/>
        <v>42325.683807870373</v>
      </c>
      <c r="T1734" s="4">
        <f t="shared" si="165"/>
        <v>42385.208333333328</v>
      </c>
      <c r="U1734" s="5">
        <f>VLOOKUP(currency,Tables!$A$1:$C$14,3,FALSE)*pledged</f>
        <v>0</v>
      </c>
    </row>
    <row r="1735" spans="1:21" ht="43.2" x14ac:dyDescent="0.55000000000000004">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62"/>
        <v>0</v>
      </c>
      <c r="P1735" s="16">
        <f t="shared" si="163"/>
        <v>0</v>
      </c>
      <c r="Q1735" t="str">
        <f t="shared" si="166"/>
        <v>music</v>
      </c>
      <c r="R1735" t="str">
        <f t="shared" si="167"/>
        <v>faith</v>
      </c>
      <c r="S1735" s="4">
        <f t="shared" si="164"/>
        <v>42614.675625000003</v>
      </c>
      <c r="T1735" s="4">
        <f t="shared" si="165"/>
        <v>42626.895833333328</v>
      </c>
      <c r="U1735" s="5">
        <f>VLOOKUP(currency,Tables!$A$1:$C$14,3,FALSE)*pledged</f>
        <v>0</v>
      </c>
    </row>
    <row r="1736" spans="1:21" ht="43.2" x14ac:dyDescent="0.55000000000000004">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16">
        <f t="shared" si="163"/>
        <v>1</v>
      </c>
      <c r="Q1736" t="str">
        <f t="shared" si="166"/>
        <v>music</v>
      </c>
      <c r="R1736" t="str">
        <f t="shared" si="167"/>
        <v>faith</v>
      </c>
      <c r="S1736" s="4">
        <f t="shared" si="164"/>
        <v>42102.036527777775</v>
      </c>
      <c r="T1736" s="4">
        <f t="shared" si="165"/>
        <v>42132.036527777775</v>
      </c>
      <c r="U1736" s="5">
        <f>VLOOKUP(currency,Tables!$A$1:$C$14,3,FALSE)*pledged</f>
        <v>1</v>
      </c>
    </row>
    <row r="1737" spans="1:21" ht="43.2" x14ac:dyDescent="0.55000000000000004">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62"/>
        <v>0.11</v>
      </c>
      <c r="P1737" s="16">
        <f t="shared" si="163"/>
        <v>55</v>
      </c>
      <c r="Q1737" t="str">
        <f t="shared" si="166"/>
        <v>music</v>
      </c>
      <c r="R1737" t="str">
        <f t="shared" si="167"/>
        <v>faith</v>
      </c>
      <c r="S1737" s="4">
        <f t="shared" si="164"/>
        <v>42559.814178240747</v>
      </c>
      <c r="T1737" s="4">
        <f t="shared" si="165"/>
        <v>42589.814178240747</v>
      </c>
      <c r="U1737" s="5">
        <f>VLOOKUP(currency,Tables!$A$1:$C$14,3,FALSE)*pledged</f>
        <v>110</v>
      </c>
    </row>
    <row r="1738" spans="1:21" ht="28.8" x14ac:dyDescent="0.55000000000000004">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16">
        <f t="shared" si="163"/>
        <v>22</v>
      </c>
      <c r="Q1738" t="str">
        <f t="shared" si="166"/>
        <v>music</v>
      </c>
      <c r="R1738" t="str">
        <f t="shared" si="167"/>
        <v>faith</v>
      </c>
      <c r="S1738" s="4">
        <f t="shared" si="164"/>
        <v>42286.861493055556</v>
      </c>
      <c r="T1738" s="4">
        <f t="shared" si="165"/>
        <v>42316.90315972222</v>
      </c>
      <c r="U1738" s="5">
        <f>VLOOKUP(currency,Tables!$A$1:$C$14,3,FALSE)*pledged</f>
        <v>22</v>
      </c>
    </row>
    <row r="1739" spans="1:21" ht="43.2" x14ac:dyDescent="0.55000000000000004">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16">
        <f t="shared" si="163"/>
        <v>56.666666666666664</v>
      </c>
      <c r="Q1739" t="str">
        <f t="shared" si="166"/>
        <v>music</v>
      </c>
      <c r="R1739" t="str">
        <f t="shared" si="167"/>
        <v>faith</v>
      </c>
      <c r="S1739" s="4">
        <f t="shared" si="164"/>
        <v>42175.948981481488</v>
      </c>
      <c r="T1739" s="4">
        <f t="shared" si="165"/>
        <v>42205.948981481488</v>
      </c>
      <c r="U1739" s="5">
        <f>VLOOKUP(currency,Tables!$A$1:$C$14,3,FALSE)*pledged</f>
        <v>850</v>
      </c>
    </row>
    <row r="1740" spans="1:21" ht="28.8" x14ac:dyDescent="0.55000000000000004">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16">
        <f t="shared" si="163"/>
        <v>20</v>
      </c>
      <c r="Q1740" t="str">
        <f t="shared" si="166"/>
        <v>music</v>
      </c>
      <c r="R1740" t="str">
        <f t="shared" si="167"/>
        <v>faith</v>
      </c>
      <c r="S1740" s="4">
        <f t="shared" si="164"/>
        <v>41884.874328703707</v>
      </c>
      <c r="T1740" s="4">
        <f t="shared" si="165"/>
        <v>41914.874328703707</v>
      </c>
      <c r="U1740" s="5">
        <f>VLOOKUP(currency,Tables!$A$1:$C$14,3,FALSE)*pledged</f>
        <v>20</v>
      </c>
    </row>
    <row r="1741" spans="1:21" ht="43.2" x14ac:dyDescent="0.55000000000000004">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62"/>
        <v>1E-3</v>
      </c>
      <c r="P1741" s="16">
        <f t="shared" si="163"/>
        <v>1</v>
      </c>
      <c r="Q1741" t="str">
        <f t="shared" si="166"/>
        <v>music</v>
      </c>
      <c r="R1741" t="str">
        <f t="shared" si="167"/>
        <v>faith</v>
      </c>
      <c r="S1741" s="4">
        <f t="shared" si="164"/>
        <v>42435.874212962968</v>
      </c>
      <c r="T1741" s="4">
        <f t="shared" si="165"/>
        <v>42494.832546296297</v>
      </c>
      <c r="U1741" s="5">
        <f>VLOOKUP(currency,Tables!$A$1:$C$14,3,FALSE)*pledged</f>
        <v>1</v>
      </c>
    </row>
    <row r="1742" spans="1:21" ht="43.2" x14ac:dyDescent="0.55000000000000004">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62"/>
        <v>0</v>
      </c>
      <c r="P1742" s="16">
        <f t="shared" si="163"/>
        <v>0</v>
      </c>
      <c r="Q1742" t="str">
        <f t="shared" si="166"/>
        <v>music</v>
      </c>
      <c r="R1742" t="str">
        <f t="shared" si="167"/>
        <v>faith</v>
      </c>
      <c r="S1742" s="4">
        <f t="shared" si="164"/>
        <v>42171.817384259266</v>
      </c>
      <c r="T1742" s="4">
        <f t="shared" si="165"/>
        <v>42201.817384259266</v>
      </c>
      <c r="U1742" s="5">
        <f>VLOOKUP(currency,Tables!$A$1:$C$14,3,FALSE)*pledged</f>
        <v>0</v>
      </c>
    </row>
    <row r="1743" spans="1:21" ht="28.8" x14ac:dyDescent="0.55000000000000004">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16">
        <f t="shared" si="163"/>
        <v>25.576923076923077</v>
      </c>
      <c r="Q1743" t="str">
        <f t="shared" si="166"/>
        <v>photography</v>
      </c>
      <c r="R1743" t="str">
        <f t="shared" si="167"/>
        <v>photobooks</v>
      </c>
      <c r="S1743" s="4">
        <f t="shared" si="164"/>
        <v>42120.628136574072</v>
      </c>
      <c r="T1743" s="4">
        <f t="shared" si="165"/>
        <v>42165.628136574072</v>
      </c>
      <c r="U1743" s="5">
        <f>VLOOKUP(currency,Tables!$A$1:$C$14,3,FALSE)*pledged</f>
        <v>1755.6000000000001</v>
      </c>
    </row>
    <row r="1744" spans="1:21" ht="43.2" x14ac:dyDescent="0.55000000000000004">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16">
        <f t="shared" si="163"/>
        <v>63.970588235294116</v>
      </c>
      <c r="Q1744" t="str">
        <f t="shared" si="166"/>
        <v>photography</v>
      </c>
      <c r="R1744" t="str">
        <f t="shared" si="167"/>
        <v>photobooks</v>
      </c>
      <c r="S1744" s="4">
        <f t="shared" si="164"/>
        <v>42710.876967592587</v>
      </c>
      <c r="T1744" s="4">
        <f t="shared" si="165"/>
        <v>42742.875</v>
      </c>
      <c r="U1744" s="5">
        <f>VLOOKUP(currency,Tables!$A$1:$C$14,3,FALSE)*pledged</f>
        <v>2175</v>
      </c>
    </row>
    <row r="1745" spans="1:21" ht="43.2" x14ac:dyDescent="0.55000000000000004">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16">
        <f t="shared" si="163"/>
        <v>89.925373134328353</v>
      </c>
      <c r="Q1745" t="str">
        <f t="shared" si="166"/>
        <v>photography</v>
      </c>
      <c r="R1745" t="str">
        <f t="shared" si="167"/>
        <v>photobooks</v>
      </c>
      <c r="S1745" s="4">
        <f t="shared" si="164"/>
        <v>42586.925636574073</v>
      </c>
      <c r="T1745" s="4">
        <f t="shared" si="165"/>
        <v>42609.165972222225</v>
      </c>
      <c r="U1745" s="5">
        <f>VLOOKUP(currency,Tables!$A$1:$C$14,3,FALSE)*pledged</f>
        <v>6025</v>
      </c>
    </row>
    <row r="1746" spans="1:21" ht="43.2" x14ac:dyDescent="0.55000000000000004">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16">
        <f t="shared" si="163"/>
        <v>93.071428571428569</v>
      </c>
      <c r="Q1746" t="str">
        <f t="shared" si="166"/>
        <v>photography</v>
      </c>
      <c r="R1746" t="str">
        <f t="shared" si="167"/>
        <v>photobooks</v>
      </c>
      <c r="S1746" s="4">
        <f t="shared" si="164"/>
        <v>42026.605057870373</v>
      </c>
      <c r="T1746" s="4">
        <f t="shared" si="165"/>
        <v>42071.563391203701</v>
      </c>
      <c r="U1746" s="5">
        <f>VLOOKUP(currency,Tables!$A$1:$C$14,3,FALSE)*pledged</f>
        <v>8599.8000000000011</v>
      </c>
    </row>
    <row r="1747" spans="1:21" ht="43.2" x14ac:dyDescent="0.55000000000000004">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16">
        <f t="shared" si="163"/>
        <v>89.674157303370791</v>
      </c>
      <c r="Q1747" t="str">
        <f t="shared" si="166"/>
        <v>photography</v>
      </c>
      <c r="R1747" t="str">
        <f t="shared" si="167"/>
        <v>photobooks</v>
      </c>
      <c r="S1747" s="4">
        <f t="shared" si="164"/>
        <v>42690.259699074071</v>
      </c>
      <c r="T1747" s="4">
        <f t="shared" si="165"/>
        <v>42726.083333333328</v>
      </c>
      <c r="U1747" s="5">
        <f>VLOOKUP(currency,Tables!$A$1:$C$14,3,FALSE)*pledged</f>
        <v>7981</v>
      </c>
    </row>
    <row r="1748" spans="1:21" ht="43.2" x14ac:dyDescent="0.55000000000000004">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16">
        <f t="shared" si="163"/>
        <v>207.61682242990653</v>
      </c>
      <c r="Q1748" t="str">
        <f t="shared" si="166"/>
        <v>photography</v>
      </c>
      <c r="R1748" t="str">
        <f t="shared" si="167"/>
        <v>photobooks</v>
      </c>
      <c r="S1748" s="4">
        <f t="shared" si="164"/>
        <v>42668.176701388889</v>
      </c>
      <c r="T1748" s="4">
        <f t="shared" si="165"/>
        <v>42698.083333333328</v>
      </c>
      <c r="U1748" s="5">
        <f>VLOOKUP(currency,Tables!$A$1:$C$14,3,FALSE)*pledged</f>
        <v>22215</v>
      </c>
    </row>
    <row r="1749" spans="1:21" ht="43.2" x14ac:dyDescent="0.55000000000000004">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16">
        <f t="shared" si="163"/>
        <v>59.408805031446541</v>
      </c>
      <c r="Q1749" t="str">
        <f t="shared" si="166"/>
        <v>photography</v>
      </c>
      <c r="R1749" t="str">
        <f t="shared" si="167"/>
        <v>photobooks</v>
      </c>
      <c r="S1749" s="4">
        <f t="shared" si="164"/>
        <v>42292.435532407413</v>
      </c>
      <c r="T1749" s="4">
        <f t="shared" si="165"/>
        <v>42321.625</v>
      </c>
      <c r="U1749" s="5">
        <f>VLOOKUP(currency,Tables!$A$1:$C$14,3,FALSE)*pledged</f>
        <v>12468.720000000001</v>
      </c>
    </row>
    <row r="1750" spans="1:21" ht="28.8" x14ac:dyDescent="0.55000000000000004">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16">
        <f t="shared" si="163"/>
        <v>358.97237569060775</v>
      </c>
      <c r="Q1750" t="str">
        <f t="shared" si="166"/>
        <v>photography</v>
      </c>
      <c r="R1750" t="str">
        <f t="shared" si="167"/>
        <v>photobooks</v>
      </c>
      <c r="S1750" s="4">
        <f t="shared" si="164"/>
        <v>42219.950729166667</v>
      </c>
      <c r="T1750" s="4">
        <f t="shared" si="165"/>
        <v>42249.950729166667</v>
      </c>
      <c r="U1750" s="5">
        <f>VLOOKUP(currency,Tables!$A$1:$C$14,3,FALSE)*pledged</f>
        <v>49380.24</v>
      </c>
    </row>
    <row r="1751" spans="1:21" ht="28.8" x14ac:dyDescent="0.55000000000000004">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16">
        <f t="shared" si="163"/>
        <v>94.736641221374043</v>
      </c>
      <c r="Q1751" t="str">
        <f t="shared" si="166"/>
        <v>photography</v>
      </c>
      <c r="R1751" t="str">
        <f t="shared" si="167"/>
        <v>photobooks</v>
      </c>
      <c r="S1751" s="4">
        <f t="shared" si="164"/>
        <v>42758.975937499999</v>
      </c>
      <c r="T1751" s="4">
        <f t="shared" si="165"/>
        <v>42795.791666666672</v>
      </c>
      <c r="U1751" s="5">
        <f>VLOOKUP(currency,Tables!$A$1:$C$14,3,FALSE)*pledged</f>
        <v>14644.39</v>
      </c>
    </row>
    <row r="1752" spans="1:21" ht="43.2" x14ac:dyDescent="0.55000000000000004">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16">
        <f t="shared" si="163"/>
        <v>80.647999999999996</v>
      </c>
      <c r="Q1752" t="str">
        <f t="shared" si="166"/>
        <v>photography</v>
      </c>
      <c r="R1752" t="str">
        <f t="shared" si="167"/>
        <v>photobooks</v>
      </c>
      <c r="S1752" s="4">
        <f t="shared" si="164"/>
        <v>42454.836851851855</v>
      </c>
      <c r="T1752" s="4">
        <f t="shared" si="165"/>
        <v>42479.836851851855</v>
      </c>
      <c r="U1752" s="5">
        <f>VLOOKUP(currency,Tables!$A$1:$C$14,3,FALSE)*pledged</f>
        <v>10081</v>
      </c>
    </row>
    <row r="1753" spans="1:21" ht="28.8" x14ac:dyDescent="0.55000000000000004">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16">
        <f t="shared" si="163"/>
        <v>168.68852459016392</v>
      </c>
      <c r="Q1753" t="str">
        <f t="shared" si="166"/>
        <v>photography</v>
      </c>
      <c r="R1753" t="str">
        <f t="shared" si="167"/>
        <v>photobooks</v>
      </c>
      <c r="S1753" s="4">
        <f t="shared" si="164"/>
        <v>42052.7815162037</v>
      </c>
      <c r="T1753" s="4">
        <f t="shared" si="165"/>
        <v>42082.739849537036</v>
      </c>
      <c r="U1753" s="5">
        <f>VLOOKUP(currency,Tables!$A$1:$C$14,3,FALSE)*pledged</f>
        <v>10290</v>
      </c>
    </row>
    <row r="1754" spans="1:21" ht="28.8" x14ac:dyDescent="0.55000000000000004">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16">
        <f t="shared" si="163"/>
        <v>34.68888888888889</v>
      </c>
      <c r="Q1754" t="str">
        <f t="shared" si="166"/>
        <v>photography</v>
      </c>
      <c r="R1754" t="str">
        <f t="shared" si="167"/>
        <v>photobooks</v>
      </c>
      <c r="S1754" s="4">
        <f t="shared" si="164"/>
        <v>42627.253263888888</v>
      </c>
      <c r="T1754" s="4">
        <f t="shared" si="165"/>
        <v>42657.253263888888</v>
      </c>
      <c r="U1754" s="5">
        <f>VLOOKUP(currency,Tables!$A$1:$C$14,3,FALSE)*pledged</f>
        <v>4121.04</v>
      </c>
    </row>
    <row r="1755" spans="1:21" ht="43.2" x14ac:dyDescent="0.55000000000000004">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16">
        <f t="shared" si="163"/>
        <v>462.85714285714283</v>
      </c>
      <c r="Q1755" t="str">
        <f t="shared" si="166"/>
        <v>photography</v>
      </c>
      <c r="R1755" t="str">
        <f t="shared" si="167"/>
        <v>photobooks</v>
      </c>
      <c r="S1755" s="4">
        <f t="shared" si="164"/>
        <v>42420.74962962963</v>
      </c>
      <c r="T1755" s="4">
        <f t="shared" si="165"/>
        <v>42450.707962962959</v>
      </c>
      <c r="U1755" s="5">
        <f>VLOOKUP(currency,Tables!$A$1:$C$14,3,FALSE)*pledged</f>
        <v>2592</v>
      </c>
    </row>
    <row r="1756" spans="1:21" ht="43.2" x14ac:dyDescent="0.55000000000000004">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16">
        <f t="shared" si="163"/>
        <v>104.38888888888889</v>
      </c>
      <c r="Q1756" t="str">
        <f t="shared" si="166"/>
        <v>photography</v>
      </c>
      <c r="R1756" t="str">
        <f t="shared" si="167"/>
        <v>photobooks</v>
      </c>
      <c r="S1756" s="4">
        <f t="shared" si="164"/>
        <v>42067.876770833333</v>
      </c>
      <c r="T1756" s="4">
        <f t="shared" si="165"/>
        <v>42097.835104166668</v>
      </c>
      <c r="U1756" s="5">
        <f>VLOOKUP(currency,Tables!$A$1:$C$14,3,FALSE)*pledged</f>
        <v>7140.2</v>
      </c>
    </row>
    <row r="1757" spans="1:21" ht="43.2" x14ac:dyDescent="0.55000000000000004">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62"/>
        <v>1.2</v>
      </c>
      <c r="P1757" s="16">
        <f t="shared" si="163"/>
        <v>7.5</v>
      </c>
      <c r="Q1757" t="str">
        <f t="shared" si="166"/>
        <v>photography</v>
      </c>
      <c r="R1757" t="str">
        <f t="shared" si="167"/>
        <v>photobooks</v>
      </c>
      <c r="S1757" s="4">
        <f t="shared" si="164"/>
        <v>42252.788900462961</v>
      </c>
      <c r="T1757" s="4">
        <f t="shared" si="165"/>
        <v>42282.788900462961</v>
      </c>
      <c r="U1757" s="5">
        <f>VLOOKUP(currency,Tables!$A$1:$C$14,3,FALSE)*pledged</f>
        <v>30</v>
      </c>
    </row>
    <row r="1758" spans="1:21" ht="43.2" x14ac:dyDescent="0.55000000000000004">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16">
        <f t="shared" si="163"/>
        <v>47.13</v>
      </c>
      <c r="Q1758" t="str">
        <f t="shared" si="166"/>
        <v>photography</v>
      </c>
      <c r="R1758" t="str">
        <f t="shared" si="167"/>
        <v>photobooks</v>
      </c>
      <c r="S1758" s="4">
        <f t="shared" si="164"/>
        <v>42571.167465277773</v>
      </c>
      <c r="T1758" s="4">
        <f t="shared" si="165"/>
        <v>42611.167465277773</v>
      </c>
      <c r="U1758" s="5">
        <f>VLOOKUP(currency,Tables!$A$1:$C$14,3,FALSE)*pledged</f>
        <v>5655.6</v>
      </c>
    </row>
    <row r="1759" spans="1:21" ht="28.8" x14ac:dyDescent="0.55000000000000004">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16">
        <f t="shared" si="163"/>
        <v>414.28571428571428</v>
      </c>
      <c r="Q1759" t="str">
        <f t="shared" si="166"/>
        <v>photography</v>
      </c>
      <c r="R1759" t="str">
        <f t="shared" si="167"/>
        <v>photobooks</v>
      </c>
      <c r="S1759" s="4">
        <f t="shared" si="164"/>
        <v>42733.827349537038</v>
      </c>
      <c r="T1759" s="4">
        <f t="shared" si="165"/>
        <v>42763.811805555553</v>
      </c>
      <c r="U1759" s="5">
        <f>VLOOKUP(currency,Tables!$A$1:$C$14,3,FALSE)*pledged</f>
        <v>5800</v>
      </c>
    </row>
    <row r="1760" spans="1:21" ht="43.2" x14ac:dyDescent="0.55000000000000004">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16">
        <f t="shared" si="163"/>
        <v>42.481481481481481</v>
      </c>
      <c r="Q1760" t="str">
        <f t="shared" si="166"/>
        <v>photography</v>
      </c>
      <c r="R1760" t="str">
        <f t="shared" si="167"/>
        <v>photobooks</v>
      </c>
      <c r="S1760" s="4">
        <f t="shared" si="164"/>
        <v>42505.955925925926</v>
      </c>
      <c r="T1760" s="4">
        <f t="shared" si="165"/>
        <v>42565.955925925926</v>
      </c>
      <c r="U1760" s="5">
        <f>VLOOKUP(currency,Tables!$A$1:$C$14,3,FALSE)*pledged</f>
        <v>1147</v>
      </c>
    </row>
    <row r="1761" spans="1:21" ht="28.8" x14ac:dyDescent="0.55000000000000004">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16">
        <f t="shared" si="163"/>
        <v>108.77551020408163</v>
      </c>
      <c r="Q1761" t="str">
        <f t="shared" si="166"/>
        <v>photography</v>
      </c>
      <c r="R1761" t="str">
        <f t="shared" si="167"/>
        <v>photobooks</v>
      </c>
      <c r="S1761" s="4">
        <f t="shared" si="164"/>
        <v>42068.829039351855</v>
      </c>
      <c r="T1761" s="4">
        <f t="shared" si="165"/>
        <v>42088.787372685183</v>
      </c>
      <c r="U1761" s="5">
        <f>VLOOKUP(currency,Tables!$A$1:$C$14,3,FALSE)*pledged</f>
        <v>5330</v>
      </c>
    </row>
    <row r="1762" spans="1:21" ht="43.2" x14ac:dyDescent="0.55000000000000004">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16">
        <f t="shared" si="163"/>
        <v>81.098039215686271</v>
      </c>
      <c r="Q1762" t="str">
        <f t="shared" si="166"/>
        <v>photography</v>
      </c>
      <c r="R1762" t="str">
        <f t="shared" si="167"/>
        <v>photobooks</v>
      </c>
      <c r="S1762" s="4">
        <f t="shared" si="164"/>
        <v>42405.67260416667</v>
      </c>
      <c r="T1762" s="4">
        <f t="shared" si="165"/>
        <v>42425.67260416667</v>
      </c>
      <c r="U1762" s="5">
        <f>VLOOKUP(currency,Tables!$A$1:$C$14,3,FALSE)*pledged</f>
        <v>8272</v>
      </c>
    </row>
    <row r="1763" spans="1:21" ht="28.8" x14ac:dyDescent="0.55000000000000004">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62"/>
        <v>1.55</v>
      </c>
      <c r="P1763" s="16">
        <f t="shared" si="163"/>
        <v>51.666666666666664</v>
      </c>
      <c r="Q1763" t="str">
        <f t="shared" si="166"/>
        <v>photography</v>
      </c>
      <c r="R1763" t="str">
        <f t="shared" si="167"/>
        <v>photobooks</v>
      </c>
      <c r="S1763" s="4">
        <f t="shared" si="164"/>
        <v>42209.567824074074</v>
      </c>
      <c r="T1763" s="4">
        <f t="shared" si="165"/>
        <v>42259.567824074074</v>
      </c>
      <c r="U1763" s="5">
        <f>VLOOKUP(currency,Tables!$A$1:$C$14,3,FALSE)*pledged</f>
        <v>204.60000000000002</v>
      </c>
    </row>
    <row r="1764" spans="1:21" x14ac:dyDescent="0.55000000000000004">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62"/>
        <v>8.85</v>
      </c>
      <c r="P1764" s="16">
        <f t="shared" si="163"/>
        <v>35.4</v>
      </c>
      <c r="Q1764" t="str">
        <f t="shared" si="166"/>
        <v>photography</v>
      </c>
      <c r="R1764" t="str">
        <f t="shared" si="167"/>
        <v>photobooks</v>
      </c>
      <c r="S1764" s="4">
        <f t="shared" si="164"/>
        <v>42410.982002314813</v>
      </c>
      <c r="T1764" s="4">
        <f t="shared" si="165"/>
        <v>42440.982002314813</v>
      </c>
      <c r="U1764" s="5">
        <f>VLOOKUP(currency,Tables!$A$1:$C$14,3,FALSE)*pledged</f>
        <v>885</v>
      </c>
    </row>
    <row r="1765" spans="1:21" ht="43.2" x14ac:dyDescent="0.55000000000000004">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16">
        <f t="shared" si="163"/>
        <v>103.63559322033899</v>
      </c>
      <c r="Q1765" t="str">
        <f t="shared" si="166"/>
        <v>photography</v>
      </c>
      <c r="R1765" t="str">
        <f t="shared" si="167"/>
        <v>photobooks</v>
      </c>
      <c r="S1765" s="4">
        <f t="shared" si="164"/>
        <v>42636.868518518517</v>
      </c>
      <c r="T1765" s="4">
        <f t="shared" si="165"/>
        <v>42666.868518518517</v>
      </c>
      <c r="U1765" s="5">
        <f>VLOOKUP(currency,Tables!$A$1:$C$14,3,FALSE)*pledged</f>
        <v>12229</v>
      </c>
    </row>
    <row r="1766" spans="1:21" ht="43.2" x14ac:dyDescent="0.55000000000000004">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16">
        <f t="shared" si="163"/>
        <v>55.282051282051285</v>
      </c>
      <c r="Q1766" t="str">
        <f t="shared" si="166"/>
        <v>photography</v>
      </c>
      <c r="R1766" t="str">
        <f t="shared" si="167"/>
        <v>photobooks</v>
      </c>
      <c r="S1766" s="4">
        <f t="shared" si="164"/>
        <v>41825.485868055555</v>
      </c>
      <c r="T1766" s="4">
        <f t="shared" si="165"/>
        <v>41854.485868055555</v>
      </c>
      <c r="U1766" s="5">
        <f>VLOOKUP(currency,Tables!$A$1:$C$14,3,FALSE)*pledged</f>
        <v>2845.92</v>
      </c>
    </row>
    <row r="1767" spans="1:21" ht="43.2" x14ac:dyDescent="0.55000000000000004">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16">
        <f t="shared" si="163"/>
        <v>72.16970873786407</v>
      </c>
      <c r="Q1767" t="str">
        <f t="shared" si="166"/>
        <v>photography</v>
      </c>
      <c r="R1767" t="str">
        <f t="shared" si="167"/>
        <v>photobooks</v>
      </c>
      <c r="S1767" s="4">
        <f t="shared" si="164"/>
        <v>41834.980462962965</v>
      </c>
      <c r="T1767" s="4">
        <f t="shared" si="165"/>
        <v>41864.980462962965</v>
      </c>
      <c r="U1767" s="5">
        <f>VLOOKUP(currency,Tables!$A$1:$C$14,3,FALSE)*pledged</f>
        <v>7433.48</v>
      </c>
    </row>
    <row r="1768" spans="1:21" ht="28.8" x14ac:dyDescent="0.55000000000000004">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62"/>
        <v>0</v>
      </c>
      <c r="P1768" s="16">
        <f t="shared" si="163"/>
        <v>0</v>
      </c>
      <c r="Q1768" t="str">
        <f t="shared" si="166"/>
        <v>photography</v>
      </c>
      <c r="R1768" t="str">
        <f t="shared" si="167"/>
        <v>photobooks</v>
      </c>
      <c r="S1768" s="4">
        <f t="shared" si="164"/>
        <v>41855.859814814816</v>
      </c>
      <c r="T1768" s="4">
        <f t="shared" si="165"/>
        <v>41876.859814814816</v>
      </c>
      <c r="U1768" s="5">
        <f>VLOOKUP(currency,Tables!$A$1:$C$14,3,FALSE)*pledged</f>
        <v>0</v>
      </c>
    </row>
    <row r="1769" spans="1:21" ht="28.8" x14ac:dyDescent="0.55000000000000004">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16">
        <f t="shared" si="163"/>
        <v>58.615384615384613</v>
      </c>
      <c r="Q1769" t="str">
        <f t="shared" si="166"/>
        <v>photography</v>
      </c>
      <c r="R1769" t="str">
        <f t="shared" si="167"/>
        <v>photobooks</v>
      </c>
      <c r="S1769" s="4">
        <f t="shared" si="164"/>
        <v>41824.658379629633</v>
      </c>
      <c r="T1769" s="4">
        <f t="shared" si="165"/>
        <v>41854.658379629633</v>
      </c>
      <c r="U1769" s="5">
        <f>VLOOKUP(currency,Tables!$A$1:$C$14,3,FALSE)*pledged</f>
        <v>2286</v>
      </c>
    </row>
    <row r="1770" spans="1:21" ht="43.2" x14ac:dyDescent="0.55000000000000004">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16">
        <f t="shared" si="163"/>
        <v>12.466666666666667</v>
      </c>
      <c r="Q1770" t="str">
        <f t="shared" si="166"/>
        <v>photography</v>
      </c>
      <c r="R1770" t="str">
        <f t="shared" si="167"/>
        <v>photobooks</v>
      </c>
      <c r="S1770" s="4">
        <f t="shared" si="164"/>
        <v>41849.560694444444</v>
      </c>
      <c r="T1770" s="4">
        <f t="shared" si="165"/>
        <v>41909.560694444444</v>
      </c>
      <c r="U1770" s="5">
        <f>VLOOKUP(currency,Tables!$A$1:$C$14,3,FALSE)*pledged</f>
        <v>187</v>
      </c>
    </row>
    <row r="1771" spans="1:21" ht="43.2" x14ac:dyDescent="0.55000000000000004">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16">
        <f t="shared" si="163"/>
        <v>49.136363636363633</v>
      </c>
      <c r="Q1771" t="str">
        <f t="shared" si="166"/>
        <v>photography</v>
      </c>
      <c r="R1771" t="str">
        <f t="shared" si="167"/>
        <v>photobooks</v>
      </c>
      <c r="S1771" s="4">
        <f t="shared" si="164"/>
        <v>41987.818969907406</v>
      </c>
      <c r="T1771" s="4">
        <f t="shared" si="165"/>
        <v>42017.818969907406</v>
      </c>
      <c r="U1771" s="5">
        <f>VLOOKUP(currency,Tables!$A$1:$C$14,3,FALSE)*pledged</f>
        <v>1081</v>
      </c>
    </row>
    <row r="1772" spans="1:21" ht="43.2" x14ac:dyDescent="0.55000000000000004">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16">
        <f t="shared" si="163"/>
        <v>150.5</v>
      </c>
      <c r="Q1772" t="str">
        <f t="shared" si="166"/>
        <v>photography</v>
      </c>
      <c r="R1772" t="str">
        <f t="shared" si="167"/>
        <v>photobooks</v>
      </c>
      <c r="S1772" s="4">
        <f t="shared" si="164"/>
        <v>41891.780023148152</v>
      </c>
      <c r="T1772" s="4">
        <f t="shared" si="165"/>
        <v>41926.780023148152</v>
      </c>
      <c r="U1772" s="5">
        <f>VLOOKUP(currency,Tables!$A$1:$C$14,3,FALSE)*pledged</f>
        <v>13846</v>
      </c>
    </row>
    <row r="1773" spans="1:21" ht="43.2" x14ac:dyDescent="0.55000000000000004">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16">
        <f t="shared" si="163"/>
        <v>35.799999999999997</v>
      </c>
      <c r="Q1773" t="str">
        <f t="shared" si="166"/>
        <v>photography</v>
      </c>
      <c r="R1773" t="str">
        <f t="shared" si="167"/>
        <v>photobooks</v>
      </c>
      <c r="S1773" s="4">
        <f t="shared" si="164"/>
        <v>41905.979629629634</v>
      </c>
      <c r="T1773" s="4">
        <f t="shared" si="165"/>
        <v>41935.979629629634</v>
      </c>
      <c r="U1773" s="5">
        <f>VLOOKUP(currency,Tables!$A$1:$C$14,3,FALSE)*pledged</f>
        <v>1181.4000000000001</v>
      </c>
    </row>
    <row r="1774" spans="1:21" ht="28.8" x14ac:dyDescent="0.55000000000000004">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62"/>
        <v>0.156</v>
      </c>
      <c r="P1774" s="16">
        <f t="shared" si="163"/>
        <v>45.157894736842103</v>
      </c>
      <c r="Q1774" t="str">
        <f t="shared" si="166"/>
        <v>photography</v>
      </c>
      <c r="R1774" t="str">
        <f t="shared" si="167"/>
        <v>photobooks</v>
      </c>
      <c r="S1774" s="4">
        <f t="shared" si="164"/>
        <v>41766.718009259261</v>
      </c>
      <c r="T1774" s="4">
        <f t="shared" si="165"/>
        <v>41826.718009259261</v>
      </c>
      <c r="U1774" s="5">
        <f>VLOOKUP(currency,Tables!$A$1:$C$14,3,FALSE)*pledged</f>
        <v>1132.56</v>
      </c>
    </row>
    <row r="1775" spans="1:21" ht="43.2" x14ac:dyDescent="0.55000000000000004">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16">
        <f t="shared" si="163"/>
        <v>98.78947368421052</v>
      </c>
      <c r="Q1775" t="str">
        <f t="shared" si="166"/>
        <v>photography</v>
      </c>
      <c r="R1775" t="str">
        <f t="shared" si="167"/>
        <v>photobooks</v>
      </c>
      <c r="S1775" s="4">
        <f t="shared" si="164"/>
        <v>41978.760393518518</v>
      </c>
      <c r="T1775" s="4">
        <f t="shared" si="165"/>
        <v>42023.760393518518</v>
      </c>
      <c r="U1775" s="5">
        <f>VLOOKUP(currency,Tables!$A$1:$C$14,3,FALSE)*pledged</f>
        <v>1877</v>
      </c>
    </row>
    <row r="1776" spans="1:21" ht="43.2" x14ac:dyDescent="0.55000000000000004">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16">
        <f t="shared" si="163"/>
        <v>88.307692307692307</v>
      </c>
      <c r="Q1776" t="str">
        <f t="shared" si="166"/>
        <v>photography</v>
      </c>
      <c r="R1776" t="str">
        <f t="shared" si="167"/>
        <v>photobooks</v>
      </c>
      <c r="S1776" s="4">
        <f t="shared" si="164"/>
        <v>41930.218657407408</v>
      </c>
      <c r="T1776" s="4">
        <f t="shared" si="165"/>
        <v>41972.624305555553</v>
      </c>
      <c r="U1776" s="5">
        <f>VLOOKUP(currency,Tables!$A$1:$C$14,3,FALSE)*pledged</f>
        <v>1148</v>
      </c>
    </row>
    <row r="1777" spans="1:21" ht="43.2" x14ac:dyDescent="0.55000000000000004">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16">
        <f t="shared" si="163"/>
        <v>170.62903225806451</v>
      </c>
      <c r="Q1777" t="str">
        <f t="shared" si="166"/>
        <v>photography</v>
      </c>
      <c r="R1777" t="str">
        <f t="shared" si="167"/>
        <v>photobooks</v>
      </c>
      <c r="S1777" s="4">
        <f t="shared" si="164"/>
        <v>41891.976388888892</v>
      </c>
      <c r="T1777" s="4">
        <f t="shared" si="165"/>
        <v>41936.976388888892</v>
      </c>
      <c r="U1777" s="5">
        <f>VLOOKUP(currency,Tables!$A$1:$C$14,3,FALSE)*pledged</f>
        <v>21158</v>
      </c>
    </row>
    <row r="1778" spans="1:21" ht="43.2" x14ac:dyDescent="0.55000000000000004">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16">
        <f t="shared" si="163"/>
        <v>83.75</v>
      </c>
      <c r="Q1778" t="str">
        <f t="shared" si="166"/>
        <v>photography</v>
      </c>
      <c r="R1778" t="str">
        <f t="shared" si="167"/>
        <v>photobooks</v>
      </c>
      <c r="S1778" s="4">
        <f t="shared" si="164"/>
        <v>41905.95684027778</v>
      </c>
      <c r="T1778" s="4">
        <f t="shared" si="165"/>
        <v>41941.95684027778</v>
      </c>
      <c r="U1778" s="5">
        <f>VLOOKUP(currency,Tables!$A$1:$C$14,3,FALSE)*pledged</f>
        <v>442.20000000000005</v>
      </c>
    </row>
    <row r="1779" spans="1:21" ht="43.2" x14ac:dyDescent="0.55000000000000004">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16">
        <f t="shared" si="163"/>
        <v>65.099999999999994</v>
      </c>
      <c r="Q1779" t="str">
        <f t="shared" si="166"/>
        <v>photography</v>
      </c>
      <c r="R1779" t="str">
        <f t="shared" si="167"/>
        <v>photobooks</v>
      </c>
      <c r="S1779" s="4">
        <f t="shared" si="164"/>
        <v>42025.357094907406</v>
      </c>
      <c r="T1779" s="4">
        <f t="shared" si="165"/>
        <v>42055.357094907406</v>
      </c>
      <c r="U1779" s="5">
        <f>VLOOKUP(currency,Tables!$A$1:$C$14,3,FALSE)*pledged</f>
        <v>768.18</v>
      </c>
    </row>
    <row r="1780" spans="1:21" ht="43.2" x14ac:dyDescent="0.55000000000000004">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16">
        <f t="shared" si="163"/>
        <v>66.333333333333329</v>
      </c>
      <c r="Q1780" t="str">
        <f t="shared" si="166"/>
        <v>photography</v>
      </c>
      <c r="R1780" t="str">
        <f t="shared" si="167"/>
        <v>photobooks</v>
      </c>
      <c r="S1780" s="4">
        <f t="shared" si="164"/>
        <v>42045.86336805555</v>
      </c>
      <c r="T1780" s="4">
        <f t="shared" si="165"/>
        <v>42090.821701388893</v>
      </c>
      <c r="U1780" s="5">
        <f>VLOOKUP(currency,Tables!$A$1:$C$14,3,FALSE)*pledged</f>
        <v>995</v>
      </c>
    </row>
    <row r="1781" spans="1:21" ht="43.2" x14ac:dyDescent="0.55000000000000004">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16">
        <f t="shared" si="163"/>
        <v>104.89473684210526</v>
      </c>
      <c r="Q1781" t="str">
        <f t="shared" si="166"/>
        <v>photography</v>
      </c>
      <c r="R1781" t="str">
        <f t="shared" si="167"/>
        <v>photobooks</v>
      </c>
      <c r="S1781" s="4">
        <f t="shared" si="164"/>
        <v>42585.691898148143</v>
      </c>
      <c r="T1781" s="4">
        <f t="shared" si="165"/>
        <v>42615.691898148143</v>
      </c>
      <c r="U1781" s="5">
        <f>VLOOKUP(currency,Tables!$A$1:$C$14,3,FALSE)*pledged</f>
        <v>3986</v>
      </c>
    </row>
    <row r="1782" spans="1:21" ht="43.2" x14ac:dyDescent="0.55000000000000004">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16">
        <f t="shared" si="163"/>
        <v>78.440789473684205</v>
      </c>
      <c r="Q1782" t="str">
        <f t="shared" si="166"/>
        <v>photography</v>
      </c>
      <c r="R1782" t="str">
        <f t="shared" si="167"/>
        <v>photobooks</v>
      </c>
      <c r="S1782" s="4">
        <f t="shared" si="164"/>
        <v>42493.600810185191</v>
      </c>
      <c r="T1782" s="4">
        <f t="shared" si="165"/>
        <v>42553.600810185191</v>
      </c>
      <c r="U1782" s="5">
        <f>VLOOKUP(currency,Tables!$A$1:$C$14,3,FALSE)*pledged</f>
        <v>11923</v>
      </c>
    </row>
    <row r="1783" spans="1:21" ht="43.2" x14ac:dyDescent="0.55000000000000004">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16">
        <f t="shared" si="163"/>
        <v>59.041666666666664</v>
      </c>
      <c r="Q1783" t="str">
        <f t="shared" si="166"/>
        <v>photography</v>
      </c>
      <c r="R1783" t="str">
        <f t="shared" si="167"/>
        <v>photobooks</v>
      </c>
      <c r="S1783" s="4">
        <f t="shared" si="164"/>
        <v>42597.617418981477</v>
      </c>
      <c r="T1783" s="4">
        <f t="shared" si="165"/>
        <v>42628.617418981477</v>
      </c>
      <c r="U1783" s="5">
        <f>VLOOKUP(currency,Tables!$A$1:$C$14,3,FALSE)*pledged</f>
        <v>1417</v>
      </c>
    </row>
    <row r="1784" spans="1:21" ht="43.2" x14ac:dyDescent="0.55000000000000004">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16">
        <f t="shared" si="163"/>
        <v>71.34210526315789</v>
      </c>
      <c r="Q1784" t="str">
        <f t="shared" si="166"/>
        <v>photography</v>
      </c>
      <c r="R1784" t="str">
        <f t="shared" si="167"/>
        <v>photobooks</v>
      </c>
      <c r="S1784" s="4">
        <f t="shared" si="164"/>
        <v>42388.575104166666</v>
      </c>
      <c r="T1784" s="4">
        <f t="shared" si="165"/>
        <v>42421.575104166666</v>
      </c>
      <c r="U1784" s="5">
        <f>VLOOKUP(currency,Tables!$A$1:$C$14,3,FALSE)*pledged</f>
        <v>5422</v>
      </c>
    </row>
    <row r="1785" spans="1:21" ht="43.2" x14ac:dyDescent="0.55000000000000004">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16">
        <f t="shared" si="163"/>
        <v>51.227027027027027</v>
      </c>
      <c r="Q1785" t="str">
        <f t="shared" si="166"/>
        <v>photography</v>
      </c>
      <c r="R1785" t="str">
        <f t="shared" si="167"/>
        <v>photobooks</v>
      </c>
      <c r="S1785" s="4">
        <f t="shared" si="164"/>
        <v>42115.949976851851</v>
      </c>
      <c r="T1785" s="4">
        <f t="shared" si="165"/>
        <v>42145.949976851851</v>
      </c>
      <c r="U1785" s="5">
        <f>VLOOKUP(currency,Tables!$A$1:$C$14,3,FALSE)*pledged</f>
        <v>9477</v>
      </c>
    </row>
    <row r="1786" spans="1:21" ht="43.2" x14ac:dyDescent="0.55000000000000004">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16">
        <f t="shared" si="163"/>
        <v>60.242424242424242</v>
      </c>
      <c r="Q1786" t="str">
        <f t="shared" si="166"/>
        <v>photography</v>
      </c>
      <c r="R1786" t="str">
        <f t="shared" si="167"/>
        <v>photobooks</v>
      </c>
      <c r="S1786" s="4">
        <f t="shared" si="164"/>
        <v>42003.655555555553</v>
      </c>
      <c r="T1786" s="4">
        <f t="shared" si="165"/>
        <v>42035.142361111109</v>
      </c>
      <c r="U1786" s="5">
        <f>VLOOKUP(currency,Tables!$A$1:$C$14,3,FALSE)*pledged</f>
        <v>1988</v>
      </c>
    </row>
    <row r="1787" spans="1:21" ht="43.2" x14ac:dyDescent="0.55000000000000004">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16">
        <f t="shared" si="163"/>
        <v>44.935185185185183</v>
      </c>
      <c r="Q1787" t="str">
        <f t="shared" si="166"/>
        <v>photography</v>
      </c>
      <c r="R1787" t="str">
        <f t="shared" si="167"/>
        <v>photobooks</v>
      </c>
      <c r="S1787" s="4">
        <f t="shared" si="164"/>
        <v>41897.134895833333</v>
      </c>
      <c r="T1787" s="4">
        <f t="shared" si="165"/>
        <v>41928</v>
      </c>
      <c r="U1787" s="5">
        <f>VLOOKUP(currency,Tables!$A$1:$C$14,3,FALSE)*pledged</f>
        <v>4853</v>
      </c>
    </row>
    <row r="1788" spans="1:21" ht="43.2" x14ac:dyDescent="0.55000000000000004">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16">
        <f t="shared" si="163"/>
        <v>31.206896551724139</v>
      </c>
      <c r="Q1788" t="str">
        <f t="shared" si="166"/>
        <v>photography</v>
      </c>
      <c r="R1788" t="str">
        <f t="shared" si="167"/>
        <v>photobooks</v>
      </c>
      <c r="S1788" s="4">
        <f t="shared" si="164"/>
        <v>41958.550659722227</v>
      </c>
      <c r="T1788" s="4">
        <f t="shared" si="165"/>
        <v>41988.550659722227</v>
      </c>
      <c r="U1788" s="5">
        <f>VLOOKUP(currency,Tables!$A$1:$C$14,3,FALSE)*pledged</f>
        <v>1067.8999999999999</v>
      </c>
    </row>
    <row r="1789" spans="1:21" ht="43.2" x14ac:dyDescent="0.55000000000000004">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16">
        <f t="shared" si="163"/>
        <v>63.875</v>
      </c>
      <c r="Q1789" t="str">
        <f t="shared" si="166"/>
        <v>photography</v>
      </c>
      <c r="R1789" t="str">
        <f t="shared" si="167"/>
        <v>photobooks</v>
      </c>
      <c r="S1789" s="4">
        <f t="shared" si="164"/>
        <v>42068.65552083333</v>
      </c>
      <c r="T1789" s="4">
        <f t="shared" si="165"/>
        <v>42098.613854166666</v>
      </c>
      <c r="U1789" s="5">
        <f>VLOOKUP(currency,Tables!$A$1:$C$14,3,FALSE)*pledged</f>
        <v>1533</v>
      </c>
    </row>
    <row r="1790" spans="1:21" ht="43.2" x14ac:dyDescent="0.55000000000000004">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16">
        <f t="shared" si="163"/>
        <v>19</v>
      </c>
      <c r="Q1790" t="str">
        <f t="shared" si="166"/>
        <v>photography</v>
      </c>
      <c r="R1790" t="str">
        <f t="shared" si="167"/>
        <v>photobooks</v>
      </c>
      <c r="S1790" s="4">
        <f t="shared" si="164"/>
        <v>41913.94840277778</v>
      </c>
      <c r="T1790" s="4">
        <f t="shared" si="165"/>
        <v>41943.94840277778</v>
      </c>
      <c r="U1790" s="5">
        <f>VLOOKUP(currency,Tables!$A$1:$C$14,3,FALSE)*pledged</f>
        <v>100.32000000000001</v>
      </c>
    </row>
    <row r="1791" spans="1:21" ht="43.2" x14ac:dyDescent="0.55000000000000004">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16">
        <f t="shared" si="163"/>
        <v>10</v>
      </c>
      <c r="Q1791" t="str">
        <f t="shared" si="166"/>
        <v>photography</v>
      </c>
      <c r="R1791" t="str">
        <f t="shared" si="167"/>
        <v>photobooks</v>
      </c>
      <c r="S1791" s="4">
        <f t="shared" si="164"/>
        <v>41956.250034722223</v>
      </c>
      <c r="T1791" s="4">
        <f t="shared" si="165"/>
        <v>42016.250034722223</v>
      </c>
      <c r="U1791" s="5">
        <f>VLOOKUP(currency,Tables!$A$1:$C$14,3,FALSE)*pledged</f>
        <v>40</v>
      </c>
    </row>
    <row r="1792" spans="1:21" ht="43.2" x14ac:dyDescent="0.55000000000000004">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16">
        <f t="shared" si="163"/>
        <v>109.06666666666666</v>
      </c>
      <c r="Q1792" t="str">
        <f t="shared" si="166"/>
        <v>photography</v>
      </c>
      <c r="R1792" t="str">
        <f t="shared" si="167"/>
        <v>photobooks</v>
      </c>
      <c r="S1792" s="4">
        <f t="shared" si="164"/>
        <v>42010.674513888895</v>
      </c>
      <c r="T1792" s="4">
        <f t="shared" si="165"/>
        <v>42040.674513888895</v>
      </c>
      <c r="U1792" s="5">
        <f>VLOOKUP(currency,Tables!$A$1:$C$14,3,FALSE)*pledged</f>
        <v>1636</v>
      </c>
    </row>
    <row r="1793" spans="1:21" ht="28.8" x14ac:dyDescent="0.55000000000000004">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16">
        <f t="shared" si="163"/>
        <v>26.75</v>
      </c>
      <c r="Q1793" t="str">
        <f t="shared" si="166"/>
        <v>photography</v>
      </c>
      <c r="R1793" t="str">
        <f t="shared" si="167"/>
        <v>photobooks</v>
      </c>
      <c r="S1793" s="4">
        <f t="shared" si="164"/>
        <v>41973.740335648152</v>
      </c>
      <c r="T1793" s="4">
        <f t="shared" si="165"/>
        <v>42033.740335648152</v>
      </c>
      <c r="U1793" s="5">
        <f>VLOOKUP(currency,Tables!$A$1:$C$14,3,FALSE)*pledged</f>
        <v>141.24</v>
      </c>
    </row>
    <row r="1794" spans="1:21" ht="28.8" x14ac:dyDescent="0.55000000000000004">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ref="O1794:O1857" si="168">pledged/goal</f>
        <v>0.61124000000000001</v>
      </c>
      <c r="P1794" s="16">
        <f t="shared" ref="P1794:P1857" si="169">IF(pledged=0,0,pledged/backers_count)</f>
        <v>109.93525179856115</v>
      </c>
      <c r="Q1794" t="str">
        <f t="shared" si="166"/>
        <v>photography</v>
      </c>
      <c r="R1794" t="str">
        <f t="shared" si="167"/>
        <v>photobooks</v>
      </c>
      <c r="S1794" s="4">
        <f t="shared" ref="S1794:S1857" si="170">(((Unix_launched_date/60)/60)/24)+DATE(1970,1,1)</f>
        <v>42189.031041666662</v>
      </c>
      <c r="T1794" s="4">
        <f t="shared" ref="T1794:T1857" si="171">(((Unix_deadline/60)/60)/24)+DATE(1970,1,1)</f>
        <v>42226.290972222225</v>
      </c>
      <c r="U1794" s="5">
        <f>VLOOKUP(currency,Tables!$A$1:$C$14,3,FALSE)*pledged</f>
        <v>15281</v>
      </c>
    </row>
    <row r="1795" spans="1:21" ht="43.2" x14ac:dyDescent="0.55000000000000004">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si="168"/>
        <v>1.3333333333333334E-2</v>
      </c>
      <c r="P1795" s="16">
        <f t="shared" si="169"/>
        <v>20</v>
      </c>
      <c r="Q1795" t="str">
        <f t="shared" ref="Q1795:Q1858" si="172">LEFT(N1795,FIND("/",N1795,1)-1)</f>
        <v>photography</v>
      </c>
      <c r="R1795" t="str">
        <f t="shared" ref="R1795:R1858" si="173">RIGHT(N1795,(LEN(N1795)-FIND("/",N1795,1)))</f>
        <v>photobooks</v>
      </c>
      <c r="S1795" s="4">
        <f t="shared" si="170"/>
        <v>41940.89166666667</v>
      </c>
      <c r="T1795" s="4">
        <f t="shared" si="171"/>
        <v>41970.933333333334</v>
      </c>
      <c r="U1795" s="5">
        <f>VLOOKUP(currency,Tables!$A$1:$C$14,3,FALSE)*pledged</f>
        <v>29.2</v>
      </c>
    </row>
    <row r="1796" spans="1:21" ht="43.2" x14ac:dyDescent="0.55000000000000004">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16">
        <f t="shared" si="169"/>
        <v>55.388888888888886</v>
      </c>
      <c r="Q1796" t="str">
        <f t="shared" si="172"/>
        <v>photography</v>
      </c>
      <c r="R1796" t="str">
        <f t="shared" si="173"/>
        <v>photobooks</v>
      </c>
      <c r="S1796" s="4">
        <f t="shared" si="170"/>
        <v>42011.551180555558</v>
      </c>
      <c r="T1796" s="4">
        <f t="shared" si="171"/>
        <v>42046.551180555558</v>
      </c>
      <c r="U1796" s="5">
        <f>VLOOKUP(currency,Tables!$A$1:$C$14,3,FALSE)*pledged</f>
        <v>997</v>
      </c>
    </row>
    <row r="1797" spans="1:21" ht="43.2" x14ac:dyDescent="0.55000000000000004">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16">
        <f t="shared" si="169"/>
        <v>133.90123456790124</v>
      </c>
      <c r="Q1797" t="str">
        <f t="shared" si="172"/>
        <v>photography</v>
      </c>
      <c r="R1797" t="str">
        <f t="shared" si="173"/>
        <v>photobooks</v>
      </c>
      <c r="S1797" s="4">
        <f t="shared" si="170"/>
        <v>42628.288668981477</v>
      </c>
      <c r="T1797" s="4">
        <f t="shared" si="171"/>
        <v>42657.666666666672</v>
      </c>
      <c r="U1797" s="5">
        <f>VLOOKUP(currency,Tables!$A$1:$C$14,3,FALSE)*pledged</f>
        <v>12798.279999999999</v>
      </c>
    </row>
    <row r="1798" spans="1:21" ht="43.2" x14ac:dyDescent="0.55000000000000004">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16">
        <f t="shared" si="169"/>
        <v>48.720930232558139</v>
      </c>
      <c r="Q1798" t="str">
        <f t="shared" si="172"/>
        <v>photography</v>
      </c>
      <c r="R1798" t="str">
        <f t="shared" si="173"/>
        <v>photobooks</v>
      </c>
      <c r="S1798" s="4">
        <f t="shared" si="170"/>
        <v>42515.439421296294</v>
      </c>
      <c r="T1798" s="4">
        <f t="shared" si="171"/>
        <v>42575.439421296294</v>
      </c>
      <c r="U1798" s="5">
        <f>VLOOKUP(currency,Tables!$A$1:$C$14,3,FALSE)*pledged</f>
        <v>5530.8</v>
      </c>
    </row>
    <row r="1799" spans="1:21" ht="43.2" x14ac:dyDescent="0.55000000000000004">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16">
        <f t="shared" si="169"/>
        <v>48.25</v>
      </c>
      <c r="Q1799" t="str">
        <f t="shared" si="172"/>
        <v>photography</v>
      </c>
      <c r="R1799" t="str">
        <f t="shared" si="173"/>
        <v>photobooks</v>
      </c>
      <c r="S1799" s="4">
        <f t="shared" si="170"/>
        <v>42689.56931712963</v>
      </c>
      <c r="T1799" s="4">
        <f t="shared" si="171"/>
        <v>42719.56931712963</v>
      </c>
      <c r="U1799" s="5">
        <f>VLOOKUP(currency,Tables!$A$1:$C$14,3,FALSE)*pledged</f>
        <v>6755</v>
      </c>
    </row>
    <row r="1800" spans="1:21" ht="43.2" x14ac:dyDescent="0.55000000000000004">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16">
        <f t="shared" si="169"/>
        <v>58.972972972972975</v>
      </c>
      <c r="Q1800" t="str">
        <f t="shared" si="172"/>
        <v>photography</v>
      </c>
      <c r="R1800" t="str">
        <f t="shared" si="173"/>
        <v>photobooks</v>
      </c>
      <c r="S1800" s="4">
        <f t="shared" si="170"/>
        <v>42344.32677083333</v>
      </c>
      <c r="T1800" s="4">
        <f t="shared" si="171"/>
        <v>42404.32677083333</v>
      </c>
      <c r="U1800" s="5">
        <f>VLOOKUP(currency,Tables!$A$1:$C$14,3,FALSE)*pledged</f>
        <v>2182</v>
      </c>
    </row>
    <row r="1801" spans="1:21" ht="28.8" x14ac:dyDescent="0.55000000000000004">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16">
        <f t="shared" si="169"/>
        <v>11.638333333333334</v>
      </c>
      <c r="Q1801" t="str">
        <f t="shared" si="172"/>
        <v>photography</v>
      </c>
      <c r="R1801" t="str">
        <f t="shared" si="173"/>
        <v>photobooks</v>
      </c>
      <c r="S1801" s="4">
        <f t="shared" si="170"/>
        <v>41934.842685185184</v>
      </c>
      <c r="T1801" s="4">
        <f t="shared" si="171"/>
        <v>41954.884351851855</v>
      </c>
      <c r="U1801" s="5">
        <f>VLOOKUP(currency,Tables!$A$1:$C$14,3,FALSE)*pledged</f>
        <v>92.175600000000003</v>
      </c>
    </row>
    <row r="1802" spans="1:21" ht="43.2" x14ac:dyDescent="0.55000000000000004">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16">
        <f t="shared" si="169"/>
        <v>83.716814159292042</v>
      </c>
      <c r="Q1802" t="str">
        <f t="shared" si="172"/>
        <v>photography</v>
      </c>
      <c r="R1802" t="str">
        <f t="shared" si="173"/>
        <v>photobooks</v>
      </c>
      <c r="S1802" s="4">
        <f t="shared" si="170"/>
        <v>42623.606134259258</v>
      </c>
      <c r="T1802" s="4">
        <f t="shared" si="171"/>
        <v>42653.606134259258</v>
      </c>
      <c r="U1802" s="5">
        <f>VLOOKUP(currency,Tables!$A$1:$C$14,3,FALSE)*pledged</f>
        <v>12487.2</v>
      </c>
    </row>
    <row r="1803" spans="1:21" ht="43.2" x14ac:dyDescent="0.55000000000000004">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16">
        <f t="shared" si="169"/>
        <v>63.648648648648646</v>
      </c>
      <c r="Q1803" t="str">
        <f t="shared" si="172"/>
        <v>photography</v>
      </c>
      <c r="R1803" t="str">
        <f t="shared" si="173"/>
        <v>photobooks</v>
      </c>
      <c r="S1803" s="4">
        <f t="shared" si="170"/>
        <v>42321.660509259258</v>
      </c>
      <c r="T1803" s="4">
        <f t="shared" si="171"/>
        <v>42353.506944444445</v>
      </c>
      <c r="U1803" s="5">
        <f>VLOOKUP(currency,Tables!$A$1:$C$14,3,FALSE)*pledged</f>
        <v>3108.6000000000004</v>
      </c>
    </row>
    <row r="1804" spans="1:21" ht="28.8" x14ac:dyDescent="0.55000000000000004">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16">
        <f t="shared" si="169"/>
        <v>94.277777777777771</v>
      </c>
      <c r="Q1804" t="str">
        <f t="shared" si="172"/>
        <v>photography</v>
      </c>
      <c r="R1804" t="str">
        <f t="shared" si="173"/>
        <v>photobooks</v>
      </c>
      <c r="S1804" s="4">
        <f t="shared" si="170"/>
        <v>42159.47256944445</v>
      </c>
      <c r="T1804" s="4">
        <f t="shared" si="171"/>
        <v>42182.915972222225</v>
      </c>
      <c r="U1804" s="5">
        <f>VLOOKUP(currency,Tables!$A$1:$C$14,3,FALSE)*pledged</f>
        <v>2002.4599999999998</v>
      </c>
    </row>
    <row r="1805" spans="1:21" ht="43.2" x14ac:dyDescent="0.55000000000000004">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16">
        <f t="shared" si="169"/>
        <v>71.86666666666666</v>
      </c>
      <c r="Q1805" t="str">
        <f t="shared" si="172"/>
        <v>photography</v>
      </c>
      <c r="R1805" t="str">
        <f t="shared" si="173"/>
        <v>photobooks</v>
      </c>
      <c r="S1805" s="4">
        <f t="shared" si="170"/>
        <v>42018.071550925932</v>
      </c>
      <c r="T1805" s="4">
        <f t="shared" si="171"/>
        <v>42049.071550925932</v>
      </c>
      <c r="U1805" s="5">
        <f>VLOOKUP(currency,Tables!$A$1:$C$14,3,FALSE)*pledged</f>
        <v>5390</v>
      </c>
    </row>
    <row r="1806" spans="1:21" ht="43.2" x14ac:dyDescent="0.55000000000000004">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16">
        <f t="shared" si="169"/>
        <v>104.84615384615384</v>
      </c>
      <c r="Q1806" t="str">
        <f t="shared" si="172"/>
        <v>photography</v>
      </c>
      <c r="R1806" t="str">
        <f t="shared" si="173"/>
        <v>photobooks</v>
      </c>
      <c r="S1806" s="4">
        <f t="shared" si="170"/>
        <v>42282.678287037037</v>
      </c>
      <c r="T1806" s="4">
        <f t="shared" si="171"/>
        <v>42322.719953703709</v>
      </c>
      <c r="U1806" s="5">
        <f>VLOOKUP(currency,Tables!$A$1:$C$14,3,FALSE)*pledged</f>
        <v>5452</v>
      </c>
    </row>
    <row r="1807" spans="1:21" ht="43.2" x14ac:dyDescent="0.55000000000000004">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16">
        <f t="shared" si="169"/>
        <v>67.139344262295083</v>
      </c>
      <c r="Q1807" t="str">
        <f t="shared" si="172"/>
        <v>photography</v>
      </c>
      <c r="R1807" t="str">
        <f t="shared" si="173"/>
        <v>photobooks</v>
      </c>
      <c r="S1807" s="4">
        <f t="shared" si="170"/>
        <v>42247.803912037038</v>
      </c>
      <c r="T1807" s="4">
        <f t="shared" si="171"/>
        <v>42279.75</v>
      </c>
      <c r="U1807" s="5">
        <f>VLOOKUP(currency,Tables!$A$1:$C$14,3,FALSE)*pledged</f>
        <v>9665.3799999999992</v>
      </c>
    </row>
    <row r="1808" spans="1:21" ht="43.2" x14ac:dyDescent="0.55000000000000004">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16">
        <f t="shared" si="169"/>
        <v>73.875</v>
      </c>
      <c r="Q1808" t="str">
        <f t="shared" si="172"/>
        <v>photography</v>
      </c>
      <c r="R1808" t="str">
        <f t="shared" si="173"/>
        <v>photobooks</v>
      </c>
      <c r="S1808" s="4">
        <f t="shared" si="170"/>
        <v>41877.638298611113</v>
      </c>
      <c r="T1808" s="4">
        <f t="shared" si="171"/>
        <v>41912.638298611113</v>
      </c>
      <c r="U1808" s="5">
        <f>VLOOKUP(currency,Tables!$A$1:$C$14,3,FALSE)*pledged</f>
        <v>780.12</v>
      </c>
    </row>
    <row r="1809" spans="1:21" ht="28.8" x14ac:dyDescent="0.55000000000000004">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68"/>
        <v>0.1106</v>
      </c>
      <c r="P1809" s="16">
        <f t="shared" si="169"/>
        <v>69.125</v>
      </c>
      <c r="Q1809" t="str">
        <f t="shared" si="172"/>
        <v>photography</v>
      </c>
      <c r="R1809" t="str">
        <f t="shared" si="173"/>
        <v>photobooks</v>
      </c>
      <c r="S1809" s="4">
        <f t="shared" si="170"/>
        <v>41880.068437499998</v>
      </c>
      <c r="T1809" s="4">
        <f t="shared" si="171"/>
        <v>41910.068437499998</v>
      </c>
      <c r="U1809" s="5">
        <f>VLOOKUP(currency,Tables!$A$1:$C$14,3,FALSE)*pledged</f>
        <v>553</v>
      </c>
    </row>
    <row r="1810" spans="1:21" ht="43.2" x14ac:dyDescent="0.55000000000000004">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16">
        <f t="shared" si="169"/>
        <v>120.77083333333333</v>
      </c>
      <c r="Q1810" t="str">
        <f t="shared" si="172"/>
        <v>photography</v>
      </c>
      <c r="R1810" t="str">
        <f t="shared" si="173"/>
        <v>photobooks</v>
      </c>
      <c r="S1810" s="4">
        <f t="shared" si="170"/>
        <v>42742.680902777778</v>
      </c>
      <c r="T1810" s="4">
        <f t="shared" si="171"/>
        <v>42777.680902777778</v>
      </c>
      <c r="U1810" s="5">
        <f>VLOOKUP(currency,Tables!$A$1:$C$14,3,FALSE)*pledged</f>
        <v>11594</v>
      </c>
    </row>
    <row r="1811" spans="1:21" ht="43.2" x14ac:dyDescent="0.55000000000000004">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16">
        <f t="shared" si="169"/>
        <v>42.222222222222221</v>
      </c>
      <c r="Q1811" t="str">
        <f t="shared" si="172"/>
        <v>photography</v>
      </c>
      <c r="R1811" t="str">
        <f t="shared" si="173"/>
        <v>photobooks</v>
      </c>
      <c r="S1811" s="4">
        <f t="shared" si="170"/>
        <v>42029.907858796301</v>
      </c>
      <c r="T1811" s="4">
        <f t="shared" si="171"/>
        <v>42064.907858796301</v>
      </c>
      <c r="U1811" s="5">
        <f>VLOOKUP(currency,Tables!$A$1:$C$14,3,FALSE)*pledged</f>
        <v>288.8</v>
      </c>
    </row>
    <row r="1812" spans="1:21" ht="43.2" x14ac:dyDescent="0.55000000000000004">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16">
        <f t="shared" si="169"/>
        <v>7.5</v>
      </c>
      <c r="Q1812" t="str">
        <f t="shared" si="172"/>
        <v>photography</v>
      </c>
      <c r="R1812" t="str">
        <f t="shared" si="173"/>
        <v>photobooks</v>
      </c>
      <c r="S1812" s="4">
        <f t="shared" si="170"/>
        <v>41860.91002314815</v>
      </c>
      <c r="T1812" s="4">
        <f t="shared" si="171"/>
        <v>41872.91002314815</v>
      </c>
      <c r="U1812" s="5">
        <f>VLOOKUP(currency,Tables!$A$1:$C$14,3,FALSE)*pledged</f>
        <v>15</v>
      </c>
    </row>
    <row r="1813" spans="1:21" ht="43.2" x14ac:dyDescent="0.55000000000000004">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16">
        <f t="shared" si="169"/>
        <v>1.5384615384615385</v>
      </c>
      <c r="Q1813" t="str">
        <f t="shared" si="172"/>
        <v>photography</v>
      </c>
      <c r="R1813" t="str">
        <f t="shared" si="173"/>
        <v>photobooks</v>
      </c>
      <c r="S1813" s="4">
        <f t="shared" si="170"/>
        <v>41876.433680555558</v>
      </c>
      <c r="T1813" s="4">
        <f t="shared" si="171"/>
        <v>41936.166666666664</v>
      </c>
      <c r="U1813" s="5">
        <f>VLOOKUP(currency,Tables!$A$1:$C$14,3,FALSE)*pledged</f>
        <v>40</v>
      </c>
    </row>
    <row r="1814" spans="1:21" ht="43.2" x14ac:dyDescent="0.55000000000000004">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16">
        <f t="shared" si="169"/>
        <v>37.608695652173914</v>
      </c>
      <c r="Q1814" t="str">
        <f t="shared" si="172"/>
        <v>photography</v>
      </c>
      <c r="R1814" t="str">
        <f t="shared" si="173"/>
        <v>photobooks</v>
      </c>
      <c r="S1814" s="4">
        <f t="shared" si="170"/>
        <v>42524.318703703699</v>
      </c>
      <c r="T1814" s="4">
        <f t="shared" si="171"/>
        <v>42554.318703703699</v>
      </c>
      <c r="U1814" s="5">
        <f>VLOOKUP(currency,Tables!$A$1:$C$14,3,FALSE)*pledged</f>
        <v>1141.8</v>
      </c>
    </row>
    <row r="1815" spans="1:21" ht="43.2" x14ac:dyDescent="0.55000000000000004">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68"/>
        <v>0</v>
      </c>
      <c r="P1815" s="16">
        <f t="shared" si="169"/>
        <v>0</v>
      </c>
      <c r="Q1815" t="str">
        <f t="shared" si="172"/>
        <v>photography</v>
      </c>
      <c r="R1815" t="str">
        <f t="shared" si="173"/>
        <v>photobooks</v>
      </c>
      <c r="S1815" s="4">
        <f t="shared" si="170"/>
        <v>41829.889027777775</v>
      </c>
      <c r="T1815" s="4">
        <f t="shared" si="171"/>
        <v>41859.889027777775</v>
      </c>
      <c r="U1815" s="5">
        <f>VLOOKUP(currency,Tables!$A$1:$C$14,3,FALSE)*pledged</f>
        <v>0</v>
      </c>
    </row>
    <row r="1816" spans="1:21" ht="43.2" x14ac:dyDescent="0.55000000000000004">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16">
        <f t="shared" si="169"/>
        <v>42.157142857142858</v>
      </c>
      <c r="Q1816" t="str">
        <f t="shared" si="172"/>
        <v>photography</v>
      </c>
      <c r="R1816" t="str">
        <f t="shared" si="173"/>
        <v>photobooks</v>
      </c>
      <c r="S1816" s="4">
        <f t="shared" si="170"/>
        <v>42033.314074074078</v>
      </c>
      <c r="T1816" s="4">
        <f t="shared" si="171"/>
        <v>42063.314074074078</v>
      </c>
      <c r="U1816" s="5">
        <f>VLOOKUP(currency,Tables!$A$1:$C$14,3,FALSE)*pledged</f>
        <v>7790.64</v>
      </c>
    </row>
    <row r="1817" spans="1:21" ht="43.2" x14ac:dyDescent="0.55000000000000004">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68"/>
        <v>0</v>
      </c>
      <c r="P1817" s="16">
        <f t="shared" si="169"/>
        <v>0</v>
      </c>
      <c r="Q1817" t="str">
        <f t="shared" si="172"/>
        <v>photography</v>
      </c>
      <c r="R1817" t="str">
        <f t="shared" si="173"/>
        <v>photobooks</v>
      </c>
      <c r="S1817" s="4">
        <f t="shared" si="170"/>
        <v>42172.906678240746</v>
      </c>
      <c r="T1817" s="4">
        <f t="shared" si="171"/>
        <v>42186.906678240746</v>
      </c>
      <c r="U1817" s="5">
        <f>VLOOKUP(currency,Tables!$A$1:$C$14,3,FALSE)*pledged</f>
        <v>0</v>
      </c>
    </row>
    <row r="1818" spans="1:21" ht="43.2" x14ac:dyDescent="0.55000000000000004">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16">
        <f t="shared" si="169"/>
        <v>84.833333333333329</v>
      </c>
      <c r="Q1818" t="str">
        <f t="shared" si="172"/>
        <v>photography</v>
      </c>
      <c r="R1818" t="str">
        <f t="shared" si="173"/>
        <v>photobooks</v>
      </c>
      <c r="S1818" s="4">
        <f t="shared" si="170"/>
        <v>42548.876192129625</v>
      </c>
      <c r="T1818" s="4">
        <f t="shared" si="171"/>
        <v>42576.791666666672</v>
      </c>
      <c r="U1818" s="5">
        <f>VLOOKUP(currency,Tables!$A$1:$C$14,3,FALSE)*pledged</f>
        <v>468.28000000000003</v>
      </c>
    </row>
    <row r="1819" spans="1:21" ht="28.8" x14ac:dyDescent="0.55000000000000004">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16">
        <f t="shared" si="169"/>
        <v>94.19</v>
      </c>
      <c r="Q1819" t="str">
        <f t="shared" si="172"/>
        <v>photography</v>
      </c>
      <c r="R1819" t="str">
        <f t="shared" si="173"/>
        <v>photobooks</v>
      </c>
      <c r="S1819" s="4">
        <f t="shared" si="170"/>
        <v>42705.662118055552</v>
      </c>
      <c r="T1819" s="4">
        <f t="shared" si="171"/>
        <v>42765.290972222225</v>
      </c>
      <c r="U1819" s="5">
        <f>VLOOKUP(currency,Tables!$A$1:$C$14,3,FALSE)*pledged</f>
        <v>9419</v>
      </c>
    </row>
    <row r="1820" spans="1:21" ht="28.8" x14ac:dyDescent="0.55000000000000004">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68"/>
        <v>0</v>
      </c>
      <c r="P1820" s="16">
        <f t="shared" si="169"/>
        <v>0</v>
      </c>
      <c r="Q1820" t="str">
        <f t="shared" si="172"/>
        <v>photography</v>
      </c>
      <c r="R1820" t="str">
        <f t="shared" si="173"/>
        <v>photobooks</v>
      </c>
      <c r="S1820" s="4">
        <f t="shared" si="170"/>
        <v>42067.234375</v>
      </c>
      <c r="T1820" s="4">
        <f t="shared" si="171"/>
        <v>42097.192708333328</v>
      </c>
      <c r="U1820" s="5">
        <f>VLOOKUP(currency,Tables!$A$1:$C$14,3,FALSE)*pledged</f>
        <v>0</v>
      </c>
    </row>
    <row r="1821" spans="1:21" ht="43.2" x14ac:dyDescent="0.55000000000000004">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16">
        <f t="shared" si="169"/>
        <v>6.25</v>
      </c>
      <c r="Q1821" t="str">
        <f t="shared" si="172"/>
        <v>photography</v>
      </c>
      <c r="R1821" t="str">
        <f t="shared" si="173"/>
        <v>photobooks</v>
      </c>
      <c r="S1821" s="4">
        <f t="shared" si="170"/>
        <v>41820.752268518518</v>
      </c>
      <c r="T1821" s="4">
        <f t="shared" si="171"/>
        <v>41850.752268518518</v>
      </c>
      <c r="U1821" s="5">
        <f>VLOOKUP(currency,Tables!$A$1:$C$14,3,FALSE)*pledged</f>
        <v>25</v>
      </c>
    </row>
    <row r="1822" spans="1:21" ht="43.2" x14ac:dyDescent="0.55000000000000004">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16">
        <f t="shared" si="169"/>
        <v>213.375</v>
      </c>
      <c r="Q1822" t="str">
        <f t="shared" si="172"/>
        <v>photography</v>
      </c>
      <c r="R1822" t="str">
        <f t="shared" si="173"/>
        <v>photobooks</v>
      </c>
      <c r="S1822" s="4">
        <f t="shared" si="170"/>
        <v>42065.084375000006</v>
      </c>
      <c r="T1822" s="4">
        <f t="shared" si="171"/>
        <v>42095.042708333334</v>
      </c>
      <c r="U1822" s="5">
        <f>VLOOKUP(currency,Tables!$A$1:$C$14,3,FALSE)*pledged</f>
        <v>1707</v>
      </c>
    </row>
    <row r="1823" spans="1:21" ht="43.2" x14ac:dyDescent="0.55000000000000004">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16">
        <f t="shared" si="169"/>
        <v>59.162280701754383</v>
      </c>
      <c r="Q1823" t="str">
        <f t="shared" si="172"/>
        <v>music</v>
      </c>
      <c r="R1823" t="str">
        <f t="shared" si="173"/>
        <v>rock</v>
      </c>
      <c r="S1823" s="4">
        <f t="shared" si="170"/>
        <v>40926.319062499999</v>
      </c>
      <c r="T1823" s="4">
        <f t="shared" si="171"/>
        <v>40971.319062499999</v>
      </c>
      <c r="U1823" s="5">
        <f>VLOOKUP(currency,Tables!$A$1:$C$14,3,FALSE)*pledged</f>
        <v>3372.25</v>
      </c>
    </row>
    <row r="1824" spans="1:21" ht="28.8" x14ac:dyDescent="0.55000000000000004">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68"/>
        <v>1</v>
      </c>
      <c r="P1824" s="16">
        <f t="shared" si="169"/>
        <v>27.272727272727273</v>
      </c>
      <c r="Q1824" t="str">
        <f t="shared" si="172"/>
        <v>music</v>
      </c>
      <c r="R1824" t="str">
        <f t="shared" si="173"/>
        <v>rock</v>
      </c>
      <c r="S1824" s="4">
        <f t="shared" si="170"/>
        <v>41634.797013888885</v>
      </c>
      <c r="T1824" s="4">
        <f t="shared" si="171"/>
        <v>41670.792361111111</v>
      </c>
      <c r="U1824" s="5">
        <f>VLOOKUP(currency,Tables!$A$1:$C$14,3,FALSE)*pledged</f>
        <v>228</v>
      </c>
    </row>
    <row r="1825" spans="1:21" ht="43.2" x14ac:dyDescent="0.55000000000000004">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16">
        <f t="shared" si="169"/>
        <v>24.575757575757574</v>
      </c>
      <c r="Q1825" t="str">
        <f t="shared" si="172"/>
        <v>music</v>
      </c>
      <c r="R1825" t="str">
        <f t="shared" si="173"/>
        <v>rock</v>
      </c>
      <c r="S1825" s="4">
        <f t="shared" si="170"/>
        <v>41176.684907407405</v>
      </c>
      <c r="T1825" s="4">
        <f t="shared" si="171"/>
        <v>41206.684907407405</v>
      </c>
      <c r="U1825" s="5">
        <f>VLOOKUP(currency,Tables!$A$1:$C$14,3,FALSE)*pledged</f>
        <v>811</v>
      </c>
    </row>
    <row r="1826" spans="1:21" x14ac:dyDescent="0.55000000000000004">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16">
        <f t="shared" si="169"/>
        <v>75.05</v>
      </c>
      <c r="Q1826" t="str">
        <f t="shared" si="172"/>
        <v>music</v>
      </c>
      <c r="R1826" t="str">
        <f t="shared" si="173"/>
        <v>rock</v>
      </c>
      <c r="S1826" s="4">
        <f t="shared" si="170"/>
        <v>41626.916284722225</v>
      </c>
      <c r="T1826" s="4">
        <f t="shared" si="171"/>
        <v>41647.088888888888</v>
      </c>
      <c r="U1826" s="5">
        <f>VLOOKUP(currency,Tables!$A$1:$C$14,3,FALSE)*pledged</f>
        <v>3002</v>
      </c>
    </row>
    <row r="1827" spans="1:21" ht="43.2" x14ac:dyDescent="0.55000000000000004">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16">
        <f t="shared" si="169"/>
        <v>42.02</v>
      </c>
      <c r="Q1827" t="str">
        <f t="shared" si="172"/>
        <v>music</v>
      </c>
      <c r="R1827" t="str">
        <f t="shared" si="173"/>
        <v>rock</v>
      </c>
      <c r="S1827" s="4">
        <f t="shared" si="170"/>
        <v>41443.83452546296</v>
      </c>
      <c r="T1827" s="4">
        <f t="shared" si="171"/>
        <v>41466.83452546296</v>
      </c>
      <c r="U1827" s="5">
        <f>VLOOKUP(currency,Tables!$A$1:$C$14,3,FALSE)*pledged</f>
        <v>2101</v>
      </c>
    </row>
    <row r="1828" spans="1:21" ht="28.8" x14ac:dyDescent="0.55000000000000004">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68"/>
        <v>1.01</v>
      </c>
      <c r="P1828" s="16">
        <f t="shared" si="169"/>
        <v>53.157894736842103</v>
      </c>
      <c r="Q1828" t="str">
        <f t="shared" si="172"/>
        <v>music</v>
      </c>
      <c r="R1828" t="str">
        <f t="shared" si="173"/>
        <v>rock</v>
      </c>
      <c r="S1828" s="4">
        <f t="shared" si="170"/>
        <v>41657.923807870371</v>
      </c>
      <c r="T1828" s="4">
        <f t="shared" si="171"/>
        <v>41687.923807870371</v>
      </c>
      <c r="U1828" s="5">
        <f>VLOOKUP(currency,Tables!$A$1:$C$14,3,FALSE)*pledged</f>
        <v>2020</v>
      </c>
    </row>
    <row r="1829" spans="1:21" ht="43.2" x14ac:dyDescent="0.55000000000000004">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16">
        <f t="shared" si="169"/>
        <v>83.885416666666671</v>
      </c>
      <c r="Q1829" t="str">
        <f t="shared" si="172"/>
        <v>music</v>
      </c>
      <c r="R1829" t="str">
        <f t="shared" si="173"/>
        <v>rock</v>
      </c>
      <c r="S1829" s="4">
        <f t="shared" si="170"/>
        <v>40555.325937499998</v>
      </c>
      <c r="T1829" s="4">
        <f t="shared" si="171"/>
        <v>40605.325937499998</v>
      </c>
      <c r="U1829" s="5">
        <f>VLOOKUP(currency,Tables!$A$1:$C$14,3,FALSE)*pledged</f>
        <v>8053</v>
      </c>
    </row>
    <row r="1830" spans="1:21" ht="43.2" x14ac:dyDescent="0.55000000000000004">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16">
        <f t="shared" si="169"/>
        <v>417.33333333333331</v>
      </c>
      <c r="Q1830" t="str">
        <f t="shared" si="172"/>
        <v>music</v>
      </c>
      <c r="R1830" t="str">
        <f t="shared" si="173"/>
        <v>rock</v>
      </c>
      <c r="S1830" s="4">
        <f t="shared" si="170"/>
        <v>41736.899652777778</v>
      </c>
      <c r="T1830" s="4">
        <f t="shared" si="171"/>
        <v>41768.916666666664</v>
      </c>
      <c r="U1830" s="5">
        <f>VLOOKUP(currency,Tables!$A$1:$C$14,3,FALSE)*pledged</f>
        <v>20032</v>
      </c>
    </row>
    <row r="1831" spans="1:21" ht="43.2" x14ac:dyDescent="0.55000000000000004">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16">
        <f t="shared" si="169"/>
        <v>75.765151515151516</v>
      </c>
      <c r="Q1831" t="str">
        <f t="shared" si="172"/>
        <v>music</v>
      </c>
      <c r="R1831" t="str">
        <f t="shared" si="173"/>
        <v>rock</v>
      </c>
      <c r="S1831" s="4">
        <f t="shared" si="170"/>
        <v>40516.087627314817</v>
      </c>
      <c r="T1831" s="4">
        <f t="shared" si="171"/>
        <v>40564.916666666664</v>
      </c>
      <c r="U1831" s="5">
        <f>VLOOKUP(currency,Tables!$A$1:$C$14,3,FALSE)*pledged</f>
        <v>2500.25</v>
      </c>
    </row>
    <row r="1832" spans="1:21" ht="43.2" x14ac:dyDescent="0.55000000000000004">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16">
        <f t="shared" si="169"/>
        <v>67.389380530973455</v>
      </c>
      <c r="Q1832" t="str">
        <f t="shared" si="172"/>
        <v>music</v>
      </c>
      <c r="R1832" t="str">
        <f t="shared" si="173"/>
        <v>rock</v>
      </c>
      <c r="S1832" s="4">
        <f t="shared" si="170"/>
        <v>41664.684108796297</v>
      </c>
      <c r="T1832" s="4">
        <f t="shared" si="171"/>
        <v>41694.684108796297</v>
      </c>
      <c r="U1832" s="5">
        <f>VLOOKUP(currency,Tables!$A$1:$C$14,3,FALSE)*pledged</f>
        <v>15230</v>
      </c>
    </row>
    <row r="1833" spans="1:21" ht="43.2" x14ac:dyDescent="0.55000000000000004">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68"/>
        <v>1.03</v>
      </c>
      <c r="P1833" s="16">
        <f t="shared" si="169"/>
        <v>73.571428571428569</v>
      </c>
      <c r="Q1833" t="str">
        <f t="shared" si="172"/>
        <v>music</v>
      </c>
      <c r="R1833" t="str">
        <f t="shared" si="173"/>
        <v>rock</v>
      </c>
      <c r="S1833" s="4">
        <f t="shared" si="170"/>
        <v>41026.996099537035</v>
      </c>
      <c r="T1833" s="4">
        <f t="shared" si="171"/>
        <v>41041.996099537035</v>
      </c>
      <c r="U1833" s="5">
        <f>VLOOKUP(currency,Tables!$A$1:$C$14,3,FALSE)*pledged</f>
        <v>1030</v>
      </c>
    </row>
    <row r="1834" spans="1:21" ht="43.2" x14ac:dyDescent="0.55000000000000004">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16">
        <f t="shared" si="169"/>
        <v>25</v>
      </c>
      <c r="Q1834" t="str">
        <f t="shared" si="172"/>
        <v>music</v>
      </c>
      <c r="R1834" t="str">
        <f t="shared" si="173"/>
        <v>rock</v>
      </c>
      <c r="S1834" s="4">
        <f t="shared" si="170"/>
        <v>40576.539664351854</v>
      </c>
      <c r="T1834" s="4">
        <f t="shared" si="171"/>
        <v>40606.539664351854</v>
      </c>
      <c r="U1834" s="5">
        <f>VLOOKUP(currency,Tables!$A$1:$C$14,3,FALSE)*pledged</f>
        <v>500</v>
      </c>
    </row>
    <row r="1835" spans="1:21" ht="43.2" x14ac:dyDescent="0.55000000000000004">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68"/>
        <v>2.625</v>
      </c>
      <c r="P1835" s="16">
        <f t="shared" si="169"/>
        <v>42</v>
      </c>
      <c r="Q1835" t="str">
        <f t="shared" si="172"/>
        <v>music</v>
      </c>
      <c r="R1835" t="str">
        <f t="shared" si="173"/>
        <v>rock</v>
      </c>
      <c r="S1835" s="4">
        <f t="shared" si="170"/>
        <v>41303.044016203705</v>
      </c>
      <c r="T1835" s="4">
        <f t="shared" si="171"/>
        <v>41335.332638888889</v>
      </c>
      <c r="U1835" s="5">
        <f>VLOOKUP(currency,Tables!$A$1:$C$14,3,FALSE)*pledged</f>
        <v>1050</v>
      </c>
    </row>
    <row r="1836" spans="1:21" ht="28.8" x14ac:dyDescent="0.55000000000000004">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16">
        <f t="shared" si="169"/>
        <v>131.16666666666666</v>
      </c>
      <c r="Q1836" t="str">
        <f t="shared" si="172"/>
        <v>music</v>
      </c>
      <c r="R1836" t="str">
        <f t="shared" si="173"/>
        <v>rock</v>
      </c>
      <c r="S1836" s="4">
        <f t="shared" si="170"/>
        <v>41988.964062500003</v>
      </c>
      <c r="T1836" s="4">
        <f t="shared" si="171"/>
        <v>42028.964062500003</v>
      </c>
      <c r="U1836" s="5">
        <f>VLOOKUP(currency,Tables!$A$1:$C$14,3,FALSE)*pledged</f>
        <v>11805</v>
      </c>
    </row>
    <row r="1837" spans="1:21" ht="57.6" x14ac:dyDescent="0.55000000000000004">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68"/>
        <v>1.04</v>
      </c>
      <c r="P1837" s="16">
        <f t="shared" si="169"/>
        <v>47.272727272727273</v>
      </c>
      <c r="Q1837" t="str">
        <f t="shared" si="172"/>
        <v>music</v>
      </c>
      <c r="R1837" t="str">
        <f t="shared" si="173"/>
        <v>rock</v>
      </c>
      <c r="S1837" s="4">
        <f t="shared" si="170"/>
        <v>42430.702210648145</v>
      </c>
      <c r="T1837" s="4">
        <f t="shared" si="171"/>
        <v>42460.660543981481</v>
      </c>
      <c r="U1837" s="5">
        <f>VLOOKUP(currency,Tables!$A$1:$C$14,3,FALSE)*pledged</f>
        <v>686.4</v>
      </c>
    </row>
    <row r="1838" spans="1:21" x14ac:dyDescent="0.55000000000000004">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16">
        <f t="shared" si="169"/>
        <v>182.12727272727273</v>
      </c>
      <c r="Q1838" t="str">
        <f t="shared" si="172"/>
        <v>music</v>
      </c>
      <c r="R1838" t="str">
        <f t="shared" si="173"/>
        <v>rock</v>
      </c>
      <c r="S1838" s="4">
        <f t="shared" si="170"/>
        <v>41305.809363425928</v>
      </c>
      <c r="T1838" s="4">
        <f t="shared" si="171"/>
        <v>41322.809363425928</v>
      </c>
      <c r="U1838" s="5">
        <f>VLOOKUP(currency,Tables!$A$1:$C$14,3,FALSE)*pledged</f>
        <v>10017</v>
      </c>
    </row>
    <row r="1839" spans="1:21" ht="43.2" x14ac:dyDescent="0.55000000000000004">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16">
        <f t="shared" si="169"/>
        <v>61.366666666666667</v>
      </c>
      <c r="Q1839" t="str">
        <f t="shared" si="172"/>
        <v>music</v>
      </c>
      <c r="R1839" t="str">
        <f t="shared" si="173"/>
        <v>rock</v>
      </c>
      <c r="S1839" s="4">
        <f t="shared" si="170"/>
        <v>40926.047858796301</v>
      </c>
      <c r="T1839" s="4">
        <f t="shared" si="171"/>
        <v>40986.006192129629</v>
      </c>
      <c r="U1839" s="5">
        <f>VLOOKUP(currency,Tables!$A$1:$C$14,3,FALSE)*pledged</f>
        <v>1841</v>
      </c>
    </row>
    <row r="1840" spans="1:21" ht="43.2" x14ac:dyDescent="0.55000000000000004">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16">
        <f t="shared" si="169"/>
        <v>35.767499999999998</v>
      </c>
      <c r="Q1840" t="str">
        <f t="shared" si="172"/>
        <v>music</v>
      </c>
      <c r="R1840" t="str">
        <f t="shared" si="173"/>
        <v>rock</v>
      </c>
      <c r="S1840" s="4">
        <f t="shared" si="170"/>
        <v>40788.786539351851</v>
      </c>
      <c r="T1840" s="4">
        <f t="shared" si="171"/>
        <v>40817.125</v>
      </c>
      <c r="U1840" s="5">
        <f>VLOOKUP(currency,Tables!$A$1:$C$14,3,FALSE)*pledged</f>
        <v>1001.49</v>
      </c>
    </row>
    <row r="1841" spans="1:21" ht="43.2" x14ac:dyDescent="0.55000000000000004">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16">
        <f t="shared" si="169"/>
        <v>45.62222222222222</v>
      </c>
      <c r="Q1841" t="str">
        <f t="shared" si="172"/>
        <v>music</v>
      </c>
      <c r="R1841" t="str">
        <f t="shared" si="173"/>
        <v>rock</v>
      </c>
      <c r="S1841" s="4">
        <f t="shared" si="170"/>
        <v>42614.722013888888</v>
      </c>
      <c r="T1841" s="4">
        <f t="shared" si="171"/>
        <v>42644.722013888888</v>
      </c>
      <c r="U1841" s="5">
        <f>VLOOKUP(currency,Tables!$A$1:$C$14,3,FALSE)*pledged</f>
        <v>2053</v>
      </c>
    </row>
    <row r="1842" spans="1:21" ht="43.2" x14ac:dyDescent="0.55000000000000004">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16">
        <f t="shared" si="169"/>
        <v>75.384615384615387</v>
      </c>
      <c r="Q1842" t="str">
        <f t="shared" si="172"/>
        <v>music</v>
      </c>
      <c r="R1842" t="str">
        <f t="shared" si="173"/>
        <v>rock</v>
      </c>
      <c r="S1842" s="4">
        <f t="shared" si="170"/>
        <v>41382.096180555556</v>
      </c>
      <c r="T1842" s="4">
        <f t="shared" si="171"/>
        <v>41401.207638888889</v>
      </c>
      <c r="U1842" s="5">
        <f>VLOOKUP(currency,Tables!$A$1:$C$14,3,FALSE)*pledged</f>
        <v>980</v>
      </c>
    </row>
    <row r="1843" spans="1:21" ht="28.8" x14ac:dyDescent="0.55000000000000004">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16">
        <f t="shared" si="169"/>
        <v>50.875</v>
      </c>
      <c r="Q1843" t="str">
        <f t="shared" si="172"/>
        <v>music</v>
      </c>
      <c r="R1843" t="str">
        <f t="shared" si="173"/>
        <v>rock</v>
      </c>
      <c r="S1843" s="4">
        <f t="shared" si="170"/>
        <v>41745.84542824074</v>
      </c>
      <c r="T1843" s="4">
        <f t="shared" si="171"/>
        <v>41779.207638888889</v>
      </c>
      <c r="U1843" s="5">
        <f>VLOOKUP(currency,Tables!$A$1:$C$14,3,FALSE)*pledged</f>
        <v>2035</v>
      </c>
    </row>
    <row r="1844" spans="1:21" ht="43.2" x14ac:dyDescent="0.55000000000000004">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16">
        <f t="shared" si="169"/>
        <v>119.28571428571429</v>
      </c>
      <c r="Q1844" t="str">
        <f t="shared" si="172"/>
        <v>music</v>
      </c>
      <c r="R1844" t="str">
        <f t="shared" si="173"/>
        <v>rock</v>
      </c>
      <c r="S1844" s="4">
        <f t="shared" si="170"/>
        <v>42031.631724537037</v>
      </c>
      <c r="T1844" s="4">
        <f t="shared" si="171"/>
        <v>42065.249305555553</v>
      </c>
      <c r="U1844" s="5">
        <f>VLOOKUP(currency,Tables!$A$1:$C$14,3,FALSE)*pledged</f>
        <v>2505</v>
      </c>
    </row>
    <row r="1845" spans="1:21" ht="43.2" x14ac:dyDescent="0.55000000000000004">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16">
        <f t="shared" si="169"/>
        <v>92.541865671641801</v>
      </c>
      <c r="Q1845" t="str">
        <f t="shared" si="172"/>
        <v>music</v>
      </c>
      <c r="R1845" t="str">
        <f t="shared" si="173"/>
        <v>rock</v>
      </c>
      <c r="S1845" s="4">
        <f t="shared" si="170"/>
        <v>40564.994837962964</v>
      </c>
      <c r="T1845" s="4">
        <f t="shared" si="171"/>
        <v>40594.994837962964</v>
      </c>
      <c r="U1845" s="5">
        <f>VLOOKUP(currency,Tables!$A$1:$C$14,3,FALSE)*pledged</f>
        <v>12400.61</v>
      </c>
    </row>
    <row r="1846" spans="1:21" ht="43.2" x14ac:dyDescent="0.55000000000000004">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16">
        <f t="shared" si="169"/>
        <v>76.05</v>
      </c>
      <c r="Q1846" t="str">
        <f t="shared" si="172"/>
        <v>music</v>
      </c>
      <c r="R1846" t="str">
        <f t="shared" si="173"/>
        <v>rock</v>
      </c>
      <c r="S1846" s="4">
        <f t="shared" si="170"/>
        <v>40666.973541666666</v>
      </c>
      <c r="T1846" s="4">
        <f t="shared" si="171"/>
        <v>40705.125</v>
      </c>
      <c r="U1846" s="5">
        <f>VLOOKUP(currency,Tables!$A$1:$C$14,3,FALSE)*pledged</f>
        <v>1521</v>
      </c>
    </row>
    <row r="1847" spans="1:21" ht="86.4" x14ac:dyDescent="0.55000000000000004">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68"/>
        <v>1</v>
      </c>
      <c r="P1847" s="16">
        <f t="shared" si="169"/>
        <v>52.631578947368418</v>
      </c>
      <c r="Q1847" t="str">
        <f t="shared" si="172"/>
        <v>music</v>
      </c>
      <c r="R1847" t="str">
        <f t="shared" si="173"/>
        <v>rock</v>
      </c>
      <c r="S1847" s="4">
        <f t="shared" si="170"/>
        <v>42523.333310185189</v>
      </c>
      <c r="T1847" s="4">
        <f t="shared" si="171"/>
        <v>42538.204861111109</v>
      </c>
      <c r="U1847" s="5">
        <f>VLOOKUP(currency,Tables!$A$1:$C$14,3,FALSE)*pledged</f>
        <v>1000</v>
      </c>
    </row>
    <row r="1848" spans="1:21" ht="43.2" x14ac:dyDescent="0.55000000000000004">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16">
        <f t="shared" si="169"/>
        <v>98.990430622009569</v>
      </c>
      <c r="Q1848" t="str">
        <f t="shared" si="172"/>
        <v>music</v>
      </c>
      <c r="R1848" t="str">
        <f t="shared" si="173"/>
        <v>rock</v>
      </c>
      <c r="S1848" s="4">
        <f t="shared" si="170"/>
        <v>41228.650196759263</v>
      </c>
      <c r="T1848" s="4">
        <f t="shared" si="171"/>
        <v>41258.650196759263</v>
      </c>
      <c r="U1848" s="5">
        <f>VLOOKUP(currency,Tables!$A$1:$C$14,3,FALSE)*pledged</f>
        <v>20689</v>
      </c>
    </row>
    <row r="1849" spans="1:21" ht="43.2" x14ac:dyDescent="0.55000000000000004">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16">
        <f t="shared" si="169"/>
        <v>79.526315789473685</v>
      </c>
      <c r="Q1849" t="str">
        <f t="shared" si="172"/>
        <v>music</v>
      </c>
      <c r="R1849" t="str">
        <f t="shared" si="173"/>
        <v>rock</v>
      </c>
      <c r="S1849" s="4">
        <f t="shared" si="170"/>
        <v>42094.236481481479</v>
      </c>
      <c r="T1849" s="4">
        <f t="shared" si="171"/>
        <v>42115.236481481479</v>
      </c>
      <c r="U1849" s="5">
        <f>VLOOKUP(currency,Tables!$A$1:$C$14,3,FALSE)*pledged</f>
        <v>3022</v>
      </c>
    </row>
    <row r="1850" spans="1:21" ht="43.2" x14ac:dyDescent="0.55000000000000004">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16">
        <f t="shared" si="169"/>
        <v>134.20833333333334</v>
      </c>
      <c r="Q1850" t="str">
        <f t="shared" si="172"/>
        <v>music</v>
      </c>
      <c r="R1850" t="str">
        <f t="shared" si="173"/>
        <v>rock</v>
      </c>
      <c r="S1850" s="4">
        <f t="shared" si="170"/>
        <v>40691.788055555553</v>
      </c>
      <c r="T1850" s="4">
        <f t="shared" si="171"/>
        <v>40755.290972222225</v>
      </c>
      <c r="U1850" s="5">
        <f>VLOOKUP(currency,Tables!$A$1:$C$14,3,FALSE)*pledged</f>
        <v>3221</v>
      </c>
    </row>
    <row r="1851" spans="1:21" ht="28.8" x14ac:dyDescent="0.55000000000000004">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16">
        <f t="shared" si="169"/>
        <v>37.625</v>
      </c>
      <c r="Q1851" t="str">
        <f t="shared" si="172"/>
        <v>music</v>
      </c>
      <c r="R1851" t="str">
        <f t="shared" si="173"/>
        <v>rock</v>
      </c>
      <c r="S1851" s="4">
        <f t="shared" si="170"/>
        <v>41169.845590277779</v>
      </c>
      <c r="T1851" s="4">
        <f t="shared" si="171"/>
        <v>41199.845590277779</v>
      </c>
      <c r="U1851" s="5">
        <f>VLOOKUP(currency,Tables!$A$1:$C$14,3,FALSE)*pledged</f>
        <v>301</v>
      </c>
    </row>
    <row r="1852" spans="1:21" ht="43.2" x14ac:dyDescent="0.55000000000000004">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16">
        <f t="shared" si="169"/>
        <v>51.044692737430168</v>
      </c>
      <c r="Q1852" t="str">
        <f t="shared" si="172"/>
        <v>music</v>
      </c>
      <c r="R1852" t="str">
        <f t="shared" si="173"/>
        <v>rock</v>
      </c>
      <c r="S1852" s="4">
        <f t="shared" si="170"/>
        <v>41800.959490740745</v>
      </c>
      <c r="T1852" s="4">
        <f t="shared" si="171"/>
        <v>41830.959490740745</v>
      </c>
      <c r="U1852" s="5">
        <f>VLOOKUP(currency,Tables!$A$1:$C$14,3,FALSE)*pledged</f>
        <v>9137</v>
      </c>
    </row>
    <row r="1853" spans="1:21" ht="43.2" x14ac:dyDescent="0.55000000000000004">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16">
        <f t="shared" si="169"/>
        <v>50.03846153846154</v>
      </c>
      <c r="Q1853" t="str">
        <f t="shared" si="172"/>
        <v>music</v>
      </c>
      <c r="R1853" t="str">
        <f t="shared" si="173"/>
        <v>rock</v>
      </c>
      <c r="S1853" s="4">
        <f t="shared" si="170"/>
        <v>41827.906689814816</v>
      </c>
      <c r="T1853" s="4">
        <f t="shared" si="171"/>
        <v>41848.041666666664</v>
      </c>
      <c r="U1853" s="5">
        <f>VLOOKUP(currency,Tables!$A$1:$C$14,3,FALSE)*pledged</f>
        <v>1301</v>
      </c>
    </row>
    <row r="1854" spans="1:21" ht="43.2" x14ac:dyDescent="0.55000000000000004">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16">
        <f t="shared" si="169"/>
        <v>133.93129770992365</v>
      </c>
      <c r="Q1854" t="str">
        <f t="shared" si="172"/>
        <v>music</v>
      </c>
      <c r="R1854" t="str">
        <f t="shared" si="173"/>
        <v>rock</v>
      </c>
      <c r="S1854" s="4">
        <f t="shared" si="170"/>
        <v>42081.77143518519</v>
      </c>
      <c r="T1854" s="4">
        <f t="shared" si="171"/>
        <v>42119</v>
      </c>
      <c r="U1854" s="5">
        <f>VLOOKUP(currency,Tables!$A$1:$C$14,3,FALSE)*pledged</f>
        <v>17545</v>
      </c>
    </row>
    <row r="1855" spans="1:21" ht="43.2" x14ac:dyDescent="0.55000000000000004">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16">
        <f t="shared" si="169"/>
        <v>58.214285714285715</v>
      </c>
      <c r="Q1855" t="str">
        <f t="shared" si="172"/>
        <v>music</v>
      </c>
      <c r="R1855" t="str">
        <f t="shared" si="173"/>
        <v>rock</v>
      </c>
      <c r="S1855" s="4">
        <f t="shared" si="170"/>
        <v>41177.060381944444</v>
      </c>
      <c r="T1855" s="4">
        <f t="shared" si="171"/>
        <v>41227.102048611108</v>
      </c>
      <c r="U1855" s="5">
        <f>VLOOKUP(currency,Tables!$A$1:$C$14,3,FALSE)*pledged</f>
        <v>815</v>
      </c>
    </row>
    <row r="1856" spans="1:21" ht="43.2" x14ac:dyDescent="0.55000000000000004">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16">
        <f t="shared" si="169"/>
        <v>88.037643678160919</v>
      </c>
      <c r="Q1856" t="str">
        <f t="shared" si="172"/>
        <v>music</v>
      </c>
      <c r="R1856" t="str">
        <f t="shared" si="173"/>
        <v>rock</v>
      </c>
      <c r="S1856" s="4">
        <f t="shared" si="170"/>
        <v>41388.021261574075</v>
      </c>
      <c r="T1856" s="4">
        <f t="shared" si="171"/>
        <v>41418.021261574075</v>
      </c>
      <c r="U1856" s="5">
        <f>VLOOKUP(currency,Tables!$A$1:$C$14,3,FALSE)*pledged</f>
        <v>15318.55</v>
      </c>
    </row>
    <row r="1857" spans="1:21" ht="43.2" x14ac:dyDescent="0.55000000000000004">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16">
        <f t="shared" si="169"/>
        <v>70.576753926701571</v>
      </c>
      <c r="Q1857" t="str">
        <f t="shared" si="172"/>
        <v>music</v>
      </c>
      <c r="R1857" t="str">
        <f t="shared" si="173"/>
        <v>rock</v>
      </c>
      <c r="S1857" s="4">
        <f t="shared" si="170"/>
        <v>41600.538657407407</v>
      </c>
      <c r="T1857" s="4">
        <f t="shared" si="171"/>
        <v>41645.538657407407</v>
      </c>
      <c r="U1857" s="5">
        <f>VLOOKUP(currency,Tables!$A$1:$C$14,3,FALSE)*pledged</f>
        <v>10244.9216</v>
      </c>
    </row>
    <row r="1858" spans="1:21" ht="43.2" x14ac:dyDescent="0.55000000000000004">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ref="O1858:O1921" si="174">pledged/goal</f>
        <v>1.0125</v>
      </c>
      <c r="P1858" s="16">
        <f t="shared" ref="P1858:P1921" si="175">IF(pledged=0,0,pledged/backers_count)</f>
        <v>53.289473684210527</v>
      </c>
      <c r="Q1858" t="str">
        <f t="shared" si="172"/>
        <v>music</v>
      </c>
      <c r="R1858" t="str">
        <f t="shared" si="173"/>
        <v>rock</v>
      </c>
      <c r="S1858" s="4">
        <f t="shared" ref="S1858:S1921" si="176">(((Unix_launched_date/60)/60)/24)+DATE(1970,1,1)</f>
        <v>41817.854999999996</v>
      </c>
      <c r="T1858" s="4">
        <f t="shared" ref="T1858:T1921" si="177">(((Unix_deadline/60)/60)/24)+DATE(1970,1,1)</f>
        <v>41838.854999999996</v>
      </c>
      <c r="U1858" s="5">
        <f>VLOOKUP(currency,Tables!$A$1:$C$14,3,FALSE)*pledged</f>
        <v>2025</v>
      </c>
    </row>
    <row r="1859" spans="1:21" ht="43.2" x14ac:dyDescent="0.55000000000000004">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si="174"/>
        <v>1</v>
      </c>
      <c r="P1859" s="16">
        <f t="shared" si="175"/>
        <v>136.36363636363637</v>
      </c>
      <c r="Q1859" t="str">
        <f t="shared" ref="Q1859:Q1922" si="178">LEFT(N1859,FIND("/",N1859,1)-1)</f>
        <v>music</v>
      </c>
      <c r="R1859" t="str">
        <f t="shared" ref="R1859:R1922" si="179">RIGHT(N1859,(LEN(N1859)-FIND("/",N1859,1)))</f>
        <v>rock</v>
      </c>
      <c r="S1859" s="4">
        <f t="shared" si="176"/>
        <v>41864.76866898148</v>
      </c>
      <c r="T1859" s="4">
        <f t="shared" si="177"/>
        <v>41894.76866898148</v>
      </c>
      <c r="U1859" s="5">
        <f>VLOOKUP(currency,Tables!$A$1:$C$14,3,FALSE)*pledged</f>
        <v>3000</v>
      </c>
    </row>
    <row r="1860" spans="1:21" ht="43.2" x14ac:dyDescent="0.55000000000000004">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16">
        <f t="shared" si="175"/>
        <v>40.547315436241611</v>
      </c>
      <c r="Q1860" t="str">
        <f t="shared" si="178"/>
        <v>music</v>
      </c>
      <c r="R1860" t="str">
        <f t="shared" si="179"/>
        <v>rock</v>
      </c>
      <c r="S1860" s="4">
        <f t="shared" si="176"/>
        <v>40833.200474537036</v>
      </c>
      <c r="T1860" s="4">
        <f t="shared" si="177"/>
        <v>40893.242141203707</v>
      </c>
      <c r="U1860" s="5">
        <f>VLOOKUP(currency,Tables!$A$1:$C$14,3,FALSE)*pledged</f>
        <v>6041.55</v>
      </c>
    </row>
    <row r="1861" spans="1:21" ht="28.8" x14ac:dyDescent="0.55000000000000004">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16">
        <f t="shared" si="175"/>
        <v>70.625</v>
      </c>
      <c r="Q1861" t="str">
        <f t="shared" si="178"/>
        <v>music</v>
      </c>
      <c r="R1861" t="str">
        <f t="shared" si="179"/>
        <v>rock</v>
      </c>
      <c r="S1861" s="4">
        <f t="shared" si="176"/>
        <v>40778.770011574074</v>
      </c>
      <c r="T1861" s="4">
        <f t="shared" si="177"/>
        <v>40808.770011574074</v>
      </c>
      <c r="U1861" s="5">
        <f>VLOOKUP(currency,Tables!$A$1:$C$14,3,FALSE)*pledged</f>
        <v>3955</v>
      </c>
    </row>
    <row r="1862" spans="1:21" ht="43.2" x14ac:dyDescent="0.55000000000000004">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16">
        <f t="shared" si="175"/>
        <v>52.684210526315788</v>
      </c>
      <c r="Q1862" t="str">
        <f t="shared" si="178"/>
        <v>music</v>
      </c>
      <c r="R1862" t="str">
        <f t="shared" si="179"/>
        <v>rock</v>
      </c>
      <c r="S1862" s="4">
        <f t="shared" si="176"/>
        <v>41655.709305555552</v>
      </c>
      <c r="T1862" s="4">
        <f t="shared" si="177"/>
        <v>41676.709305555552</v>
      </c>
      <c r="U1862" s="5">
        <f>VLOOKUP(currency,Tables!$A$1:$C$14,3,FALSE)*pledged</f>
        <v>1001</v>
      </c>
    </row>
    <row r="1863" spans="1:21" ht="43.2" x14ac:dyDescent="0.55000000000000004">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74"/>
        <v>0</v>
      </c>
      <c r="P1863" s="16">
        <f t="shared" si="175"/>
        <v>0</v>
      </c>
      <c r="Q1863" t="str">
        <f t="shared" si="178"/>
        <v>games</v>
      </c>
      <c r="R1863" t="str">
        <f t="shared" si="179"/>
        <v>mobile games</v>
      </c>
      <c r="S1863" s="4">
        <f t="shared" si="176"/>
        <v>42000.300243055557</v>
      </c>
      <c r="T1863" s="4">
        <f t="shared" si="177"/>
        <v>42030.300243055557</v>
      </c>
      <c r="U1863" s="5">
        <f>VLOOKUP(currency,Tables!$A$1:$C$14,3,FALSE)*pledged</f>
        <v>0</v>
      </c>
    </row>
    <row r="1864" spans="1:21" ht="43.2" x14ac:dyDescent="0.55000000000000004">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16">
        <f t="shared" si="175"/>
        <v>90.9375</v>
      </c>
      <c r="Q1864" t="str">
        <f t="shared" si="178"/>
        <v>games</v>
      </c>
      <c r="R1864" t="str">
        <f t="shared" si="179"/>
        <v>mobile games</v>
      </c>
      <c r="S1864" s="4">
        <f t="shared" si="176"/>
        <v>42755.492754629624</v>
      </c>
      <c r="T1864" s="4">
        <f t="shared" si="177"/>
        <v>42802.3125</v>
      </c>
      <c r="U1864" s="5">
        <f>VLOOKUP(currency,Tables!$A$1:$C$14,3,FALSE)*pledged</f>
        <v>1455</v>
      </c>
    </row>
    <row r="1865" spans="1:21" ht="43.2" x14ac:dyDescent="0.55000000000000004">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16">
        <f t="shared" si="175"/>
        <v>5</v>
      </c>
      <c r="Q1865" t="str">
        <f t="shared" si="178"/>
        <v>games</v>
      </c>
      <c r="R1865" t="str">
        <f t="shared" si="179"/>
        <v>mobile games</v>
      </c>
      <c r="S1865" s="4">
        <f t="shared" si="176"/>
        <v>41772.797280092593</v>
      </c>
      <c r="T1865" s="4">
        <f t="shared" si="177"/>
        <v>41802.797280092593</v>
      </c>
      <c r="U1865" s="5">
        <f>VLOOKUP(currency,Tables!$A$1:$C$14,3,FALSE)*pledged</f>
        <v>10</v>
      </c>
    </row>
    <row r="1866" spans="1:21" ht="43.2" x14ac:dyDescent="0.55000000000000004">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16">
        <f t="shared" si="175"/>
        <v>58.083333333333336</v>
      </c>
      <c r="Q1866" t="str">
        <f t="shared" si="178"/>
        <v>games</v>
      </c>
      <c r="R1866" t="str">
        <f t="shared" si="179"/>
        <v>mobile games</v>
      </c>
      <c r="S1866" s="4">
        <f t="shared" si="176"/>
        <v>41733.716435185182</v>
      </c>
      <c r="T1866" s="4">
        <f t="shared" si="177"/>
        <v>41763.716435185182</v>
      </c>
      <c r="U1866" s="5">
        <f>VLOOKUP(currency,Tables!$A$1:$C$14,3,FALSE)*pledged</f>
        <v>2788</v>
      </c>
    </row>
    <row r="1867" spans="1:21" ht="43.2" x14ac:dyDescent="0.55000000000000004">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16">
        <f t="shared" si="175"/>
        <v>2</v>
      </c>
      <c r="Q1867" t="str">
        <f t="shared" si="178"/>
        <v>games</v>
      </c>
      <c r="R1867" t="str">
        <f t="shared" si="179"/>
        <v>mobile games</v>
      </c>
      <c r="S1867" s="4">
        <f t="shared" si="176"/>
        <v>42645.367442129631</v>
      </c>
      <c r="T1867" s="4">
        <f t="shared" si="177"/>
        <v>42680.409108796302</v>
      </c>
      <c r="U1867" s="5">
        <f>VLOOKUP(currency,Tables!$A$1:$C$14,3,FALSE)*pledged</f>
        <v>5.28</v>
      </c>
    </row>
    <row r="1868" spans="1:21" ht="43.2" x14ac:dyDescent="0.55000000000000004">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16">
        <f t="shared" si="175"/>
        <v>62.5</v>
      </c>
      <c r="Q1868" t="str">
        <f t="shared" si="178"/>
        <v>games</v>
      </c>
      <c r="R1868" t="str">
        <f t="shared" si="179"/>
        <v>mobile games</v>
      </c>
      <c r="S1868" s="4">
        <f t="shared" si="176"/>
        <v>42742.246493055558</v>
      </c>
      <c r="T1868" s="4">
        <f t="shared" si="177"/>
        <v>42795.166666666672</v>
      </c>
      <c r="U1868" s="5">
        <f>VLOOKUP(currency,Tables!$A$1:$C$14,3,FALSE)*pledged</f>
        <v>125</v>
      </c>
    </row>
    <row r="1869" spans="1:21" ht="43.2" x14ac:dyDescent="0.55000000000000004">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16">
        <f t="shared" si="175"/>
        <v>10</v>
      </c>
      <c r="Q1869" t="str">
        <f t="shared" si="178"/>
        <v>games</v>
      </c>
      <c r="R1869" t="str">
        <f t="shared" si="179"/>
        <v>mobile games</v>
      </c>
      <c r="S1869" s="4">
        <f t="shared" si="176"/>
        <v>42649.924907407403</v>
      </c>
      <c r="T1869" s="4">
        <f t="shared" si="177"/>
        <v>42679.924907407403</v>
      </c>
      <c r="U1869" s="5">
        <f>VLOOKUP(currency,Tables!$A$1:$C$14,3,FALSE)*pledged</f>
        <v>10</v>
      </c>
    </row>
    <row r="1870" spans="1:21" ht="43.2" x14ac:dyDescent="0.55000000000000004">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16">
        <f t="shared" si="175"/>
        <v>71.588235294117652</v>
      </c>
      <c r="Q1870" t="str">
        <f t="shared" si="178"/>
        <v>games</v>
      </c>
      <c r="R1870" t="str">
        <f t="shared" si="179"/>
        <v>mobile games</v>
      </c>
      <c r="S1870" s="4">
        <f t="shared" si="176"/>
        <v>42328.779224537036</v>
      </c>
      <c r="T1870" s="4">
        <f t="shared" si="177"/>
        <v>42353.332638888889</v>
      </c>
      <c r="U1870" s="5">
        <f>VLOOKUP(currency,Tables!$A$1:$C$14,3,FALSE)*pledged</f>
        <v>1217</v>
      </c>
    </row>
    <row r="1871" spans="1:21" ht="43.2" x14ac:dyDescent="0.55000000000000004">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74"/>
        <v>0</v>
      </c>
      <c r="P1871" s="16">
        <f t="shared" si="175"/>
        <v>0</v>
      </c>
      <c r="Q1871" t="str">
        <f t="shared" si="178"/>
        <v>games</v>
      </c>
      <c r="R1871" t="str">
        <f t="shared" si="179"/>
        <v>mobile games</v>
      </c>
      <c r="S1871" s="4">
        <f t="shared" si="176"/>
        <v>42709.002881944441</v>
      </c>
      <c r="T1871" s="4">
        <f t="shared" si="177"/>
        <v>42739.002881944441</v>
      </c>
      <c r="U1871" s="5">
        <f>VLOOKUP(currency,Tables!$A$1:$C$14,3,FALSE)*pledged</f>
        <v>0</v>
      </c>
    </row>
    <row r="1872" spans="1:21" ht="43.2" x14ac:dyDescent="0.55000000000000004">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16">
        <f t="shared" si="175"/>
        <v>32.81818181818182</v>
      </c>
      <c r="Q1872" t="str">
        <f t="shared" si="178"/>
        <v>games</v>
      </c>
      <c r="R1872" t="str">
        <f t="shared" si="179"/>
        <v>mobile games</v>
      </c>
      <c r="S1872" s="4">
        <f t="shared" si="176"/>
        <v>42371.355729166666</v>
      </c>
      <c r="T1872" s="4">
        <f t="shared" si="177"/>
        <v>42400.178472222222</v>
      </c>
      <c r="U1872" s="5">
        <f>VLOOKUP(currency,Tables!$A$1:$C$14,3,FALSE)*pledged</f>
        <v>361</v>
      </c>
    </row>
    <row r="1873" spans="1:21" ht="43.2" x14ac:dyDescent="0.55000000000000004">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16">
        <f t="shared" si="175"/>
        <v>49.11578947368421</v>
      </c>
      <c r="Q1873" t="str">
        <f t="shared" si="178"/>
        <v>games</v>
      </c>
      <c r="R1873" t="str">
        <f t="shared" si="179"/>
        <v>mobile games</v>
      </c>
      <c r="S1873" s="4">
        <f t="shared" si="176"/>
        <v>41923.783576388887</v>
      </c>
      <c r="T1873" s="4">
        <f t="shared" si="177"/>
        <v>41963.825243055559</v>
      </c>
      <c r="U1873" s="5">
        <f>VLOOKUP(currency,Tables!$A$1:$C$14,3,FALSE)*pledged</f>
        <v>4666</v>
      </c>
    </row>
    <row r="1874" spans="1:21" ht="43.2" x14ac:dyDescent="0.55000000000000004">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16">
        <f t="shared" si="175"/>
        <v>16.307692307692307</v>
      </c>
      <c r="Q1874" t="str">
        <f t="shared" si="178"/>
        <v>games</v>
      </c>
      <c r="R1874" t="str">
        <f t="shared" si="179"/>
        <v>mobile games</v>
      </c>
      <c r="S1874" s="4">
        <f t="shared" si="176"/>
        <v>42155.129652777774</v>
      </c>
      <c r="T1874" s="4">
        <f t="shared" si="177"/>
        <v>42185.129652777774</v>
      </c>
      <c r="U1874" s="5">
        <f>VLOOKUP(currency,Tables!$A$1:$C$14,3,FALSE)*pledged</f>
        <v>212</v>
      </c>
    </row>
    <row r="1875" spans="1:21" ht="43.2" x14ac:dyDescent="0.55000000000000004">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16">
        <f t="shared" si="175"/>
        <v>18</v>
      </c>
      <c r="Q1875" t="str">
        <f t="shared" si="178"/>
        <v>games</v>
      </c>
      <c r="R1875" t="str">
        <f t="shared" si="179"/>
        <v>mobile games</v>
      </c>
      <c r="S1875" s="4">
        <f t="shared" si="176"/>
        <v>42164.615856481483</v>
      </c>
      <c r="T1875" s="4">
        <f t="shared" si="177"/>
        <v>42193.697916666672</v>
      </c>
      <c r="U1875" s="5">
        <f>VLOOKUP(currency,Tables!$A$1:$C$14,3,FALSE)*pledged</f>
        <v>27.36</v>
      </c>
    </row>
    <row r="1876" spans="1:21" ht="57.6" x14ac:dyDescent="0.55000000000000004">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16">
        <f t="shared" si="175"/>
        <v>13</v>
      </c>
      <c r="Q1876" t="str">
        <f t="shared" si="178"/>
        <v>games</v>
      </c>
      <c r="R1876" t="str">
        <f t="shared" si="179"/>
        <v>mobile games</v>
      </c>
      <c r="S1876" s="4">
        <f t="shared" si="176"/>
        <v>42529.969131944439</v>
      </c>
      <c r="T1876" s="4">
        <f t="shared" si="177"/>
        <v>42549.969131944439</v>
      </c>
      <c r="U1876" s="5">
        <f>VLOOKUP(currency,Tables!$A$1:$C$14,3,FALSE)*pledged</f>
        <v>26</v>
      </c>
    </row>
    <row r="1877" spans="1:21" ht="28.8" x14ac:dyDescent="0.55000000000000004">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16">
        <f t="shared" si="175"/>
        <v>17</v>
      </c>
      <c r="Q1877" t="str">
        <f t="shared" si="178"/>
        <v>games</v>
      </c>
      <c r="R1877" t="str">
        <f t="shared" si="179"/>
        <v>mobile games</v>
      </c>
      <c r="S1877" s="4">
        <f t="shared" si="176"/>
        <v>42528.899398148147</v>
      </c>
      <c r="T1877" s="4">
        <f t="shared" si="177"/>
        <v>42588.899398148147</v>
      </c>
      <c r="U1877" s="5">
        <f>VLOOKUP(currency,Tables!$A$1:$C$14,3,FALSE)*pledged</f>
        <v>51</v>
      </c>
    </row>
    <row r="1878" spans="1:21" ht="43.2" x14ac:dyDescent="0.55000000000000004">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74"/>
        <v>0</v>
      </c>
      <c r="P1878" s="16">
        <f t="shared" si="175"/>
        <v>0</v>
      </c>
      <c r="Q1878" t="str">
        <f t="shared" si="178"/>
        <v>games</v>
      </c>
      <c r="R1878" t="str">
        <f t="shared" si="179"/>
        <v>mobile games</v>
      </c>
      <c r="S1878" s="4">
        <f t="shared" si="176"/>
        <v>41776.284780092588</v>
      </c>
      <c r="T1878" s="4">
        <f t="shared" si="177"/>
        <v>41806.284780092588</v>
      </c>
      <c r="U1878" s="5">
        <f>VLOOKUP(currency,Tables!$A$1:$C$14,3,FALSE)*pledged</f>
        <v>0</v>
      </c>
    </row>
    <row r="1879" spans="1:21" ht="28.8" x14ac:dyDescent="0.55000000000000004">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74"/>
        <v>0</v>
      </c>
      <c r="P1879" s="16">
        <f t="shared" si="175"/>
        <v>0</v>
      </c>
      <c r="Q1879" t="str">
        <f t="shared" si="178"/>
        <v>games</v>
      </c>
      <c r="R1879" t="str">
        <f t="shared" si="179"/>
        <v>mobile games</v>
      </c>
      <c r="S1879" s="4">
        <f t="shared" si="176"/>
        <v>42035.029224537036</v>
      </c>
      <c r="T1879" s="4">
        <f t="shared" si="177"/>
        <v>42064.029224537036</v>
      </c>
      <c r="U1879" s="5">
        <f>VLOOKUP(currency,Tables!$A$1:$C$14,3,FALSE)*pledged</f>
        <v>0</v>
      </c>
    </row>
    <row r="1880" spans="1:21" ht="43.2" x14ac:dyDescent="0.55000000000000004">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74"/>
        <v>0</v>
      </c>
      <c r="P1880" s="16">
        <f t="shared" si="175"/>
        <v>0</v>
      </c>
      <c r="Q1880" t="str">
        <f t="shared" si="178"/>
        <v>games</v>
      </c>
      <c r="R1880" t="str">
        <f t="shared" si="179"/>
        <v>mobile games</v>
      </c>
      <c r="S1880" s="4">
        <f t="shared" si="176"/>
        <v>41773.008738425924</v>
      </c>
      <c r="T1880" s="4">
        <f t="shared" si="177"/>
        <v>41803.008738425924</v>
      </c>
      <c r="U1880" s="5">
        <f>VLOOKUP(currency,Tables!$A$1:$C$14,3,FALSE)*pledged</f>
        <v>0</v>
      </c>
    </row>
    <row r="1881" spans="1:21" ht="43.2" x14ac:dyDescent="0.55000000000000004">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16">
        <f t="shared" si="175"/>
        <v>3</v>
      </c>
      <c r="Q1881" t="str">
        <f t="shared" si="178"/>
        <v>games</v>
      </c>
      <c r="R1881" t="str">
        <f t="shared" si="179"/>
        <v>mobile games</v>
      </c>
      <c r="S1881" s="4">
        <f t="shared" si="176"/>
        <v>42413.649641203709</v>
      </c>
      <c r="T1881" s="4">
        <f t="shared" si="177"/>
        <v>42443.607974537037</v>
      </c>
      <c r="U1881" s="5">
        <f>VLOOKUP(currency,Tables!$A$1:$C$14,3,FALSE)*pledged</f>
        <v>7.08</v>
      </c>
    </row>
    <row r="1882" spans="1:21" ht="28.8" x14ac:dyDescent="0.55000000000000004">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16">
        <f t="shared" si="175"/>
        <v>41.833333333333336</v>
      </c>
      <c r="Q1882" t="str">
        <f t="shared" si="178"/>
        <v>games</v>
      </c>
      <c r="R1882" t="str">
        <f t="shared" si="179"/>
        <v>mobile games</v>
      </c>
      <c r="S1882" s="4">
        <f t="shared" si="176"/>
        <v>42430.566898148143</v>
      </c>
      <c r="T1882" s="4">
        <f t="shared" si="177"/>
        <v>42459.525231481486</v>
      </c>
      <c r="U1882" s="5">
        <f>VLOOKUP(currency,Tables!$A$1:$C$14,3,FALSE)*pledged</f>
        <v>1325.28</v>
      </c>
    </row>
    <row r="1883" spans="1:21" ht="43.2" x14ac:dyDescent="0.55000000000000004">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16">
        <f t="shared" si="175"/>
        <v>49.338428571428572</v>
      </c>
      <c r="Q1883" t="str">
        <f t="shared" si="178"/>
        <v>music</v>
      </c>
      <c r="R1883" t="str">
        <f t="shared" si="179"/>
        <v>indie rock</v>
      </c>
      <c r="S1883" s="4">
        <f t="shared" si="176"/>
        <v>42043.152650462958</v>
      </c>
      <c r="T1883" s="4">
        <f t="shared" si="177"/>
        <v>42073.110983796301</v>
      </c>
      <c r="U1883" s="5">
        <f>VLOOKUP(currency,Tables!$A$1:$C$14,3,FALSE)*pledged</f>
        <v>3453.69</v>
      </c>
    </row>
    <row r="1884" spans="1:21" ht="43.2" x14ac:dyDescent="0.55000000000000004">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16">
        <f t="shared" si="175"/>
        <v>41.728395061728392</v>
      </c>
      <c r="Q1884" t="str">
        <f t="shared" si="178"/>
        <v>music</v>
      </c>
      <c r="R1884" t="str">
        <f t="shared" si="179"/>
        <v>indie rock</v>
      </c>
      <c r="S1884" s="4">
        <f t="shared" si="176"/>
        <v>41067.949212962965</v>
      </c>
      <c r="T1884" s="4">
        <f t="shared" si="177"/>
        <v>41100.991666666669</v>
      </c>
      <c r="U1884" s="5">
        <f>VLOOKUP(currency,Tables!$A$1:$C$14,3,FALSE)*pledged</f>
        <v>3380</v>
      </c>
    </row>
    <row r="1885" spans="1:21" ht="43.2" x14ac:dyDescent="0.55000000000000004">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16">
        <f t="shared" si="175"/>
        <v>32.71875</v>
      </c>
      <c r="Q1885" t="str">
        <f t="shared" si="178"/>
        <v>music</v>
      </c>
      <c r="R1885" t="str">
        <f t="shared" si="179"/>
        <v>indie rock</v>
      </c>
      <c r="S1885" s="4">
        <f t="shared" si="176"/>
        <v>40977.948009259257</v>
      </c>
      <c r="T1885" s="4">
        <f t="shared" si="177"/>
        <v>41007.906342592592</v>
      </c>
      <c r="U1885" s="5">
        <f>VLOOKUP(currency,Tables!$A$1:$C$14,3,FALSE)*pledged</f>
        <v>1047</v>
      </c>
    </row>
    <row r="1886" spans="1:21" ht="43.2" x14ac:dyDescent="0.55000000000000004">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16">
        <f t="shared" si="175"/>
        <v>51.96153846153846</v>
      </c>
      <c r="Q1886" t="str">
        <f t="shared" si="178"/>
        <v>music</v>
      </c>
      <c r="R1886" t="str">
        <f t="shared" si="179"/>
        <v>indie rock</v>
      </c>
      <c r="S1886" s="4">
        <f t="shared" si="176"/>
        <v>41205.198321759257</v>
      </c>
      <c r="T1886" s="4">
        <f t="shared" si="177"/>
        <v>41240.5</v>
      </c>
      <c r="U1886" s="5">
        <f>VLOOKUP(currency,Tables!$A$1:$C$14,3,FALSE)*pledged</f>
        <v>1351</v>
      </c>
    </row>
    <row r="1887" spans="1:21" ht="43.2" x14ac:dyDescent="0.55000000000000004">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16">
        <f t="shared" si="175"/>
        <v>50.685714285714283</v>
      </c>
      <c r="Q1887" t="str">
        <f t="shared" si="178"/>
        <v>music</v>
      </c>
      <c r="R1887" t="str">
        <f t="shared" si="179"/>
        <v>indie rock</v>
      </c>
      <c r="S1887" s="4">
        <f t="shared" si="176"/>
        <v>41099.093865740739</v>
      </c>
      <c r="T1887" s="4">
        <f t="shared" si="177"/>
        <v>41131.916666666664</v>
      </c>
      <c r="U1887" s="5">
        <f>VLOOKUP(currency,Tables!$A$1:$C$14,3,FALSE)*pledged</f>
        <v>5322</v>
      </c>
    </row>
    <row r="1888" spans="1:21" ht="43.2" x14ac:dyDescent="0.55000000000000004">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16">
        <f t="shared" si="175"/>
        <v>42.241379310344826</v>
      </c>
      <c r="Q1888" t="str">
        <f t="shared" si="178"/>
        <v>music</v>
      </c>
      <c r="R1888" t="str">
        <f t="shared" si="179"/>
        <v>indie rock</v>
      </c>
      <c r="S1888" s="4">
        <f t="shared" si="176"/>
        <v>41925.906689814816</v>
      </c>
      <c r="T1888" s="4">
        <f t="shared" si="177"/>
        <v>41955.94835648148</v>
      </c>
      <c r="U1888" s="5">
        <f>VLOOKUP(currency,Tables!$A$1:$C$14,3,FALSE)*pledged</f>
        <v>1225</v>
      </c>
    </row>
    <row r="1889" spans="1:21" ht="43.2" x14ac:dyDescent="0.55000000000000004">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16">
        <f t="shared" si="175"/>
        <v>416.875</v>
      </c>
      <c r="Q1889" t="str">
        <f t="shared" si="178"/>
        <v>music</v>
      </c>
      <c r="R1889" t="str">
        <f t="shared" si="179"/>
        <v>indie rock</v>
      </c>
      <c r="S1889" s="4">
        <f t="shared" si="176"/>
        <v>42323.800138888888</v>
      </c>
      <c r="T1889" s="4">
        <f t="shared" si="177"/>
        <v>42341.895833333328</v>
      </c>
      <c r="U1889" s="5">
        <f>VLOOKUP(currency,Tables!$A$1:$C$14,3,FALSE)*pledged</f>
        <v>3935.2999999999997</v>
      </c>
    </row>
    <row r="1890" spans="1:21" ht="43.2" x14ac:dyDescent="0.55000000000000004">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16">
        <f t="shared" si="175"/>
        <v>46.651685393258425</v>
      </c>
      <c r="Q1890" t="str">
        <f t="shared" si="178"/>
        <v>music</v>
      </c>
      <c r="R1890" t="str">
        <f t="shared" si="179"/>
        <v>indie rock</v>
      </c>
      <c r="S1890" s="4">
        <f t="shared" si="176"/>
        <v>40299.239953703705</v>
      </c>
      <c r="T1890" s="4">
        <f t="shared" si="177"/>
        <v>40330.207638888889</v>
      </c>
      <c r="U1890" s="5">
        <f>VLOOKUP(currency,Tables!$A$1:$C$14,3,FALSE)*pledged</f>
        <v>4152</v>
      </c>
    </row>
    <row r="1891" spans="1:21" ht="43.2" x14ac:dyDescent="0.55000000000000004">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16">
        <f t="shared" si="175"/>
        <v>48.454545454545453</v>
      </c>
      <c r="Q1891" t="str">
        <f t="shared" si="178"/>
        <v>music</v>
      </c>
      <c r="R1891" t="str">
        <f t="shared" si="179"/>
        <v>indie rock</v>
      </c>
      <c r="S1891" s="4">
        <f t="shared" si="176"/>
        <v>41299.793356481481</v>
      </c>
      <c r="T1891" s="4">
        <f t="shared" si="177"/>
        <v>41344.751689814817</v>
      </c>
      <c r="U1891" s="5">
        <f>VLOOKUP(currency,Tables!$A$1:$C$14,3,FALSE)*pledged</f>
        <v>2132</v>
      </c>
    </row>
    <row r="1892" spans="1:21" ht="43.2" x14ac:dyDescent="0.55000000000000004">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16">
        <f t="shared" si="175"/>
        <v>70.5289837398374</v>
      </c>
      <c r="Q1892" t="str">
        <f t="shared" si="178"/>
        <v>music</v>
      </c>
      <c r="R1892" t="str">
        <f t="shared" si="179"/>
        <v>indie rock</v>
      </c>
      <c r="S1892" s="4">
        <f t="shared" si="176"/>
        <v>41228.786203703705</v>
      </c>
      <c r="T1892" s="4">
        <f t="shared" si="177"/>
        <v>41258.786203703705</v>
      </c>
      <c r="U1892" s="5">
        <f>VLOOKUP(currency,Tables!$A$1:$C$14,3,FALSE)*pledged</f>
        <v>17350.13</v>
      </c>
    </row>
    <row r="1893" spans="1:21" ht="57.6" x14ac:dyDescent="0.55000000000000004">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16">
        <f t="shared" si="175"/>
        <v>87.958333333333329</v>
      </c>
      <c r="Q1893" t="str">
        <f t="shared" si="178"/>
        <v>music</v>
      </c>
      <c r="R1893" t="str">
        <f t="shared" si="179"/>
        <v>indie rock</v>
      </c>
      <c r="S1893" s="4">
        <f t="shared" si="176"/>
        <v>40335.798078703701</v>
      </c>
      <c r="T1893" s="4">
        <f t="shared" si="177"/>
        <v>40381.25</v>
      </c>
      <c r="U1893" s="5">
        <f>VLOOKUP(currency,Tables!$A$1:$C$14,3,FALSE)*pledged</f>
        <v>10555</v>
      </c>
    </row>
    <row r="1894" spans="1:21" ht="43.2" x14ac:dyDescent="0.55000000000000004">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16">
        <f t="shared" si="175"/>
        <v>26.26923076923077</v>
      </c>
      <c r="Q1894" t="str">
        <f t="shared" si="178"/>
        <v>music</v>
      </c>
      <c r="R1894" t="str">
        <f t="shared" si="179"/>
        <v>indie rock</v>
      </c>
      <c r="S1894" s="4">
        <f t="shared" si="176"/>
        <v>40671.637511574074</v>
      </c>
      <c r="T1894" s="4">
        <f t="shared" si="177"/>
        <v>40701.637511574074</v>
      </c>
      <c r="U1894" s="5">
        <f>VLOOKUP(currency,Tables!$A$1:$C$14,3,FALSE)*pledged</f>
        <v>683</v>
      </c>
    </row>
    <row r="1895" spans="1:21" ht="43.2" x14ac:dyDescent="0.55000000000000004">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74"/>
        <v>1.04</v>
      </c>
      <c r="P1895" s="16">
        <f t="shared" si="175"/>
        <v>57.777777777777779</v>
      </c>
      <c r="Q1895" t="str">
        <f t="shared" si="178"/>
        <v>music</v>
      </c>
      <c r="R1895" t="str">
        <f t="shared" si="179"/>
        <v>indie rock</v>
      </c>
      <c r="S1895" s="4">
        <f t="shared" si="176"/>
        <v>40632.94195601852</v>
      </c>
      <c r="T1895" s="4">
        <f t="shared" si="177"/>
        <v>40649.165972222225</v>
      </c>
      <c r="U1895" s="5">
        <f>VLOOKUP(currency,Tables!$A$1:$C$14,3,FALSE)*pledged</f>
        <v>2600</v>
      </c>
    </row>
    <row r="1896" spans="1:21" ht="28.8" x14ac:dyDescent="0.55000000000000004">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16">
        <f t="shared" si="175"/>
        <v>57.25</v>
      </c>
      <c r="Q1896" t="str">
        <f t="shared" si="178"/>
        <v>music</v>
      </c>
      <c r="R1896" t="str">
        <f t="shared" si="179"/>
        <v>indie rock</v>
      </c>
      <c r="S1896" s="4">
        <f t="shared" si="176"/>
        <v>40920.904895833337</v>
      </c>
      <c r="T1896" s="4">
        <f t="shared" si="177"/>
        <v>40951.904895833337</v>
      </c>
      <c r="U1896" s="5">
        <f>VLOOKUP(currency,Tables!$A$1:$C$14,3,FALSE)*pledged</f>
        <v>1145</v>
      </c>
    </row>
    <row r="1897" spans="1:21" ht="43.2" x14ac:dyDescent="0.55000000000000004">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16">
        <f t="shared" si="175"/>
        <v>196.34042553191489</v>
      </c>
      <c r="Q1897" t="str">
        <f t="shared" si="178"/>
        <v>music</v>
      </c>
      <c r="R1897" t="str">
        <f t="shared" si="179"/>
        <v>indie rock</v>
      </c>
      <c r="S1897" s="4">
        <f t="shared" si="176"/>
        <v>42267.746782407412</v>
      </c>
      <c r="T1897" s="4">
        <f t="shared" si="177"/>
        <v>42297.746782407412</v>
      </c>
      <c r="U1897" s="5">
        <f>VLOOKUP(currency,Tables!$A$1:$C$14,3,FALSE)*pledged</f>
        <v>9228</v>
      </c>
    </row>
    <row r="1898" spans="1:21" ht="43.2" x14ac:dyDescent="0.55000000000000004">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16">
        <f t="shared" si="175"/>
        <v>43</v>
      </c>
      <c r="Q1898" t="str">
        <f t="shared" si="178"/>
        <v>music</v>
      </c>
      <c r="R1898" t="str">
        <f t="shared" si="179"/>
        <v>indie rock</v>
      </c>
      <c r="S1898" s="4">
        <f t="shared" si="176"/>
        <v>40981.710243055553</v>
      </c>
      <c r="T1898" s="4">
        <f t="shared" si="177"/>
        <v>41011.710243055553</v>
      </c>
      <c r="U1898" s="5">
        <f>VLOOKUP(currency,Tables!$A$1:$C$14,3,FALSE)*pledged</f>
        <v>559</v>
      </c>
    </row>
    <row r="1899" spans="1:21" ht="43.2" x14ac:dyDescent="0.55000000000000004">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16">
        <f t="shared" si="175"/>
        <v>35.551912568306008</v>
      </c>
      <c r="Q1899" t="str">
        <f t="shared" si="178"/>
        <v>music</v>
      </c>
      <c r="R1899" t="str">
        <f t="shared" si="179"/>
        <v>indie rock</v>
      </c>
      <c r="S1899" s="4">
        <f t="shared" si="176"/>
        <v>41680.583402777782</v>
      </c>
      <c r="T1899" s="4">
        <f t="shared" si="177"/>
        <v>41702.875</v>
      </c>
      <c r="U1899" s="5">
        <f>VLOOKUP(currency,Tables!$A$1:$C$14,3,FALSE)*pledged</f>
        <v>6506</v>
      </c>
    </row>
    <row r="1900" spans="1:21" ht="43.2" x14ac:dyDescent="0.55000000000000004">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16">
        <f t="shared" si="175"/>
        <v>68.80952380952381</v>
      </c>
      <c r="Q1900" t="str">
        <f t="shared" si="178"/>
        <v>music</v>
      </c>
      <c r="R1900" t="str">
        <f t="shared" si="179"/>
        <v>indie rock</v>
      </c>
      <c r="S1900" s="4">
        <f t="shared" si="176"/>
        <v>42366.192974537036</v>
      </c>
      <c r="T1900" s="4">
        <f t="shared" si="177"/>
        <v>42401.75</v>
      </c>
      <c r="U1900" s="5">
        <f>VLOOKUP(currency,Tables!$A$1:$C$14,3,FALSE)*pledged</f>
        <v>1445</v>
      </c>
    </row>
    <row r="1901" spans="1:21" ht="43.2" x14ac:dyDescent="0.55000000000000004">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16">
        <f t="shared" si="175"/>
        <v>28.571428571428573</v>
      </c>
      <c r="Q1901" t="str">
        <f t="shared" si="178"/>
        <v>music</v>
      </c>
      <c r="R1901" t="str">
        <f t="shared" si="179"/>
        <v>indie rock</v>
      </c>
      <c r="S1901" s="4">
        <f t="shared" si="176"/>
        <v>42058.941736111112</v>
      </c>
      <c r="T1901" s="4">
        <f t="shared" si="177"/>
        <v>42088.90006944444</v>
      </c>
      <c r="U1901" s="5">
        <f>VLOOKUP(currency,Tables!$A$1:$C$14,3,FALSE)*pledged</f>
        <v>1200</v>
      </c>
    </row>
    <row r="1902" spans="1:21" ht="43.2" x14ac:dyDescent="0.55000000000000004">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16">
        <f t="shared" si="175"/>
        <v>50.631666666666668</v>
      </c>
      <c r="Q1902" t="str">
        <f t="shared" si="178"/>
        <v>music</v>
      </c>
      <c r="R1902" t="str">
        <f t="shared" si="179"/>
        <v>indie rock</v>
      </c>
      <c r="S1902" s="4">
        <f t="shared" si="176"/>
        <v>41160.871886574074</v>
      </c>
      <c r="T1902" s="4">
        <f t="shared" si="177"/>
        <v>41188.415972222225</v>
      </c>
      <c r="U1902" s="5">
        <f>VLOOKUP(currency,Tables!$A$1:$C$14,3,FALSE)*pledged</f>
        <v>2734.11</v>
      </c>
    </row>
    <row r="1903" spans="1:21" ht="43.2" x14ac:dyDescent="0.55000000000000004">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16">
        <f t="shared" si="175"/>
        <v>106.8</v>
      </c>
      <c r="Q1903" t="str">
        <f t="shared" si="178"/>
        <v>technology</v>
      </c>
      <c r="R1903" t="str">
        <f t="shared" si="179"/>
        <v>gadgets</v>
      </c>
      <c r="S1903" s="4">
        <f t="shared" si="176"/>
        <v>42116.54315972222</v>
      </c>
      <c r="T1903" s="4">
        <f t="shared" si="177"/>
        <v>42146.541666666672</v>
      </c>
      <c r="U1903" s="5">
        <f>VLOOKUP(currency,Tables!$A$1:$C$14,3,FALSE)*pledged</f>
        <v>3524.4</v>
      </c>
    </row>
    <row r="1904" spans="1:21" ht="43.2" x14ac:dyDescent="0.55000000000000004">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74"/>
        <v>1.2E-2</v>
      </c>
      <c r="P1904" s="16">
        <f t="shared" si="175"/>
        <v>4</v>
      </c>
      <c r="Q1904" t="str">
        <f t="shared" si="178"/>
        <v>technology</v>
      </c>
      <c r="R1904" t="str">
        <f t="shared" si="179"/>
        <v>gadgets</v>
      </c>
      <c r="S1904" s="4">
        <f t="shared" si="176"/>
        <v>42037.789895833332</v>
      </c>
      <c r="T1904" s="4">
        <f t="shared" si="177"/>
        <v>42067.789895833332</v>
      </c>
      <c r="U1904" s="5">
        <f>VLOOKUP(currency,Tables!$A$1:$C$14,3,FALSE)*pledged</f>
        <v>14.16</v>
      </c>
    </row>
    <row r="1905" spans="1:21" ht="43.2" x14ac:dyDescent="0.55000000000000004">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16">
        <f t="shared" si="175"/>
        <v>34.097560975609753</v>
      </c>
      <c r="Q1905" t="str">
        <f t="shared" si="178"/>
        <v>technology</v>
      </c>
      <c r="R1905" t="str">
        <f t="shared" si="179"/>
        <v>gadgets</v>
      </c>
      <c r="S1905" s="4">
        <f t="shared" si="176"/>
        <v>42702.770729166667</v>
      </c>
      <c r="T1905" s="4">
        <f t="shared" si="177"/>
        <v>42762.770729166667</v>
      </c>
      <c r="U1905" s="5">
        <f>VLOOKUP(currency,Tables!$A$1:$C$14,3,FALSE)*pledged</f>
        <v>1398</v>
      </c>
    </row>
    <row r="1906" spans="1:21" ht="43.2" x14ac:dyDescent="0.55000000000000004">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74"/>
        <v>1E-3</v>
      </c>
      <c r="P1906" s="16">
        <f t="shared" si="175"/>
        <v>25</v>
      </c>
      <c r="Q1906" t="str">
        <f t="shared" si="178"/>
        <v>technology</v>
      </c>
      <c r="R1906" t="str">
        <f t="shared" si="179"/>
        <v>gadgets</v>
      </c>
      <c r="S1906" s="4">
        <f t="shared" si="176"/>
        <v>42326.685428240744</v>
      </c>
      <c r="T1906" s="4">
        <f t="shared" si="177"/>
        <v>42371.685428240744</v>
      </c>
      <c r="U1906" s="5">
        <f>VLOOKUP(currency,Tables!$A$1:$C$14,3,FALSE)*pledged</f>
        <v>50</v>
      </c>
    </row>
    <row r="1907" spans="1:21" ht="43.2" x14ac:dyDescent="0.55000000000000004">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16">
        <f t="shared" si="175"/>
        <v>10.5</v>
      </c>
      <c r="Q1907" t="str">
        <f t="shared" si="178"/>
        <v>technology</v>
      </c>
      <c r="R1907" t="str">
        <f t="shared" si="179"/>
        <v>gadgets</v>
      </c>
      <c r="S1907" s="4">
        <f t="shared" si="176"/>
        <v>41859.925856481481</v>
      </c>
      <c r="T1907" s="4">
        <f t="shared" si="177"/>
        <v>41889.925856481481</v>
      </c>
      <c r="U1907" s="5">
        <f>VLOOKUP(currency,Tables!$A$1:$C$14,3,FALSE)*pledged</f>
        <v>42</v>
      </c>
    </row>
    <row r="1908" spans="1:21" ht="43.2" x14ac:dyDescent="0.55000000000000004">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16">
        <f t="shared" si="175"/>
        <v>215.95959595959596</v>
      </c>
      <c r="Q1908" t="str">
        <f t="shared" si="178"/>
        <v>technology</v>
      </c>
      <c r="R1908" t="str">
        <f t="shared" si="179"/>
        <v>gadgets</v>
      </c>
      <c r="S1908" s="4">
        <f t="shared" si="176"/>
        <v>42514.671099537038</v>
      </c>
      <c r="T1908" s="4">
        <f t="shared" si="177"/>
        <v>42544.671099537038</v>
      </c>
      <c r="U1908" s="5">
        <f>VLOOKUP(currency,Tables!$A$1:$C$14,3,FALSE)*pledged</f>
        <v>21380</v>
      </c>
    </row>
    <row r="1909" spans="1:21" ht="43.2" x14ac:dyDescent="0.55000000000000004">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16">
        <f t="shared" si="175"/>
        <v>21.25</v>
      </c>
      <c r="Q1909" t="str">
        <f t="shared" si="178"/>
        <v>technology</v>
      </c>
      <c r="R1909" t="str">
        <f t="shared" si="179"/>
        <v>gadgets</v>
      </c>
      <c r="S1909" s="4">
        <f t="shared" si="176"/>
        <v>41767.587094907409</v>
      </c>
      <c r="T1909" s="4">
        <f t="shared" si="177"/>
        <v>41782.587094907409</v>
      </c>
      <c r="U1909" s="5">
        <f>VLOOKUP(currency,Tables!$A$1:$C$14,3,FALSE)*pledged</f>
        <v>85</v>
      </c>
    </row>
    <row r="1910" spans="1:21" ht="43.2" x14ac:dyDescent="0.55000000000000004">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16">
        <f t="shared" si="175"/>
        <v>108.25</v>
      </c>
      <c r="Q1910" t="str">
        <f t="shared" si="178"/>
        <v>technology</v>
      </c>
      <c r="R1910" t="str">
        <f t="shared" si="179"/>
        <v>gadgets</v>
      </c>
      <c r="S1910" s="4">
        <f t="shared" si="176"/>
        <v>42703.917824074073</v>
      </c>
      <c r="T1910" s="4">
        <f t="shared" si="177"/>
        <v>42733.917824074073</v>
      </c>
      <c r="U1910" s="5">
        <f>VLOOKUP(currency,Tables!$A$1:$C$14,3,FALSE)*pledged</f>
        <v>433</v>
      </c>
    </row>
    <row r="1911" spans="1:21" ht="43.2" x14ac:dyDescent="0.55000000000000004">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16">
        <f t="shared" si="175"/>
        <v>129.97368421052633</v>
      </c>
      <c r="Q1911" t="str">
        <f t="shared" si="178"/>
        <v>technology</v>
      </c>
      <c r="R1911" t="str">
        <f t="shared" si="179"/>
        <v>gadgets</v>
      </c>
      <c r="S1911" s="4">
        <f t="shared" si="176"/>
        <v>41905.429155092592</v>
      </c>
      <c r="T1911" s="4">
        <f t="shared" si="177"/>
        <v>41935.429155092592</v>
      </c>
      <c r="U1911" s="5">
        <f>VLOOKUP(currency,Tables!$A$1:$C$14,3,FALSE)*pledged</f>
        <v>4939</v>
      </c>
    </row>
    <row r="1912" spans="1:21" ht="43.2" x14ac:dyDescent="0.55000000000000004">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16">
        <f t="shared" si="175"/>
        <v>117.49473684210527</v>
      </c>
      <c r="Q1912" t="str">
        <f t="shared" si="178"/>
        <v>technology</v>
      </c>
      <c r="R1912" t="str">
        <f t="shared" si="179"/>
        <v>gadgets</v>
      </c>
      <c r="S1912" s="4">
        <f t="shared" si="176"/>
        <v>42264.963159722218</v>
      </c>
      <c r="T1912" s="4">
        <f t="shared" si="177"/>
        <v>42308.947916666672</v>
      </c>
      <c r="U1912" s="5">
        <f>VLOOKUP(currency,Tables!$A$1:$C$14,3,FALSE)*pledged</f>
        <v>39513.479999999996</v>
      </c>
    </row>
    <row r="1913" spans="1:21" ht="43.2" x14ac:dyDescent="0.55000000000000004">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16">
        <f t="shared" si="175"/>
        <v>10</v>
      </c>
      <c r="Q1913" t="str">
        <f t="shared" si="178"/>
        <v>technology</v>
      </c>
      <c r="R1913" t="str">
        <f t="shared" si="179"/>
        <v>gadgets</v>
      </c>
      <c r="S1913" s="4">
        <f t="shared" si="176"/>
        <v>41830.033958333333</v>
      </c>
      <c r="T1913" s="4">
        <f t="shared" si="177"/>
        <v>41860.033958333333</v>
      </c>
      <c r="U1913" s="5">
        <f>VLOOKUP(currency,Tables!$A$1:$C$14,3,FALSE)*pledged</f>
        <v>6.7</v>
      </c>
    </row>
    <row r="1914" spans="1:21" ht="43.2" x14ac:dyDescent="0.55000000000000004">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16">
        <f t="shared" si="175"/>
        <v>70.595238095238102</v>
      </c>
      <c r="Q1914" t="str">
        <f t="shared" si="178"/>
        <v>technology</v>
      </c>
      <c r="R1914" t="str">
        <f t="shared" si="179"/>
        <v>gadgets</v>
      </c>
      <c r="S1914" s="4">
        <f t="shared" si="176"/>
        <v>42129.226388888885</v>
      </c>
      <c r="T1914" s="4">
        <f t="shared" si="177"/>
        <v>42159.226388888885</v>
      </c>
      <c r="U1914" s="5">
        <f>VLOOKUP(currency,Tables!$A$1:$C$14,3,FALSE)*pledged</f>
        <v>2965</v>
      </c>
    </row>
    <row r="1915" spans="1:21" ht="28.8" x14ac:dyDescent="0.55000000000000004">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16">
        <f t="shared" si="175"/>
        <v>24.5</v>
      </c>
      <c r="Q1915" t="str">
        <f t="shared" si="178"/>
        <v>technology</v>
      </c>
      <c r="R1915" t="str">
        <f t="shared" si="179"/>
        <v>gadgets</v>
      </c>
      <c r="S1915" s="4">
        <f t="shared" si="176"/>
        <v>41890.511319444442</v>
      </c>
      <c r="T1915" s="4">
        <f t="shared" si="177"/>
        <v>41920.511319444442</v>
      </c>
      <c r="U1915" s="5">
        <f>VLOOKUP(currency,Tables!$A$1:$C$14,3,FALSE)*pledged</f>
        <v>840.84</v>
      </c>
    </row>
    <row r="1916" spans="1:21" ht="43.2" x14ac:dyDescent="0.55000000000000004">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16">
        <f t="shared" si="175"/>
        <v>30</v>
      </c>
      <c r="Q1916" t="str">
        <f t="shared" si="178"/>
        <v>technology</v>
      </c>
      <c r="R1916" t="str">
        <f t="shared" si="179"/>
        <v>gadgets</v>
      </c>
      <c r="S1916" s="4">
        <f t="shared" si="176"/>
        <v>41929.174456018518</v>
      </c>
      <c r="T1916" s="4">
        <f t="shared" si="177"/>
        <v>41944.165972222225</v>
      </c>
      <c r="U1916" s="5">
        <f>VLOOKUP(currency,Tables!$A$1:$C$14,3,FALSE)*pledged</f>
        <v>60</v>
      </c>
    </row>
    <row r="1917" spans="1:21" ht="43.2" x14ac:dyDescent="0.55000000000000004">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74"/>
        <v>1.6E-2</v>
      </c>
      <c r="P1917" s="16">
        <f t="shared" si="175"/>
        <v>2</v>
      </c>
      <c r="Q1917" t="str">
        <f t="shared" si="178"/>
        <v>technology</v>
      </c>
      <c r="R1917" t="str">
        <f t="shared" si="179"/>
        <v>gadgets</v>
      </c>
      <c r="S1917" s="4">
        <f t="shared" si="176"/>
        <v>41864.04886574074</v>
      </c>
      <c r="T1917" s="4">
        <f t="shared" si="177"/>
        <v>41884.04886574074</v>
      </c>
      <c r="U1917" s="5">
        <f>VLOOKUP(currency,Tables!$A$1:$C$14,3,FALSE)*pledged</f>
        <v>8</v>
      </c>
    </row>
    <row r="1918" spans="1:21" ht="28.8" x14ac:dyDescent="0.55000000000000004">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16">
        <f t="shared" si="175"/>
        <v>17</v>
      </c>
      <c r="Q1918" t="str">
        <f t="shared" si="178"/>
        <v>technology</v>
      </c>
      <c r="R1918" t="str">
        <f t="shared" si="179"/>
        <v>gadgets</v>
      </c>
      <c r="S1918" s="4">
        <f t="shared" si="176"/>
        <v>42656.717303240745</v>
      </c>
      <c r="T1918" s="4">
        <f t="shared" si="177"/>
        <v>42681.758969907409</v>
      </c>
      <c r="U1918" s="5">
        <f>VLOOKUP(currency,Tables!$A$1:$C$14,3,FALSE)*pledged</f>
        <v>102</v>
      </c>
    </row>
    <row r="1919" spans="1:21" ht="28.8" x14ac:dyDescent="0.55000000000000004">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16">
        <f t="shared" si="175"/>
        <v>2928.9285714285716</v>
      </c>
      <c r="Q1919" t="str">
        <f t="shared" si="178"/>
        <v>technology</v>
      </c>
      <c r="R1919" t="str">
        <f t="shared" si="179"/>
        <v>gadgets</v>
      </c>
      <c r="S1919" s="4">
        <f t="shared" si="176"/>
        <v>42746.270057870366</v>
      </c>
      <c r="T1919" s="4">
        <f t="shared" si="177"/>
        <v>42776.270057870366</v>
      </c>
      <c r="U1919" s="5">
        <f>VLOOKUP(currency,Tables!$A$1:$C$14,3,FALSE)*pledged</f>
        <v>26653.25</v>
      </c>
    </row>
    <row r="1920" spans="1:21" ht="43.2" x14ac:dyDescent="0.55000000000000004">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16">
        <f t="shared" si="175"/>
        <v>28.888888888888889</v>
      </c>
      <c r="Q1920" t="str">
        <f t="shared" si="178"/>
        <v>technology</v>
      </c>
      <c r="R1920" t="str">
        <f t="shared" si="179"/>
        <v>gadgets</v>
      </c>
      <c r="S1920" s="4">
        <f t="shared" si="176"/>
        <v>41828.789942129632</v>
      </c>
      <c r="T1920" s="4">
        <f t="shared" si="177"/>
        <v>41863.789942129632</v>
      </c>
      <c r="U1920" s="5">
        <f>VLOOKUP(currency,Tables!$A$1:$C$14,3,FALSE)*pledged</f>
        <v>260</v>
      </c>
    </row>
    <row r="1921" spans="1:21" ht="43.2" x14ac:dyDescent="0.55000000000000004">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16">
        <f t="shared" si="175"/>
        <v>29.625</v>
      </c>
      <c r="Q1921" t="str">
        <f t="shared" si="178"/>
        <v>technology</v>
      </c>
      <c r="R1921" t="str">
        <f t="shared" si="179"/>
        <v>gadgets</v>
      </c>
      <c r="S1921" s="4">
        <f t="shared" si="176"/>
        <v>42113.875567129624</v>
      </c>
      <c r="T1921" s="4">
        <f t="shared" si="177"/>
        <v>42143.875567129624</v>
      </c>
      <c r="U1921" s="5">
        <f>VLOOKUP(currency,Tables!$A$1:$C$14,3,FALSE)*pledged</f>
        <v>237</v>
      </c>
    </row>
    <row r="1922" spans="1:21" ht="43.2" x14ac:dyDescent="0.55000000000000004">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ref="O1922:O1985" si="180">pledged/goal</f>
        <v>0.43030000000000002</v>
      </c>
      <c r="P1922" s="16">
        <f t="shared" ref="P1922:P1985" si="181">IF(pledged=0,0,pledged/backers_count)</f>
        <v>40.980952380952381</v>
      </c>
      <c r="Q1922" t="str">
        <f t="shared" si="178"/>
        <v>technology</v>
      </c>
      <c r="R1922" t="str">
        <f t="shared" si="179"/>
        <v>gadgets</v>
      </c>
      <c r="S1922" s="4">
        <f t="shared" ref="S1922:S1985" si="182">(((Unix_launched_date/60)/60)/24)+DATE(1970,1,1)</f>
        <v>42270.875706018516</v>
      </c>
      <c r="T1922" s="4">
        <f t="shared" ref="T1922:T1985" si="183">(((Unix_deadline/60)/60)/24)+DATE(1970,1,1)</f>
        <v>42298.958333333328</v>
      </c>
      <c r="U1922" s="5">
        <f>VLOOKUP(currency,Tables!$A$1:$C$14,3,FALSE)*pledged</f>
        <v>5679.96</v>
      </c>
    </row>
    <row r="1923" spans="1:21" ht="28.8" x14ac:dyDescent="0.55000000000000004">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si="180"/>
        <v>1.3680000000000001</v>
      </c>
      <c r="P1923" s="16">
        <f t="shared" si="181"/>
        <v>54</v>
      </c>
      <c r="Q1923" t="str">
        <f t="shared" ref="Q1923:Q1986" si="184">LEFT(N1923,FIND("/",N1923,1)-1)</f>
        <v>music</v>
      </c>
      <c r="R1923" t="str">
        <f t="shared" ref="R1923:R1986" si="185">RIGHT(N1923,(LEN(N1923)-FIND("/",N1923,1)))</f>
        <v>indie rock</v>
      </c>
      <c r="S1923" s="4">
        <f t="shared" si="182"/>
        <v>41074.221562500003</v>
      </c>
      <c r="T1923" s="4">
        <f t="shared" si="183"/>
        <v>41104.221562500003</v>
      </c>
      <c r="U1923" s="5">
        <f>VLOOKUP(currency,Tables!$A$1:$C$14,3,FALSE)*pledged</f>
        <v>2052</v>
      </c>
    </row>
    <row r="1924" spans="1:21" ht="43.2" x14ac:dyDescent="0.55000000000000004">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16">
        <f t="shared" si="181"/>
        <v>36.109375</v>
      </c>
      <c r="Q1924" t="str">
        <f t="shared" si="184"/>
        <v>music</v>
      </c>
      <c r="R1924" t="str">
        <f t="shared" si="185"/>
        <v>indie rock</v>
      </c>
      <c r="S1924" s="4">
        <f t="shared" si="182"/>
        <v>41590.255868055552</v>
      </c>
      <c r="T1924" s="4">
        <f t="shared" si="183"/>
        <v>41620.255868055552</v>
      </c>
      <c r="U1924" s="5">
        <f>VLOOKUP(currency,Tables!$A$1:$C$14,3,FALSE)*pledged</f>
        <v>2311</v>
      </c>
    </row>
    <row r="1925" spans="1:21" ht="43.2" x14ac:dyDescent="0.55000000000000004">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16">
        <f t="shared" si="181"/>
        <v>23.153846153846153</v>
      </c>
      <c r="Q1925" t="str">
        <f t="shared" si="184"/>
        <v>music</v>
      </c>
      <c r="R1925" t="str">
        <f t="shared" si="185"/>
        <v>indie rock</v>
      </c>
      <c r="S1925" s="4">
        <f t="shared" si="182"/>
        <v>40772.848749999997</v>
      </c>
      <c r="T1925" s="4">
        <f t="shared" si="183"/>
        <v>40813.207638888889</v>
      </c>
      <c r="U1925" s="5">
        <f>VLOOKUP(currency,Tables!$A$1:$C$14,3,FALSE)*pledged</f>
        <v>301</v>
      </c>
    </row>
    <row r="1926" spans="1:21" ht="57.6" x14ac:dyDescent="0.55000000000000004">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16">
        <f t="shared" si="181"/>
        <v>104</v>
      </c>
      <c r="Q1926" t="str">
        <f t="shared" si="184"/>
        <v>music</v>
      </c>
      <c r="R1926" t="str">
        <f t="shared" si="185"/>
        <v>indie rock</v>
      </c>
      <c r="S1926" s="4">
        <f t="shared" si="182"/>
        <v>41626.761053240742</v>
      </c>
      <c r="T1926" s="4">
        <f t="shared" si="183"/>
        <v>41654.814583333333</v>
      </c>
      <c r="U1926" s="5">
        <f>VLOOKUP(currency,Tables!$A$1:$C$14,3,FALSE)*pledged</f>
        <v>3432</v>
      </c>
    </row>
    <row r="1927" spans="1:21" ht="28.8" x14ac:dyDescent="0.55000000000000004">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16">
        <f t="shared" si="181"/>
        <v>31.826923076923077</v>
      </c>
      <c r="Q1927" t="str">
        <f t="shared" si="184"/>
        <v>music</v>
      </c>
      <c r="R1927" t="str">
        <f t="shared" si="185"/>
        <v>indie rock</v>
      </c>
      <c r="S1927" s="4">
        <f t="shared" si="182"/>
        <v>41535.90148148148</v>
      </c>
      <c r="T1927" s="4">
        <f t="shared" si="183"/>
        <v>41558</v>
      </c>
      <c r="U1927" s="5">
        <f>VLOOKUP(currency,Tables!$A$1:$C$14,3,FALSE)*pledged</f>
        <v>1655</v>
      </c>
    </row>
    <row r="1928" spans="1:21" ht="57.6" x14ac:dyDescent="0.55000000000000004">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16">
        <f t="shared" si="181"/>
        <v>27.3896261682243</v>
      </c>
      <c r="Q1928" t="str">
        <f t="shared" si="184"/>
        <v>music</v>
      </c>
      <c r="R1928" t="str">
        <f t="shared" si="185"/>
        <v>indie rock</v>
      </c>
      <c r="S1928" s="4">
        <f t="shared" si="182"/>
        <v>40456.954351851848</v>
      </c>
      <c r="T1928" s="4">
        <f t="shared" si="183"/>
        <v>40484.018055555556</v>
      </c>
      <c r="U1928" s="5">
        <f>VLOOKUP(currency,Tables!$A$1:$C$14,3,FALSE)*pledged</f>
        <v>2930.69</v>
      </c>
    </row>
    <row r="1929" spans="1:21" x14ac:dyDescent="0.55000000000000004">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16">
        <f t="shared" si="181"/>
        <v>56.363636363636367</v>
      </c>
      <c r="Q1929" t="str">
        <f t="shared" si="184"/>
        <v>music</v>
      </c>
      <c r="R1929" t="str">
        <f t="shared" si="185"/>
        <v>indie rock</v>
      </c>
      <c r="S1929" s="4">
        <f t="shared" si="182"/>
        <v>40960.861562500002</v>
      </c>
      <c r="T1929" s="4">
        <f t="shared" si="183"/>
        <v>40976.207638888889</v>
      </c>
      <c r="U1929" s="5">
        <f>VLOOKUP(currency,Tables!$A$1:$C$14,3,FALSE)*pledged</f>
        <v>620</v>
      </c>
    </row>
    <row r="1930" spans="1:21" ht="28.8" x14ac:dyDescent="0.55000000000000004">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16">
        <f t="shared" si="181"/>
        <v>77.352941176470594</v>
      </c>
      <c r="Q1930" t="str">
        <f t="shared" si="184"/>
        <v>music</v>
      </c>
      <c r="R1930" t="str">
        <f t="shared" si="185"/>
        <v>indie rock</v>
      </c>
      <c r="S1930" s="4">
        <f t="shared" si="182"/>
        <v>41371.648078703707</v>
      </c>
      <c r="T1930" s="4">
        <f t="shared" si="183"/>
        <v>41401.648078703707</v>
      </c>
      <c r="U1930" s="5">
        <f>VLOOKUP(currency,Tables!$A$1:$C$14,3,FALSE)*pledged</f>
        <v>2630</v>
      </c>
    </row>
    <row r="1931" spans="1:21" ht="43.2" x14ac:dyDescent="0.55000000000000004">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16">
        <f t="shared" si="181"/>
        <v>42.8</v>
      </c>
      <c r="Q1931" t="str">
        <f t="shared" si="184"/>
        <v>music</v>
      </c>
      <c r="R1931" t="str">
        <f t="shared" si="185"/>
        <v>indie rock</v>
      </c>
      <c r="S1931" s="4">
        <f t="shared" si="182"/>
        <v>40687.021597222221</v>
      </c>
      <c r="T1931" s="4">
        <f t="shared" si="183"/>
        <v>40729.021597222221</v>
      </c>
      <c r="U1931" s="5">
        <f>VLOOKUP(currency,Tables!$A$1:$C$14,3,FALSE)*pledged</f>
        <v>3210</v>
      </c>
    </row>
    <row r="1932" spans="1:21" ht="28.8" x14ac:dyDescent="0.55000000000000004">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80"/>
        <v>1.27</v>
      </c>
      <c r="P1932" s="16">
        <f t="shared" si="181"/>
        <v>48.846153846153847</v>
      </c>
      <c r="Q1932" t="str">
        <f t="shared" si="184"/>
        <v>music</v>
      </c>
      <c r="R1932" t="str">
        <f t="shared" si="185"/>
        <v>indie rock</v>
      </c>
      <c r="S1932" s="4">
        <f t="shared" si="182"/>
        <v>41402.558819444443</v>
      </c>
      <c r="T1932" s="4">
        <f t="shared" si="183"/>
        <v>41462.558819444443</v>
      </c>
      <c r="U1932" s="5">
        <f>VLOOKUP(currency,Tables!$A$1:$C$14,3,FALSE)*pledged</f>
        <v>1270</v>
      </c>
    </row>
    <row r="1933" spans="1:21" ht="28.8" x14ac:dyDescent="0.55000000000000004">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16">
        <f t="shared" si="181"/>
        <v>48.240400000000001</v>
      </c>
      <c r="Q1933" t="str">
        <f t="shared" si="184"/>
        <v>music</v>
      </c>
      <c r="R1933" t="str">
        <f t="shared" si="185"/>
        <v>indie rock</v>
      </c>
      <c r="S1933" s="4">
        <f t="shared" si="182"/>
        <v>41037.892465277779</v>
      </c>
      <c r="T1933" s="4">
        <f t="shared" si="183"/>
        <v>41051.145833333336</v>
      </c>
      <c r="U1933" s="5">
        <f>VLOOKUP(currency,Tables!$A$1:$C$14,3,FALSE)*pledged</f>
        <v>2412.02</v>
      </c>
    </row>
    <row r="1934" spans="1:21" ht="43.2" x14ac:dyDescent="0.55000000000000004">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16">
        <f t="shared" si="181"/>
        <v>70.212500000000006</v>
      </c>
      <c r="Q1934" t="str">
        <f t="shared" si="184"/>
        <v>music</v>
      </c>
      <c r="R1934" t="str">
        <f t="shared" si="185"/>
        <v>indie rock</v>
      </c>
      <c r="S1934" s="4">
        <f t="shared" si="182"/>
        <v>40911.809872685182</v>
      </c>
      <c r="T1934" s="4">
        <f t="shared" si="183"/>
        <v>40932.809872685182</v>
      </c>
      <c r="U1934" s="5">
        <f>VLOOKUP(currency,Tables!$A$1:$C$14,3,FALSE)*pledged</f>
        <v>5617</v>
      </c>
    </row>
    <row r="1935" spans="1:21" ht="43.2" x14ac:dyDescent="0.55000000000000004">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16">
        <f t="shared" si="181"/>
        <v>94.054545454545448</v>
      </c>
      <c r="Q1935" t="str">
        <f t="shared" si="184"/>
        <v>music</v>
      </c>
      <c r="R1935" t="str">
        <f t="shared" si="185"/>
        <v>indie rock</v>
      </c>
      <c r="S1935" s="4">
        <f t="shared" si="182"/>
        <v>41879.130868055552</v>
      </c>
      <c r="T1935" s="4">
        <f t="shared" si="183"/>
        <v>41909.130868055552</v>
      </c>
      <c r="U1935" s="5">
        <f>VLOOKUP(currency,Tables!$A$1:$C$14,3,FALSE)*pledged</f>
        <v>10346</v>
      </c>
    </row>
    <row r="1936" spans="1:21" ht="43.2" x14ac:dyDescent="0.55000000000000004">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16">
        <f t="shared" si="181"/>
        <v>80.272727272727266</v>
      </c>
      <c r="Q1936" t="str">
        <f t="shared" si="184"/>
        <v>music</v>
      </c>
      <c r="R1936" t="str">
        <f t="shared" si="185"/>
        <v>indie rock</v>
      </c>
      <c r="S1936" s="4">
        <f t="shared" si="182"/>
        <v>40865.867141203707</v>
      </c>
      <c r="T1936" s="4">
        <f t="shared" si="183"/>
        <v>40902.208333333336</v>
      </c>
      <c r="U1936" s="5">
        <f>VLOOKUP(currency,Tables!$A$1:$C$14,3,FALSE)*pledged</f>
        <v>6181</v>
      </c>
    </row>
    <row r="1937" spans="1:21" ht="43.2" x14ac:dyDescent="0.55000000000000004">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16">
        <f t="shared" si="181"/>
        <v>54.2</v>
      </c>
      <c r="Q1937" t="str">
        <f t="shared" si="184"/>
        <v>music</v>
      </c>
      <c r="R1937" t="str">
        <f t="shared" si="185"/>
        <v>indie rock</v>
      </c>
      <c r="S1937" s="4">
        <f t="shared" si="182"/>
        <v>41773.932534722226</v>
      </c>
      <c r="T1937" s="4">
        <f t="shared" si="183"/>
        <v>41811.207638888889</v>
      </c>
      <c r="U1937" s="5">
        <f>VLOOKUP(currency,Tables!$A$1:$C$14,3,FALSE)*pledged</f>
        <v>2710</v>
      </c>
    </row>
    <row r="1938" spans="1:21" ht="43.2" x14ac:dyDescent="0.55000000000000004">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16">
        <f t="shared" si="181"/>
        <v>60.26903448275862</v>
      </c>
      <c r="Q1938" t="str">
        <f t="shared" si="184"/>
        <v>music</v>
      </c>
      <c r="R1938" t="str">
        <f t="shared" si="185"/>
        <v>indie rock</v>
      </c>
      <c r="S1938" s="4">
        <f t="shared" si="182"/>
        <v>40852.889699074076</v>
      </c>
      <c r="T1938" s="4">
        <f t="shared" si="183"/>
        <v>40883.249305555553</v>
      </c>
      <c r="U1938" s="5">
        <f>VLOOKUP(currency,Tables!$A$1:$C$14,3,FALSE)*pledged</f>
        <v>8739.01</v>
      </c>
    </row>
    <row r="1939" spans="1:21" ht="43.2" x14ac:dyDescent="0.55000000000000004">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16">
        <f t="shared" si="181"/>
        <v>38.740344827586206</v>
      </c>
      <c r="Q1939" t="str">
        <f t="shared" si="184"/>
        <v>music</v>
      </c>
      <c r="R1939" t="str">
        <f t="shared" si="185"/>
        <v>indie rock</v>
      </c>
      <c r="S1939" s="4">
        <f t="shared" si="182"/>
        <v>41059.118993055556</v>
      </c>
      <c r="T1939" s="4">
        <f t="shared" si="183"/>
        <v>41075.165972222225</v>
      </c>
      <c r="U1939" s="5">
        <f>VLOOKUP(currency,Tables!$A$1:$C$14,3,FALSE)*pledged</f>
        <v>1123.47</v>
      </c>
    </row>
    <row r="1940" spans="1:21" ht="43.2" x14ac:dyDescent="0.55000000000000004">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16">
        <f t="shared" si="181"/>
        <v>152.54385964912279</v>
      </c>
      <c r="Q1940" t="str">
        <f t="shared" si="184"/>
        <v>music</v>
      </c>
      <c r="R1940" t="str">
        <f t="shared" si="185"/>
        <v>indie rock</v>
      </c>
      <c r="S1940" s="4">
        <f t="shared" si="182"/>
        <v>41426.259618055556</v>
      </c>
      <c r="T1940" s="4">
        <f t="shared" si="183"/>
        <v>41457.208333333336</v>
      </c>
      <c r="U1940" s="5">
        <f>VLOOKUP(currency,Tables!$A$1:$C$14,3,FALSE)*pledged</f>
        <v>17390</v>
      </c>
    </row>
    <row r="1941" spans="1:21" ht="43.2" x14ac:dyDescent="0.55000000000000004">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16">
        <f t="shared" si="181"/>
        <v>115.3125</v>
      </c>
      <c r="Q1941" t="str">
        <f t="shared" si="184"/>
        <v>music</v>
      </c>
      <c r="R1941" t="str">
        <f t="shared" si="185"/>
        <v>indie rock</v>
      </c>
      <c r="S1941" s="4">
        <f t="shared" si="182"/>
        <v>41313.985046296293</v>
      </c>
      <c r="T1941" s="4">
        <f t="shared" si="183"/>
        <v>41343.943379629629</v>
      </c>
      <c r="U1941" s="5">
        <f>VLOOKUP(currency,Tables!$A$1:$C$14,3,FALSE)*pledged</f>
        <v>11070</v>
      </c>
    </row>
    <row r="1942" spans="1:21" ht="43.2" x14ac:dyDescent="0.55000000000000004">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16">
        <f t="shared" si="181"/>
        <v>35.838709677419352</v>
      </c>
      <c r="Q1942" t="str">
        <f t="shared" si="184"/>
        <v>music</v>
      </c>
      <c r="R1942" t="str">
        <f t="shared" si="185"/>
        <v>indie rock</v>
      </c>
      <c r="S1942" s="4">
        <f t="shared" si="182"/>
        <v>40670.507326388892</v>
      </c>
      <c r="T1942" s="4">
        <f t="shared" si="183"/>
        <v>40709.165972222225</v>
      </c>
      <c r="U1942" s="5">
        <f>VLOOKUP(currency,Tables!$A$1:$C$14,3,FALSE)*pledged</f>
        <v>1111</v>
      </c>
    </row>
    <row r="1943" spans="1:21" ht="43.2" x14ac:dyDescent="0.55000000000000004">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16">
        <f t="shared" si="181"/>
        <v>64.570118779438872</v>
      </c>
      <c r="Q1943" t="str">
        <f t="shared" si="184"/>
        <v>technology</v>
      </c>
      <c r="R1943" t="str">
        <f t="shared" si="185"/>
        <v>hardware</v>
      </c>
      <c r="S1943" s="4">
        <f t="shared" si="182"/>
        <v>41744.290868055556</v>
      </c>
      <c r="T1943" s="4">
        <f t="shared" si="183"/>
        <v>41774.290868055556</v>
      </c>
      <c r="U1943" s="5">
        <f>VLOOKUP(currency,Tables!$A$1:$C$14,3,FALSE)*pledged</f>
        <v>315295.89</v>
      </c>
    </row>
    <row r="1944" spans="1:21" ht="43.2" x14ac:dyDescent="0.55000000000000004">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16">
        <f t="shared" si="181"/>
        <v>87.436000000000007</v>
      </c>
      <c r="Q1944" t="str">
        <f t="shared" si="184"/>
        <v>technology</v>
      </c>
      <c r="R1944" t="str">
        <f t="shared" si="185"/>
        <v>hardware</v>
      </c>
      <c r="S1944" s="4">
        <f t="shared" si="182"/>
        <v>40638.828009259261</v>
      </c>
      <c r="T1944" s="4">
        <f t="shared" si="183"/>
        <v>40728.828009259261</v>
      </c>
      <c r="U1944" s="5">
        <f>VLOOKUP(currency,Tables!$A$1:$C$14,3,FALSE)*pledged</f>
        <v>8306.42</v>
      </c>
    </row>
    <row r="1945" spans="1:21" ht="43.2" x14ac:dyDescent="0.55000000000000004">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16">
        <f t="shared" si="181"/>
        <v>68.815577078288939</v>
      </c>
      <c r="Q1945" t="str">
        <f t="shared" si="184"/>
        <v>technology</v>
      </c>
      <c r="R1945" t="str">
        <f t="shared" si="185"/>
        <v>hardware</v>
      </c>
      <c r="S1945" s="4">
        <f t="shared" si="182"/>
        <v>42548.269861111112</v>
      </c>
      <c r="T1945" s="4">
        <f t="shared" si="183"/>
        <v>42593.269861111112</v>
      </c>
      <c r="U1945" s="5">
        <f>VLOOKUP(currency,Tables!$A$1:$C$14,3,FALSE)*pledged</f>
        <v>170525</v>
      </c>
    </row>
    <row r="1946" spans="1:21" ht="43.2" x14ac:dyDescent="0.55000000000000004">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16">
        <f t="shared" si="181"/>
        <v>176.200223588597</v>
      </c>
      <c r="Q1946" t="str">
        <f t="shared" si="184"/>
        <v>technology</v>
      </c>
      <c r="R1946" t="str">
        <f t="shared" si="185"/>
        <v>hardware</v>
      </c>
      <c r="S1946" s="4">
        <f t="shared" si="182"/>
        <v>41730.584374999999</v>
      </c>
      <c r="T1946" s="4">
        <f t="shared" si="183"/>
        <v>41760.584374999999</v>
      </c>
      <c r="U1946" s="5">
        <f>VLOOKUP(currency,Tables!$A$1:$C$14,3,FALSE)*pledged</f>
        <v>315222.2</v>
      </c>
    </row>
    <row r="1947" spans="1:21" ht="43.2" x14ac:dyDescent="0.55000000000000004">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16">
        <f t="shared" si="181"/>
        <v>511.79117647058825</v>
      </c>
      <c r="Q1947" t="str">
        <f t="shared" si="184"/>
        <v>technology</v>
      </c>
      <c r="R1947" t="str">
        <f t="shared" si="185"/>
        <v>hardware</v>
      </c>
      <c r="S1947" s="4">
        <f t="shared" si="182"/>
        <v>42157.251828703709</v>
      </c>
      <c r="T1947" s="4">
        <f t="shared" si="183"/>
        <v>42197.251828703709</v>
      </c>
      <c r="U1947" s="5">
        <f>VLOOKUP(currency,Tables!$A$1:$C$14,3,FALSE)*pledged</f>
        <v>410661.24</v>
      </c>
    </row>
    <row r="1948" spans="1:21" ht="43.2" x14ac:dyDescent="0.55000000000000004">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16">
        <f t="shared" si="181"/>
        <v>160.44285714285715</v>
      </c>
      <c r="Q1948" t="str">
        <f t="shared" si="184"/>
        <v>technology</v>
      </c>
      <c r="R1948" t="str">
        <f t="shared" si="185"/>
        <v>hardware</v>
      </c>
      <c r="S1948" s="4">
        <f t="shared" si="182"/>
        <v>41689.150011574071</v>
      </c>
      <c r="T1948" s="4">
        <f t="shared" si="183"/>
        <v>41749.108344907407</v>
      </c>
      <c r="U1948" s="5">
        <f>VLOOKUP(currency,Tables!$A$1:$C$14,3,FALSE)*pledged</f>
        <v>11231</v>
      </c>
    </row>
    <row r="1949" spans="1:21" ht="57.6" x14ac:dyDescent="0.55000000000000004">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16">
        <f t="shared" si="181"/>
        <v>35.003043478260871</v>
      </c>
      <c r="Q1949" t="str">
        <f t="shared" si="184"/>
        <v>technology</v>
      </c>
      <c r="R1949" t="str">
        <f t="shared" si="185"/>
        <v>hardware</v>
      </c>
      <c r="S1949" s="4">
        <f t="shared" si="182"/>
        <v>40102.918055555558</v>
      </c>
      <c r="T1949" s="4">
        <f t="shared" si="183"/>
        <v>40140.249305555553</v>
      </c>
      <c r="U1949" s="5">
        <f>VLOOKUP(currency,Tables!$A$1:$C$14,3,FALSE)*pledged</f>
        <v>805.07</v>
      </c>
    </row>
    <row r="1950" spans="1:21" ht="28.8" x14ac:dyDescent="0.55000000000000004">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16">
        <f t="shared" si="181"/>
        <v>188.50671378091872</v>
      </c>
      <c r="Q1950" t="str">
        <f t="shared" si="184"/>
        <v>technology</v>
      </c>
      <c r="R1950" t="str">
        <f t="shared" si="185"/>
        <v>hardware</v>
      </c>
      <c r="S1950" s="4">
        <f t="shared" si="182"/>
        <v>42473.604270833333</v>
      </c>
      <c r="T1950" s="4">
        <f t="shared" si="183"/>
        <v>42527.709722222222</v>
      </c>
      <c r="U1950" s="5">
        <f>VLOOKUP(currency,Tables!$A$1:$C$14,3,FALSE)*pledged</f>
        <v>800211</v>
      </c>
    </row>
    <row r="1951" spans="1:21" ht="43.2" x14ac:dyDescent="0.55000000000000004">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16">
        <f t="shared" si="181"/>
        <v>56.204984093319197</v>
      </c>
      <c r="Q1951" t="str">
        <f t="shared" si="184"/>
        <v>technology</v>
      </c>
      <c r="R1951" t="str">
        <f t="shared" si="185"/>
        <v>hardware</v>
      </c>
      <c r="S1951" s="4">
        <f t="shared" si="182"/>
        <v>41800.423043981478</v>
      </c>
      <c r="T1951" s="4">
        <f t="shared" si="183"/>
        <v>41830.423043981478</v>
      </c>
      <c r="U1951" s="5">
        <f>VLOOKUP(currency,Tables!$A$1:$C$14,3,FALSE)*pledged</f>
        <v>69961.716</v>
      </c>
    </row>
    <row r="1952" spans="1:21" ht="43.2" x14ac:dyDescent="0.55000000000000004">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16">
        <f t="shared" si="181"/>
        <v>51.3054157782516</v>
      </c>
      <c r="Q1952" t="str">
        <f t="shared" si="184"/>
        <v>technology</v>
      </c>
      <c r="R1952" t="str">
        <f t="shared" si="185"/>
        <v>hardware</v>
      </c>
      <c r="S1952" s="4">
        <f t="shared" si="182"/>
        <v>40624.181400462963</v>
      </c>
      <c r="T1952" s="4">
        <f t="shared" si="183"/>
        <v>40655.181400462963</v>
      </c>
      <c r="U1952" s="5">
        <f>VLOOKUP(currency,Tables!$A$1:$C$14,3,FALSE)*pledged</f>
        <v>96248.960000000006</v>
      </c>
    </row>
    <row r="1953" spans="1:21" ht="43.2" x14ac:dyDescent="0.55000000000000004">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16">
        <f t="shared" si="181"/>
        <v>127.36450839328538</v>
      </c>
      <c r="Q1953" t="str">
        <f t="shared" si="184"/>
        <v>technology</v>
      </c>
      <c r="R1953" t="str">
        <f t="shared" si="185"/>
        <v>hardware</v>
      </c>
      <c r="S1953" s="4">
        <f t="shared" si="182"/>
        <v>42651.420567129629</v>
      </c>
      <c r="T1953" s="4">
        <f t="shared" si="183"/>
        <v>42681.462233796294</v>
      </c>
      <c r="U1953" s="5">
        <f>VLOOKUP(currency,Tables!$A$1:$C$14,3,FALSE)*pledged</f>
        <v>106222</v>
      </c>
    </row>
    <row r="1954" spans="1:21" ht="43.2" x14ac:dyDescent="0.55000000000000004">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16">
        <f t="shared" si="181"/>
        <v>101.85532258064516</v>
      </c>
      <c r="Q1954" t="str">
        <f t="shared" si="184"/>
        <v>technology</v>
      </c>
      <c r="R1954" t="str">
        <f t="shared" si="185"/>
        <v>hardware</v>
      </c>
      <c r="S1954" s="4">
        <f t="shared" si="182"/>
        <v>41526.60665509259</v>
      </c>
      <c r="T1954" s="4">
        <f t="shared" si="183"/>
        <v>41563.60665509259</v>
      </c>
      <c r="U1954" s="5">
        <f>VLOOKUP(currency,Tables!$A$1:$C$14,3,FALSE)*pledged</f>
        <v>52793.650800000003</v>
      </c>
    </row>
    <row r="1955" spans="1:21" ht="43.2" x14ac:dyDescent="0.55000000000000004">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16">
        <f t="shared" si="181"/>
        <v>230.55782312925169</v>
      </c>
      <c r="Q1955" t="str">
        <f t="shared" si="184"/>
        <v>technology</v>
      </c>
      <c r="R1955" t="str">
        <f t="shared" si="185"/>
        <v>hardware</v>
      </c>
      <c r="S1955" s="4">
        <f t="shared" si="182"/>
        <v>40941.199826388889</v>
      </c>
      <c r="T1955" s="4">
        <f t="shared" si="183"/>
        <v>40970.125</v>
      </c>
      <c r="U1955" s="5">
        <f>VLOOKUP(currency,Tables!$A$1:$C$14,3,FALSE)*pledged</f>
        <v>33892</v>
      </c>
    </row>
    <row r="1956" spans="1:21" ht="28.8" x14ac:dyDescent="0.55000000000000004">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16">
        <f t="shared" si="181"/>
        <v>842.10602409638557</v>
      </c>
      <c r="Q1956" t="str">
        <f t="shared" si="184"/>
        <v>technology</v>
      </c>
      <c r="R1956" t="str">
        <f t="shared" si="185"/>
        <v>hardware</v>
      </c>
      <c r="S1956" s="4">
        <f t="shared" si="182"/>
        <v>42394.580740740741</v>
      </c>
      <c r="T1956" s="4">
        <f t="shared" si="183"/>
        <v>42441.208333333328</v>
      </c>
      <c r="U1956" s="5">
        <f>VLOOKUP(currency,Tables!$A$1:$C$14,3,FALSE)*pledged</f>
        <v>349474</v>
      </c>
    </row>
    <row r="1957" spans="1:21" ht="43.2" x14ac:dyDescent="0.55000000000000004">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16">
        <f t="shared" si="181"/>
        <v>577.27593103448271</v>
      </c>
      <c r="Q1957" t="str">
        <f t="shared" si="184"/>
        <v>technology</v>
      </c>
      <c r="R1957" t="str">
        <f t="shared" si="185"/>
        <v>hardware</v>
      </c>
      <c r="S1957" s="4">
        <f t="shared" si="182"/>
        <v>41020.271770833337</v>
      </c>
      <c r="T1957" s="4">
        <f t="shared" si="183"/>
        <v>41052.791666666664</v>
      </c>
      <c r="U1957" s="5">
        <f>VLOOKUP(currency,Tables!$A$1:$C$14,3,FALSE)*pledged</f>
        <v>167410.01999999999</v>
      </c>
    </row>
    <row r="1958" spans="1:21" ht="43.2" x14ac:dyDescent="0.55000000000000004">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16">
        <f t="shared" si="181"/>
        <v>483.34246575342468</v>
      </c>
      <c r="Q1958" t="str">
        <f t="shared" si="184"/>
        <v>technology</v>
      </c>
      <c r="R1958" t="str">
        <f t="shared" si="185"/>
        <v>hardware</v>
      </c>
      <c r="S1958" s="4">
        <f t="shared" si="182"/>
        <v>42067.923668981486</v>
      </c>
      <c r="T1958" s="4">
        <f t="shared" si="183"/>
        <v>42112.882002314815</v>
      </c>
      <c r="U1958" s="5">
        <f>VLOOKUP(currency,Tables!$A$1:$C$14,3,FALSE)*pledged</f>
        <v>176420</v>
      </c>
    </row>
    <row r="1959" spans="1:21" ht="28.8" x14ac:dyDescent="0.55000000000000004">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16">
        <f t="shared" si="181"/>
        <v>76.138500000000008</v>
      </c>
      <c r="Q1959" t="str">
        <f t="shared" si="184"/>
        <v>technology</v>
      </c>
      <c r="R1959" t="str">
        <f t="shared" si="185"/>
        <v>hardware</v>
      </c>
      <c r="S1959" s="4">
        <f t="shared" si="182"/>
        <v>41179.098530092589</v>
      </c>
      <c r="T1959" s="4">
        <f t="shared" si="183"/>
        <v>41209.098530092589</v>
      </c>
      <c r="U1959" s="5">
        <f>VLOOKUP(currency,Tables!$A$1:$C$14,3,FALSE)*pledged</f>
        <v>50251.41</v>
      </c>
    </row>
    <row r="1960" spans="1:21" ht="43.2" x14ac:dyDescent="0.55000000000000004">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16">
        <f t="shared" si="181"/>
        <v>74.107684365781708</v>
      </c>
      <c r="Q1960" t="str">
        <f t="shared" si="184"/>
        <v>technology</v>
      </c>
      <c r="R1960" t="str">
        <f t="shared" si="185"/>
        <v>hardware</v>
      </c>
      <c r="S1960" s="4">
        <f t="shared" si="182"/>
        <v>41326.987974537034</v>
      </c>
      <c r="T1960" s="4">
        <f t="shared" si="183"/>
        <v>41356.94630787037</v>
      </c>
      <c r="U1960" s="5">
        <f>VLOOKUP(currency,Tables!$A$1:$C$14,3,FALSE)*pledged</f>
        <v>100490.02</v>
      </c>
    </row>
    <row r="1961" spans="1:21" ht="43.2" x14ac:dyDescent="0.55000000000000004">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16">
        <f t="shared" si="181"/>
        <v>36.965660377358489</v>
      </c>
      <c r="Q1961" t="str">
        <f t="shared" si="184"/>
        <v>technology</v>
      </c>
      <c r="R1961" t="str">
        <f t="shared" si="185"/>
        <v>hardware</v>
      </c>
      <c r="S1961" s="4">
        <f t="shared" si="182"/>
        <v>41871.845601851855</v>
      </c>
      <c r="T1961" s="4">
        <f t="shared" si="183"/>
        <v>41913</v>
      </c>
      <c r="U1961" s="5">
        <f>VLOOKUP(currency,Tables!$A$1:$C$14,3,FALSE)*pledged</f>
        <v>15673.44</v>
      </c>
    </row>
    <row r="1962" spans="1:21" ht="43.2" x14ac:dyDescent="0.55000000000000004">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16">
        <f t="shared" si="181"/>
        <v>2500.969696969697</v>
      </c>
      <c r="Q1962" t="str">
        <f t="shared" si="184"/>
        <v>technology</v>
      </c>
      <c r="R1962" t="str">
        <f t="shared" si="185"/>
        <v>hardware</v>
      </c>
      <c r="S1962" s="4">
        <f t="shared" si="182"/>
        <v>41964.362743055557</v>
      </c>
      <c r="T1962" s="4">
        <f t="shared" si="183"/>
        <v>41994.362743055557</v>
      </c>
      <c r="U1962" s="5">
        <f>VLOOKUP(currency,Tables!$A$1:$C$14,3,FALSE)*pledged</f>
        <v>9078.52</v>
      </c>
    </row>
    <row r="1963" spans="1:21" ht="43.2" x14ac:dyDescent="0.55000000000000004">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16">
        <f t="shared" si="181"/>
        <v>67.690214329454989</v>
      </c>
      <c r="Q1963" t="str">
        <f t="shared" si="184"/>
        <v>technology</v>
      </c>
      <c r="R1963" t="str">
        <f t="shared" si="185"/>
        <v>hardware</v>
      </c>
      <c r="S1963" s="4">
        <f t="shared" si="182"/>
        <v>41148.194641203707</v>
      </c>
      <c r="T1963" s="4">
        <f t="shared" si="183"/>
        <v>41188.165972222225</v>
      </c>
      <c r="U1963" s="5">
        <f>VLOOKUP(currency,Tables!$A$1:$C$14,3,FALSE)*pledged</f>
        <v>110538.12</v>
      </c>
    </row>
    <row r="1964" spans="1:21" ht="43.2" x14ac:dyDescent="0.55000000000000004">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16">
        <f t="shared" si="181"/>
        <v>63.04738562091503</v>
      </c>
      <c r="Q1964" t="str">
        <f t="shared" si="184"/>
        <v>technology</v>
      </c>
      <c r="R1964" t="str">
        <f t="shared" si="185"/>
        <v>hardware</v>
      </c>
      <c r="S1964" s="4">
        <f t="shared" si="182"/>
        <v>41742.780509259261</v>
      </c>
      <c r="T1964" s="4">
        <f t="shared" si="183"/>
        <v>41772.780509259261</v>
      </c>
      <c r="U1964" s="5">
        <f>VLOOKUP(currency,Tables!$A$1:$C$14,3,FALSE)*pledged</f>
        <v>19292.5</v>
      </c>
    </row>
    <row r="1965" spans="1:21" ht="43.2" x14ac:dyDescent="0.55000000000000004">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16">
        <f t="shared" si="181"/>
        <v>117.6</v>
      </c>
      <c r="Q1965" t="str">
        <f t="shared" si="184"/>
        <v>technology</v>
      </c>
      <c r="R1965" t="str">
        <f t="shared" si="185"/>
        <v>hardware</v>
      </c>
      <c r="S1965" s="4">
        <f t="shared" si="182"/>
        <v>41863.429791666669</v>
      </c>
      <c r="T1965" s="4">
        <f t="shared" si="183"/>
        <v>41898.429791666669</v>
      </c>
      <c r="U1965" s="5">
        <f>VLOOKUP(currency,Tables!$A$1:$C$14,3,FALSE)*pledged</f>
        <v>31822.560000000001</v>
      </c>
    </row>
    <row r="1966" spans="1:21" ht="43.2" x14ac:dyDescent="0.55000000000000004">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16">
        <f t="shared" si="181"/>
        <v>180.75185011709601</v>
      </c>
      <c r="Q1966" t="str">
        <f t="shared" si="184"/>
        <v>technology</v>
      </c>
      <c r="R1966" t="str">
        <f t="shared" si="185"/>
        <v>hardware</v>
      </c>
      <c r="S1966" s="4">
        <f t="shared" si="182"/>
        <v>42452.272824074069</v>
      </c>
      <c r="T1966" s="4">
        <f t="shared" si="183"/>
        <v>42482.272824074069</v>
      </c>
      <c r="U1966" s="5">
        <f>VLOOKUP(currency,Tables!$A$1:$C$14,3,FALSE)*pledged</f>
        <v>273220.88159999996</v>
      </c>
    </row>
    <row r="1967" spans="1:21" ht="43.2" x14ac:dyDescent="0.55000000000000004">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16">
        <f t="shared" si="181"/>
        <v>127.32038834951456</v>
      </c>
      <c r="Q1967" t="str">
        <f t="shared" si="184"/>
        <v>technology</v>
      </c>
      <c r="R1967" t="str">
        <f t="shared" si="185"/>
        <v>hardware</v>
      </c>
      <c r="S1967" s="4">
        <f t="shared" si="182"/>
        <v>40898.089236111111</v>
      </c>
      <c r="T1967" s="4">
        <f t="shared" si="183"/>
        <v>40920.041666666664</v>
      </c>
      <c r="U1967" s="5">
        <f>VLOOKUP(currency,Tables!$A$1:$C$14,3,FALSE)*pledged</f>
        <v>13114</v>
      </c>
    </row>
    <row r="1968" spans="1:21" ht="43.2" x14ac:dyDescent="0.55000000000000004">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16">
        <f t="shared" si="181"/>
        <v>136.6444745538665</v>
      </c>
      <c r="Q1968" t="str">
        <f t="shared" si="184"/>
        <v>technology</v>
      </c>
      <c r="R1968" t="str">
        <f t="shared" si="185"/>
        <v>hardware</v>
      </c>
      <c r="S1968" s="4">
        <f t="shared" si="182"/>
        <v>41835.540486111109</v>
      </c>
      <c r="T1968" s="4">
        <f t="shared" si="183"/>
        <v>41865.540486111109</v>
      </c>
      <c r="U1968" s="5">
        <f>VLOOKUP(currency,Tables!$A$1:$C$14,3,FALSE)*pledged</f>
        <v>206743.09</v>
      </c>
    </row>
    <row r="1969" spans="1:21" ht="43.2" x14ac:dyDescent="0.55000000000000004">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16">
        <f t="shared" si="181"/>
        <v>182.78024691358024</v>
      </c>
      <c r="Q1969" t="str">
        <f t="shared" si="184"/>
        <v>technology</v>
      </c>
      <c r="R1969" t="str">
        <f t="shared" si="185"/>
        <v>hardware</v>
      </c>
      <c r="S1969" s="4">
        <f t="shared" si="182"/>
        <v>41730.663530092592</v>
      </c>
      <c r="T1969" s="4">
        <f t="shared" si="183"/>
        <v>41760.663530092592</v>
      </c>
      <c r="U1969" s="5">
        <f>VLOOKUP(currency,Tables!$A$1:$C$14,3,FALSE)*pledged</f>
        <v>74026</v>
      </c>
    </row>
    <row r="1970" spans="1:21" ht="28.8" x14ac:dyDescent="0.55000000000000004">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16">
        <f t="shared" si="181"/>
        <v>279.37843137254902</v>
      </c>
      <c r="Q1970" t="str">
        <f t="shared" si="184"/>
        <v>technology</v>
      </c>
      <c r="R1970" t="str">
        <f t="shared" si="185"/>
        <v>hardware</v>
      </c>
      <c r="S1970" s="4">
        <f t="shared" si="182"/>
        <v>42676.586979166663</v>
      </c>
      <c r="T1970" s="4">
        <f t="shared" si="183"/>
        <v>42707.628645833334</v>
      </c>
      <c r="U1970" s="5">
        <f>VLOOKUP(currency,Tables!$A$1:$C$14,3,FALSE)*pledged</f>
        <v>142483</v>
      </c>
    </row>
    <row r="1971" spans="1:21" ht="43.2" x14ac:dyDescent="0.55000000000000004">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16">
        <f t="shared" si="181"/>
        <v>61.375728669846318</v>
      </c>
      <c r="Q1971" t="str">
        <f t="shared" si="184"/>
        <v>technology</v>
      </c>
      <c r="R1971" t="str">
        <f t="shared" si="185"/>
        <v>hardware</v>
      </c>
      <c r="S1971" s="4">
        <f t="shared" si="182"/>
        <v>42557.792453703703</v>
      </c>
      <c r="T1971" s="4">
        <f t="shared" si="183"/>
        <v>42587.792453703703</v>
      </c>
      <c r="U1971" s="5">
        <f>VLOOKUP(currency,Tables!$A$1:$C$14,3,FALSE)*pledged</f>
        <v>152877.12</v>
      </c>
    </row>
    <row r="1972" spans="1:21" ht="43.2" x14ac:dyDescent="0.55000000000000004">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16">
        <f t="shared" si="181"/>
        <v>80.727532097004286</v>
      </c>
      <c r="Q1972" t="str">
        <f t="shared" si="184"/>
        <v>technology</v>
      </c>
      <c r="R1972" t="str">
        <f t="shared" si="185"/>
        <v>hardware</v>
      </c>
      <c r="S1972" s="4">
        <f t="shared" si="182"/>
        <v>41324.193298611113</v>
      </c>
      <c r="T1972" s="4">
        <f t="shared" si="183"/>
        <v>41384.151631944449</v>
      </c>
      <c r="U1972" s="5">
        <f>VLOOKUP(currency,Tables!$A$1:$C$14,3,FALSE)*pledged</f>
        <v>56590</v>
      </c>
    </row>
    <row r="1973" spans="1:21" ht="43.2" x14ac:dyDescent="0.55000000000000004">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16">
        <f t="shared" si="181"/>
        <v>272.35590732591254</v>
      </c>
      <c r="Q1973" t="str">
        <f t="shared" si="184"/>
        <v>technology</v>
      </c>
      <c r="R1973" t="str">
        <f t="shared" si="185"/>
        <v>hardware</v>
      </c>
      <c r="S1973" s="4">
        <f t="shared" si="182"/>
        <v>41561.500706018516</v>
      </c>
      <c r="T1973" s="4">
        <f t="shared" si="183"/>
        <v>41593.166666666664</v>
      </c>
      <c r="U1973" s="5">
        <f>VLOOKUP(currency,Tables!$A$1:$C$14,3,FALSE)*pledged</f>
        <v>1052110.8700000001</v>
      </c>
    </row>
    <row r="1974" spans="1:21" ht="43.2" x14ac:dyDescent="0.55000000000000004">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16">
        <f t="shared" si="181"/>
        <v>70.848739495798313</v>
      </c>
      <c r="Q1974" t="str">
        <f t="shared" si="184"/>
        <v>technology</v>
      </c>
      <c r="R1974" t="str">
        <f t="shared" si="185"/>
        <v>hardware</v>
      </c>
      <c r="S1974" s="4">
        <f t="shared" si="182"/>
        <v>41201.012083333335</v>
      </c>
      <c r="T1974" s="4">
        <f t="shared" si="183"/>
        <v>41231.053749999999</v>
      </c>
      <c r="U1974" s="5">
        <f>VLOOKUP(currency,Tables!$A$1:$C$14,3,FALSE)*pledged</f>
        <v>16862</v>
      </c>
    </row>
    <row r="1975" spans="1:21" ht="43.2" x14ac:dyDescent="0.55000000000000004">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16">
        <f t="shared" si="181"/>
        <v>247.94003412969283</v>
      </c>
      <c r="Q1975" t="str">
        <f t="shared" si="184"/>
        <v>technology</v>
      </c>
      <c r="R1975" t="str">
        <f t="shared" si="185"/>
        <v>hardware</v>
      </c>
      <c r="S1975" s="4">
        <f t="shared" si="182"/>
        <v>42549.722962962958</v>
      </c>
      <c r="T1975" s="4">
        <f t="shared" si="183"/>
        <v>42588.291666666672</v>
      </c>
      <c r="U1975" s="5">
        <f>VLOOKUP(currency,Tables!$A$1:$C$14,3,FALSE)*pledged</f>
        <v>508525.01</v>
      </c>
    </row>
    <row r="1976" spans="1:21" ht="43.2" x14ac:dyDescent="0.55000000000000004">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16">
        <f t="shared" si="181"/>
        <v>186.81393034825871</v>
      </c>
      <c r="Q1976" t="str">
        <f t="shared" si="184"/>
        <v>technology</v>
      </c>
      <c r="R1976" t="str">
        <f t="shared" si="185"/>
        <v>hardware</v>
      </c>
      <c r="S1976" s="4">
        <f t="shared" si="182"/>
        <v>41445.334131944444</v>
      </c>
      <c r="T1976" s="4">
        <f t="shared" si="183"/>
        <v>41505.334131944444</v>
      </c>
      <c r="U1976" s="5">
        <f>VLOOKUP(currency,Tables!$A$1:$C$14,3,FALSE)*pledged</f>
        <v>99130.944000000003</v>
      </c>
    </row>
    <row r="1977" spans="1:21" ht="28.8" x14ac:dyDescent="0.55000000000000004">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16">
        <f t="shared" si="181"/>
        <v>131.98948616600788</v>
      </c>
      <c r="Q1977" t="str">
        <f t="shared" si="184"/>
        <v>technology</v>
      </c>
      <c r="R1977" t="str">
        <f t="shared" si="185"/>
        <v>hardware</v>
      </c>
      <c r="S1977" s="4">
        <f t="shared" si="182"/>
        <v>41313.755219907405</v>
      </c>
      <c r="T1977" s="4">
        <f t="shared" si="183"/>
        <v>41343.755219907405</v>
      </c>
      <c r="U1977" s="5">
        <f>VLOOKUP(currency,Tables!$A$1:$C$14,3,FALSE)*pledged</f>
        <v>33393.339999999997</v>
      </c>
    </row>
    <row r="1978" spans="1:21" ht="28.8" x14ac:dyDescent="0.55000000000000004">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16">
        <f t="shared" si="181"/>
        <v>29.310782241014799</v>
      </c>
      <c r="Q1978" t="str">
        <f t="shared" si="184"/>
        <v>technology</v>
      </c>
      <c r="R1978" t="str">
        <f t="shared" si="185"/>
        <v>hardware</v>
      </c>
      <c r="S1978" s="4">
        <f t="shared" si="182"/>
        <v>41438.899594907409</v>
      </c>
      <c r="T1978" s="4">
        <f t="shared" si="183"/>
        <v>41468.899594907409</v>
      </c>
      <c r="U1978" s="5">
        <f>VLOOKUP(currency,Tables!$A$1:$C$14,3,FALSE)*pledged</f>
        <v>18300.48</v>
      </c>
    </row>
    <row r="1979" spans="1:21" ht="43.2" x14ac:dyDescent="0.55000000000000004">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16">
        <f t="shared" si="181"/>
        <v>245.02436053593178</v>
      </c>
      <c r="Q1979" t="str">
        <f t="shared" si="184"/>
        <v>technology</v>
      </c>
      <c r="R1979" t="str">
        <f t="shared" si="185"/>
        <v>hardware</v>
      </c>
      <c r="S1979" s="4">
        <f t="shared" si="182"/>
        <v>42311.216898148152</v>
      </c>
      <c r="T1979" s="4">
        <f t="shared" si="183"/>
        <v>42357.332638888889</v>
      </c>
      <c r="U1979" s="5">
        <f>VLOOKUP(currency,Tables!$A$1:$C$14,3,FALSE)*pledged</f>
        <v>201165</v>
      </c>
    </row>
    <row r="1980" spans="1:21" ht="43.2" x14ac:dyDescent="0.55000000000000004">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16">
        <f t="shared" si="181"/>
        <v>1323.2540463917526</v>
      </c>
      <c r="Q1980" t="str">
        <f t="shared" si="184"/>
        <v>technology</v>
      </c>
      <c r="R1980" t="str">
        <f t="shared" si="185"/>
        <v>hardware</v>
      </c>
      <c r="S1980" s="4">
        <f t="shared" si="182"/>
        <v>41039.225601851853</v>
      </c>
      <c r="T1980" s="4">
        <f t="shared" si="183"/>
        <v>41072.291666666664</v>
      </c>
      <c r="U1980" s="5">
        <f>VLOOKUP(currency,Tables!$A$1:$C$14,3,FALSE)*pledged</f>
        <v>513422.57</v>
      </c>
    </row>
    <row r="1981" spans="1:21" ht="43.2" x14ac:dyDescent="0.55000000000000004">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16">
        <f t="shared" si="181"/>
        <v>282.65966789667897</v>
      </c>
      <c r="Q1981" t="str">
        <f t="shared" si="184"/>
        <v>technology</v>
      </c>
      <c r="R1981" t="str">
        <f t="shared" si="185"/>
        <v>hardware</v>
      </c>
      <c r="S1981" s="4">
        <f t="shared" si="182"/>
        <v>42290.460023148145</v>
      </c>
      <c r="T1981" s="4">
        <f t="shared" si="183"/>
        <v>42327.207638888889</v>
      </c>
      <c r="U1981" s="5">
        <f>VLOOKUP(currency,Tables!$A$1:$C$14,3,FALSE)*pledged</f>
        <v>229802.31</v>
      </c>
    </row>
    <row r="1982" spans="1:21" ht="28.8" x14ac:dyDescent="0.55000000000000004">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16">
        <f t="shared" si="181"/>
        <v>91.214401028277635</v>
      </c>
      <c r="Q1982" t="str">
        <f t="shared" si="184"/>
        <v>technology</v>
      </c>
      <c r="R1982" t="str">
        <f t="shared" si="185"/>
        <v>hardware</v>
      </c>
      <c r="S1982" s="4">
        <f t="shared" si="182"/>
        <v>42423.542384259257</v>
      </c>
      <c r="T1982" s="4">
        <f t="shared" si="183"/>
        <v>42463.500717592593</v>
      </c>
      <c r="U1982" s="5">
        <f>VLOOKUP(currency,Tables!$A$1:$C$14,3,FALSE)*pledged</f>
        <v>209346.17180000001</v>
      </c>
    </row>
    <row r="1983" spans="1:21" ht="43.2" x14ac:dyDescent="0.55000000000000004">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16">
        <f t="shared" si="181"/>
        <v>31.75</v>
      </c>
      <c r="Q1983" t="str">
        <f t="shared" si="184"/>
        <v>photography</v>
      </c>
      <c r="R1983" t="str">
        <f t="shared" si="185"/>
        <v>people</v>
      </c>
      <c r="S1983" s="4">
        <f t="shared" si="182"/>
        <v>41799.725289351853</v>
      </c>
      <c r="T1983" s="4">
        <f t="shared" si="183"/>
        <v>41829.725289351853</v>
      </c>
      <c r="U1983" s="5">
        <f>VLOOKUP(currency,Tables!$A$1:$C$14,3,FALSE)*pledged</f>
        <v>289.56</v>
      </c>
    </row>
    <row r="1984" spans="1:21" ht="43.2" x14ac:dyDescent="0.55000000000000004">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80"/>
        <v>0</v>
      </c>
      <c r="P1984" s="16">
        <f t="shared" si="181"/>
        <v>0</v>
      </c>
      <c r="Q1984" t="str">
        <f t="shared" si="184"/>
        <v>photography</v>
      </c>
      <c r="R1984" t="str">
        <f t="shared" si="185"/>
        <v>people</v>
      </c>
      <c r="S1984" s="4">
        <f t="shared" si="182"/>
        <v>42678.586655092593</v>
      </c>
      <c r="T1984" s="4">
        <f t="shared" si="183"/>
        <v>42708.628321759257</v>
      </c>
      <c r="U1984" s="5">
        <f>VLOOKUP(currency,Tables!$A$1:$C$14,3,FALSE)*pledged</f>
        <v>0</v>
      </c>
    </row>
    <row r="1985" spans="1:21" ht="43.2" x14ac:dyDescent="0.55000000000000004">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16">
        <f t="shared" si="181"/>
        <v>88.6875</v>
      </c>
      <c r="Q1985" t="str">
        <f t="shared" si="184"/>
        <v>photography</v>
      </c>
      <c r="R1985" t="str">
        <f t="shared" si="185"/>
        <v>people</v>
      </c>
      <c r="S1985" s="4">
        <f t="shared" si="182"/>
        <v>42593.011782407411</v>
      </c>
      <c r="T1985" s="4">
        <f t="shared" si="183"/>
        <v>42615.291666666672</v>
      </c>
      <c r="U1985" s="5">
        <f>VLOOKUP(currency,Tables!$A$1:$C$14,3,FALSE)*pledged</f>
        <v>1419</v>
      </c>
    </row>
    <row r="1986" spans="1:21" ht="57.6" x14ac:dyDescent="0.55000000000000004">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ref="O1986:O2049" si="186">pledged/goal</f>
        <v>0.21146666666666666</v>
      </c>
      <c r="P1986" s="16">
        <f t="shared" ref="P1986:P2049" si="187">IF(pledged=0,0,pledged/backers_count)</f>
        <v>453.14285714285717</v>
      </c>
      <c r="Q1986" t="str">
        <f t="shared" si="184"/>
        <v>photography</v>
      </c>
      <c r="R1986" t="str">
        <f t="shared" si="185"/>
        <v>people</v>
      </c>
      <c r="S1986" s="4">
        <f t="shared" ref="S1986:S2049" si="188">(((Unix_launched_date/60)/60)/24)+DATE(1970,1,1)</f>
        <v>41913.790289351848</v>
      </c>
      <c r="T1986" s="4">
        <f t="shared" ref="T1986:T2049" si="189">(((Unix_deadline/60)/60)/24)+DATE(1970,1,1)</f>
        <v>41973.831956018519</v>
      </c>
      <c r="U1986" s="5">
        <f>VLOOKUP(currency,Tables!$A$1:$C$14,3,FALSE)*pledged</f>
        <v>3172</v>
      </c>
    </row>
    <row r="1987" spans="1:21" ht="43.2" x14ac:dyDescent="0.55000000000000004">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si="186"/>
        <v>3.1875000000000001E-2</v>
      </c>
      <c r="P1987" s="16">
        <f t="shared" si="187"/>
        <v>12.75</v>
      </c>
      <c r="Q1987" t="str">
        <f t="shared" ref="Q1987:Q2050" si="190">LEFT(N1987,FIND("/",N1987,1)-1)</f>
        <v>photography</v>
      </c>
      <c r="R1987" t="str">
        <f t="shared" ref="R1987:R2050" si="191">RIGHT(N1987,(LEN(N1987)-FIND("/",N1987,1)))</f>
        <v>people</v>
      </c>
      <c r="S1987" s="4">
        <f t="shared" si="188"/>
        <v>42555.698738425926</v>
      </c>
      <c r="T1987" s="4">
        <f t="shared" si="189"/>
        <v>42584.958333333328</v>
      </c>
      <c r="U1987" s="5">
        <f>VLOOKUP(currency,Tables!$A$1:$C$14,3,FALSE)*pledged</f>
        <v>67.320000000000007</v>
      </c>
    </row>
    <row r="1988" spans="1:21" ht="43.2" x14ac:dyDescent="0.55000000000000004">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16">
        <f t="shared" si="187"/>
        <v>1</v>
      </c>
      <c r="Q1988" t="str">
        <f t="shared" si="190"/>
        <v>photography</v>
      </c>
      <c r="R1988" t="str">
        <f t="shared" si="191"/>
        <v>people</v>
      </c>
      <c r="S1988" s="4">
        <f t="shared" si="188"/>
        <v>42413.433831018512</v>
      </c>
      <c r="T1988" s="4">
        <f t="shared" si="189"/>
        <v>42443.392164351855</v>
      </c>
      <c r="U1988" s="5">
        <f>VLOOKUP(currency,Tables!$A$1:$C$14,3,FALSE)*pledged</f>
        <v>1.32</v>
      </c>
    </row>
    <row r="1989" spans="1:21" ht="28.8" x14ac:dyDescent="0.55000000000000004">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16">
        <f t="shared" si="187"/>
        <v>83.428571428571431</v>
      </c>
      <c r="Q1989" t="str">
        <f t="shared" si="190"/>
        <v>photography</v>
      </c>
      <c r="R1989" t="str">
        <f t="shared" si="191"/>
        <v>people</v>
      </c>
      <c r="S1989" s="4">
        <f t="shared" si="188"/>
        <v>42034.639768518522</v>
      </c>
      <c r="T1989" s="4">
        <f t="shared" si="189"/>
        <v>42064.639768518522</v>
      </c>
      <c r="U1989" s="5">
        <f>VLOOKUP(currency,Tables!$A$1:$C$14,3,FALSE)*pledged</f>
        <v>3083.52</v>
      </c>
    </row>
    <row r="1990" spans="1:21" x14ac:dyDescent="0.55000000000000004">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16">
        <f t="shared" si="187"/>
        <v>25</v>
      </c>
      <c r="Q1990" t="str">
        <f t="shared" si="190"/>
        <v>photography</v>
      </c>
      <c r="R1990" t="str">
        <f t="shared" si="191"/>
        <v>people</v>
      </c>
      <c r="S1990" s="4">
        <f t="shared" si="188"/>
        <v>42206.763217592597</v>
      </c>
      <c r="T1990" s="4">
        <f t="shared" si="189"/>
        <v>42236.763217592597</v>
      </c>
      <c r="U1990" s="5">
        <f>VLOOKUP(currency,Tables!$A$1:$C$14,3,FALSE)*pledged</f>
        <v>25</v>
      </c>
    </row>
    <row r="1991" spans="1:21" ht="43.2" x14ac:dyDescent="0.55000000000000004">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86"/>
        <v>0.01</v>
      </c>
      <c r="P1991" s="16">
        <f t="shared" si="187"/>
        <v>50</v>
      </c>
      <c r="Q1991" t="str">
        <f t="shared" si="190"/>
        <v>photography</v>
      </c>
      <c r="R1991" t="str">
        <f t="shared" si="191"/>
        <v>people</v>
      </c>
      <c r="S1991" s="4">
        <f t="shared" si="188"/>
        <v>42685.680648148147</v>
      </c>
      <c r="T1991" s="4">
        <f t="shared" si="189"/>
        <v>42715.680648148147</v>
      </c>
      <c r="U1991" s="5">
        <f>VLOOKUP(currency,Tables!$A$1:$C$14,3,FALSE)*pledged</f>
        <v>50</v>
      </c>
    </row>
    <row r="1992" spans="1:21" ht="43.2" x14ac:dyDescent="0.55000000000000004">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16">
        <f t="shared" si="187"/>
        <v>101.8</v>
      </c>
      <c r="Q1992" t="str">
        <f t="shared" si="190"/>
        <v>photography</v>
      </c>
      <c r="R1992" t="str">
        <f t="shared" si="191"/>
        <v>people</v>
      </c>
      <c r="S1992" s="4">
        <f t="shared" si="188"/>
        <v>42398.195972222224</v>
      </c>
      <c r="T1992" s="4">
        <f t="shared" si="189"/>
        <v>42413.195972222224</v>
      </c>
      <c r="U1992" s="5">
        <f>VLOOKUP(currency,Tables!$A$1:$C$14,3,FALSE)*pledged</f>
        <v>509</v>
      </c>
    </row>
    <row r="1993" spans="1:21" ht="28.8" x14ac:dyDescent="0.55000000000000004">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16">
        <f t="shared" si="187"/>
        <v>46.666666666666664</v>
      </c>
      <c r="Q1993" t="str">
        <f t="shared" si="190"/>
        <v>photography</v>
      </c>
      <c r="R1993" t="str">
        <f t="shared" si="191"/>
        <v>people</v>
      </c>
      <c r="S1993" s="4">
        <f t="shared" si="188"/>
        <v>42167.89335648148</v>
      </c>
      <c r="T1993" s="4">
        <f t="shared" si="189"/>
        <v>42188.89335648148</v>
      </c>
      <c r="U1993" s="5">
        <f>VLOOKUP(currency,Tables!$A$1:$C$14,3,FALSE)*pledged</f>
        <v>140</v>
      </c>
    </row>
    <row r="1994" spans="1:21" ht="28.8" x14ac:dyDescent="0.55000000000000004">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16">
        <f t="shared" si="187"/>
        <v>1</v>
      </c>
      <c r="Q1994" t="str">
        <f t="shared" si="190"/>
        <v>photography</v>
      </c>
      <c r="R1994" t="str">
        <f t="shared" si="191"/>
        <v>people</v>
      </c>
      <c r="S1994" s="4">
        <f t="shared" si="188"/>
        <v>42023.143414351856</v>
      </c>
      <c r="T1994" s="4">
        <f t="shared" si="189"/>
        <v>42053.143414351856</v>
      </c>
      <c r="U1994" s="5">
        <f>VLOOKUP(currency,Tables!$A$1:$C$14,3,FALSE)*pledged</f>
        <v>2</v>
      </c>
    </row>
    <row r="1995" spans="1:21" ht="43.2" x14ac:dyDescent="0.55000000000000004">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86"/>
        <v>0</v>
      </c>
      <c r="P1995" s="16">
        <f t="shared" si="187"/>
        <v>0</v>
      </c>
      <c r="Q1995" t="str">
        <f t="shared" si="190"/>
        <v>photography</v>
      </c>
      <c r="R1995" t="str">
        <f t="shared" si="191"/>
        <v>people</v>
      </c>
      <c r="S1995" s="4">
        <f t="shared" si="188"/>
        <v>42329.58839120371</v>
      </c>
      <c r="T1995" s="4">
        <f t="shared" si="189"/>
        <v>42359.58839120371</v>
      </c>
      <c r="U1995" s="5">
        <f>VLOOKUP(currency,Tables!$A$1:$C$14,3,FALSE)*pledged</f>
        <v>0</v>
      </c>
    </row>
    <row r="1996" spans="1:21" ht="43.2" x14ac:dyDescent="0.55000000000000004">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86"/>
        <v>0</v>
      </c>
      <c r="P1996" s="16">
        <f t="shared" si="187"/>
        <v>0</v>
      </c>
      <c r="Q1996" t="str">
        <f t="shared" si="190"/>
        <v>photography</v>
      </c>
      <c r="R1996" t="str">
        <f t="shared" si="191"/>
        <v>people</v>
      </c>
      <c r="S1996" s="4">
        <f t="shared" si="188"/>
        <v>42651.006273148145</v>
      </c>
      <c r="T1996" s="4">
        <f t="shared" si="189"/>
        <v>42711.047939814816</v>
      </c>
      <c r="U1996" s="5">
        <f>VLOOKUP(currency,Tables!$A$1:$C$14,3,FALSE)*pledged</f>
        <v>0</v>
      </c>
    </row>
    <row r="1997" spans="1:21" ht="43.2" x14ac:dyDescent="0.55000000000000004">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86"/>
        <v>7.8E-2</v>
      </c>
      <c r="P1997" s="16">
        <f t="shared" si="187"/>
        <v>26</v>
      </c>
      <c r="Q1997" t="str">
        <f t="shared" si="190"/>
        <v>photography</v>
      </c>
      <c r="R1997" t="str">
        <f t="shared" si="191"/>
        <v>people</v>
      </c>
      <c r="S1997" s="4">
        <f t="shared" si="188"/>
        <v>42181.902037037042</v>
      </c>
      <c r="T1997" s="4">
        <f t="shared" si="189"/>
        <v>42201.902037037042</v>
      </c>
      <c r="U1997" s="5">
        <f>VLOOKUP(currency,Tables!$A$1:$C$14,3,FALSE)*pledged</f>
        <v>59.28</v>
      </c>
    </row>
    <row r="1998" spans="1:21" ht="43.2" x14ac:dyDescent="0.55000000000000004">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86"/>
        <v>0</v>
      </c>
      <c r="P1998" s="16">
        <f t="shared" si="187"/>
        <v>0</v>
      </c>
      <c r="Q1998" t="str">
        <f t="shared" si="190"/>
        <v>photography</v>
      </c>
      <c r="R1998" t="str">
        <f t="shared" si="191"/>
        <v>people</v>
      </c>
      <c r="S1998" s="4">
        <f t="shared" si="188"/>
        <v>41800.819571759261</v>
      </c>
      <c r="T1998" s="4">
        <f t="shared" si="189"/>
        <v>41830.819571759261</v>
      </c>
      <c r="U1998" s="5">
        <f>VLOOKUP(currency,Tables!$A$1:$C$14,3,FALSE)*pledged</f>
        <v>0</v>
      </c>
    </row>
    <row r="1999" spans="1:21" ht="43.2" x14ac:dyDescent="0.55000000000000004">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86"/>
        <v>0</v>
      </c>
      <c r="P1999" s="16">
        <f t="shared" si="187"/>
        <v>0</v>
      </c>
      <c r="Q1999" t="str">
        <f t="shared" si="190"/>
        <v>photography</v>
      </c>
      <c r="R1999" t="str">
        <f t="shared" si="191"/>
        <v>people</v>
      </c>
      <c r="S1999" s="4">
        <f t="shared" si="188"/>
        <v>41847.930694444447</v>
      </c>
      <c r="T1999" s="4">
        <f t="shared" si="189"/>
        <v>41877.930694444447</v>
      </c>
      <c r="U1999" s="5">
        <f>VLOOKUP(currency,Tables!$A$1:$C$14,3,FALSE)*pledged</f>
        <v>0</v>
      </c>
    </row>
    <row r="2000" spans="1:21" ht="43.2" x14ac:dyDescent="0.55000000000000004">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16">
        <f t="shared" si="187"/>
        <v>218.33333333333334</v>
      </c>
      <c r="Q2000" t="str">
        <f t="shared" si="190"/>
        <v>photography</v>
      </c>
      <c r="R2000" t="str">
        <f t="shared" si="191"/>
        <v>people</v>
      </c>
      <c r="S2000" s="4">
        <f t="shared" si="188"/>
        <v>41807.118495370371</v>
      </c>
      <c r="T2000" s="4">
        <f t="shared" si="189"/>
        <v>41852.118495370371</v>
      </c>
      <c r="U2000" s="5">
        <f>VLOOKUP(currency,Tables!$A$1:$C$14,3,FALSE)*pledged</f>
        <v>655</v>
      </c>
    </row>
    <row r="2001" spans="1:21" ht="43.2" x14ac:dyDescent="0.55000000000000004">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16">
        <f t="shared" si="187"/>
        <v>33.714285714285715</v>
      </c>
      <c r="Q2001" t="str">
        <f t="shared" si="190"/>
        <v>photography</v>
      </c>
      <c r="R2001" t="str">
        <f t="shared" si="191"/>
        <v>people</v>
      </c>
      <c r="S2001" s="4">
        <f t="shared" si="188"/>
        <v>41926.482731481483</v>
      </c>
      <c r="T2001" s="4">
        <f t="shared" si="189"/>
        <v>41956.524398148147</v>
      </c>
      <c r="U2001" s="5">
        <f>VLOOKUP(currency,Tables!$A$1:$C$14,3,FALSE)*pledged</f>
        <v>311.52000000000004</v>
      </c>
    </row>
    <row r="2002" spans="1:21" ht="43.2" x14ac:dyDescent="0.55000000000000004">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86"/>
        <v>0.125</v>
      </c>
      <c r="P2002" s="16">
        <f t="shared" si="187"/>
        <v>25</v>
      </c>
      <c r="Q2002" t="str">
        <f t="shared" si="190"/>
        <v>photography</v>
      </c>
      <c r="R2002" t="str">
        <f t="shared" si="191"/>
        <v>people</v>
      </c>
      <c r="S2002" s="4">
        <f t="shared" si="188"/>
        <v>42345.951539351852</v>
      </c>
      <c r="T2002" s="4">
        <f t="shared" si="189"/>
        <v>42375.951539351852</v>
      </c>
      <c r="U2002" s="5">
        <f>VLOOKUP(currency,Tables!$A$1:$C$14,3,FALSE)*pledged</f>
        <v>475</v>
      </c>
    </row>
    <row r="2003" spans="1:21" ht="28.8" x14ac:dyDescent="0.55000000000000004">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16">
        <f t="shared" si="187"/>
        <v>128.38790470372632</v>
      </c>
      <c r="Q2003" t="str">
        <f t="shared" si="190"/>
        <v>technology</v>
      </c>
      <c r="R2003" t="str">
        <f t="shared" si="191"/>
        <v>hardware</v>
      </c>
      <c r="S2003" s="4">
        <f t="shared" si="188"/>
        <v>42136.209675925929</v>
      </c>
      <c r="T2003" s="4">
        <f t="shared" si="189"/>
        <v>42167.833333333328</v>
      </c>
      <c r="U2003" s="5">
        <f>VLOOKUP(currency,Tables!$A$1:$C$14,3,FALSE)*pledged</f>
        <v>248001.78</v>
      </c>
    </row>
    <row r="2004" spans="1:21" ht="43.2" x14ac:dyDescent="0.55000000000000004">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16">
        <f t="shared" si="187"/>
        <v>78.834261818181815</v>
      </c>
      <c r="Q2004" t="str">
        <f t="shared" si="190"/>
        <v>technology</v>
      </c>
      <c r="R2004" t="str">
        <f t="shared" si="191"/>
        <v>hardware</v>
      </c>
      <c r="S2004" s="4">
        <f t="shared" si="188"/>
        <v>42728.71230324074</v>
      </c>
      <c r="T2004" s="4">
        <f t="shared" si="189"/>
        <v>42758.71230324074</v>
      </c>
      <c r="U2004" s="5">
        <f>VLOOKUP(currency,Tables!$A$1:$C$14,3,FALSE)*pledged</f>
        <v>108397.11</v>
      </c>
    </row>
    <row r="2005" spans="1:21" ht="57.6" x14ac:dyDescent="0.55000000000000004">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86"/>
        <v>3.12</v>
      </c>
      <c r="P2005" s="16">
        <f t="shared" si="187"/>
        <v>91.764705882352942</v>
      </c>
      <c r="Q2005" t="str">
        <f t="shared" si="190"/>
        <v>technology</v>
      </c>
      <c r="R2005" t="str">
        <f t="shared" si="191"/>
        <v>hardware</v>
      </c>
      <c r="S2005" s="4">
        <f t="shared" si="188"/>
        <v>40347.125601851854</v>
      </c>
      <c r="T2005" s="4">
        <f t="shared" si="189"/>
        <v>40361.958333333336</v>
      </c>
      <c r="U2005" s="5">
        <f>VLOOKUP(currency,Tables!$A$1:$C$14,3,FALSE)*pledged</f>
        <v>1560</v>
      </c>
    </row>
    <row r="2006" spans="1:21" ht="43.2" x14ac:dyDescent="0.55000000000000004">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16">
        <f t="shared" si="187"/>
        <v>331.10237288135596</v>
      </c>
      <c r="Q2006" t="str">
        <f t="shared" si="190"/>
        <v>technology</v>
      </c>
      <c r="R2006" t="str">
        <f t="shared" si="191"/>
        <v>hardware</v>
      </c>
      <c r="S2006" s="4">
        <f t="shared" si="188"/>
        <v>41800.604895833334</v>
      </c>
      <c r="T2006" s="4">
        <f t="shared" si="189"/>
        <v>41830.604895833334</v>
      </c>
      <c r="U2006" s="5">
        <f>VLOOKUP(currency,Tables!$A$1:$C$14,3,FALSE)*pledged</f>
        <v>117210.24000000001</v>
      </c>
    </row>
    <row r="2007" spans="1:21" ht="43.2" x14ac:dyDescent="0.55000000000000004">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16">
        <f t="shared" si="187"/>
        <v>194.26193717277485</v>
      </c>
      <c r="Q2007" t="str">
        <f t="shared" si="190"/>
        <v>technology</v>
      </c>
      <c r="R2007" t="str">
        <f t="shared" si="191"/>
        <v>hardware</v>
      </c>
      <c r="S2007" s="4">
        <f t="shared" si="188"/>
        <v>41535.812708333331</v>
      </c>
      <c r="T2007" s="4">
        <f t="shared" si="189"/>
        <v>41563.165972222225</v>
      </c>
      <c r="U2007" s="5">
        <f>VLOOKUP(currency,Tables!$A$1:$C$14,3,FALSE)*pledged</f>
        <v>37104.03</v>
      </c>
    </row>
    <row r="2008" spans="1:21" ht="57.6" x14ac:dyDescent="0.55000000000000004">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16">
        <f t="shared" si="187"/>
        <v>408.97689768976898</v>
      </c>
      <c r="Q2008" t="str">
        <f t="shared" si="190"/>
        <v>technology</v>
      </c>
      <c r="R2008" t="str">
        <f t="shared" si="191"/>
        <v>hardware</v>
      </c>
      <c r="S2008" s="4">
        <f t="shared" si="188"/>
        <v>41941.500520833331</v>
      </c>
      <c r="T2008" s="4">
        <f t="shared" si="189"/>
        <v>41976.542187500003</v>
      </c>
      <c r="U2008" s="5">
        <f>VLOOKUP(currency,Tables!$A$1:$C$14,3,FALSE)*pledged</f>
        <v>123920</v>
      </c>
    </row>
    <row r="2009" spans="1:21" ht="43.2" x14ac:dyDescent="0.55000000000000004">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16">
        <f t="shared" si="187"/>
        <v>84.459270072992695</v>
      </c>
      <c r="Q2009" t="str">
        <f t="shared" si="190"/>
        <v>technology</v>
      </c>
      <c r="R2009" t="str">
        <f t="shared" si="191"/>
        <v>hardware</v>
      </c>
      <c r="S2009" s="4">
        <f t="shared" si="188"/>
        <v>40347.837800925925</v>
      </c>
      <c r="T2009" s="4">
        <f t="shared" si="189"/>
        <v>40414.166666666664</v>
      </c>
      <c r="U2009" s="5">
        <f>VLOOKUP(currency,Tables!$A$1:$C$14,3,FALSE)*pledged</f>
        <v>11570.92</v>
      </c>
    </row>
    <row r="2010" spans="1:21" ht="43.2" x14ac:dyDescent="0.55000000000000004">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16">
        <f t="shared" si="187"/>
        <v>44.853658536585364</v>
      </c>
      <c r="Q2010" t="str">
        <f t="shared" si="190"/>
        <v>technology</v>
      </c>
      <c r="R2010" t="str">
        <f t="shared" si="191"/>
        <v>hardware</v>
      </c>
      <c r="S2010" s="4">
        <f t="shared" si="188"/>
        <v>40761.604421296295</v>
      </c>
      <c r="T2010" s="4">
        <f t="shared" si="189"/>
        <v>40805.604421296295</v>
      </c>
      <c r="U2010" s="5">
        <f>VLOOKUP(currency,Tables!$A$1:$C$14,3,FALSE)*pledged</f>
        <v>1839</v>
      </c>
    </row>
    <row r="2011" spans="1:21" ht="43.2" x14ac:dyDescent="0.55000000000000004">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16">
        <f t="shared" si="187"/>
        <v>383.3643216080402</v>
      </c>
      <c r="Q2011" t="str">
        <f t="shared" si="190"/>
        <v>technology</v>
      </c>
      <c r="R2011" t="str">
        <f t="shared" si="191"/>
        <v>hardware</v>
      </c>
      <c r="S2011" s="4">
        <f t="shared" si="188"/>
        <v>42661.323414351849</v>
      </c>
      <c r="T2011" s="4">
        <f t="shared" si="189"/>
        <v>42697.365081018521</v>
      </c>
      <c r="U2011" s="5">
        <f>VLOOKUP(currency,Tables!$A$1:$C$14,3,FALSE)*pledged</f>
        <v>180043.22</v>
      </c>
    </row>
    <row r="2012" spans="1:21" ht="28.8" x14ac:dyDescent="0.55000000000000004">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16">
        <f t="shared" si="187"/>
        <v>55.276856649395505</v>
      </c>
      <c r="Q2012" t="str">
        <f t="shared" si="190"/>
        <v>technology</v>
      </c>
      <c r="R2012" t="str">
        <f t="shared" si="191"/>
        <v>hardware</v>
      </c>
      <c r="S2012" s="4">
        <f t="shared" si="188"/>
        <v>42570.996423611112</v>
      </c>
      <c r="T2012" s="4">
        <f t="shared" si="189"/>
        <v>42600.996423611112</v>
      </c>
      <c r="U2012" s="5">
        <f>VLOOKUP(currency,Tables!$A$1:$C$14,3,FALSE)*pledged</f>
        <v>96015.9</v>
      </c>
    </row>
    <row r="2013" spans="1:21" ht="43.2" x14ac:dyDescent="0.55000000000000004">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16">
        <f t="shared" si="187"/>
        <v>422.02059732234807</v>
      </c>
      <c r="Q2013" t="str">
        <f t="shared" si="190"/>
        <v>technology</v>
      </c>
      <c r="R2013" t="str">
        <f t="shared" si="191"/>
        <v>hardware</v>
      </c>
      <c r="S2013" s="4">
        <f t="shared" si="188"/>
        <v>42347.358483796299</v>
      </c>
      <c r="T2013" s="4">
        <f t="shared" si="189"/>
        <v>42380.958333333328</v>
      </c>
      <c r="U2013" s="5">
        <f>VLOOKUP(currency,Tables!$A$1:$C$14,3,FALSE)*pledged</f>
        <v>483542.75999999995</v>
      </c>
    </row>
    <row r="2014" spans="1:21" ht="43.2" x14ac:dyDescent="0.55000000000000004">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16">
        <f t="shared" si="187"/>
        <v>64.180327868852459</v>
      </c>
      <c r="Q2014" t="str">
        <f t="shared" si="190"/>
        <v>technology</v>
      </c>
      <c r="R2014" t="str">
        <f t="shared" si="191"/>
        <v>hardware</v>
      </c>
      <c r="S2014" s="4">
        <f t="shared" si="188"/>
        <v>42010.822233796294</v>
      </c>
      <c r="T2014" s="4">
        <f t="shared" si="189"/>
        <v>42040.822233796294</v>
      </c>
      <c r="U2014" s="5">
        <f>VLOOKUP(currency,Tables!$A$1:$C$14,3,FALSE)*pledged</f>
        <v>11745</v>
      </c>
    </row>
    <row r="2015" spans="1:21" ht="43.2" x14ac:dyDescent="0.55000000000000004">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16">
        <f t="shared" si="187"/>
        <v>173.57781674704077</v>
      </c>
      <c r="Q2015" t="str">
        <f t="shared" si="190"/>
        <v>technology</v>
      </c>
      <c r="R2015" t="str">
        <f t="shared" si="191"/>
        <v>hardware</v>
      </c>
      <c r="S2015" s="4">
        <f t="shared" si="188"/>
        <v>42499.960810185185</v>
      </c>
      <c r="T2015" s="4">
        <f t="shared" si="189"/>
        <v>42559.960810185185</v>
      </c>
      <c r="U2015" s="5">
        <f>VLOOKUP(currency,Tables!$A$1:$C$14,3,FALSE)*pledged</f>
        <v>791862</v>
      </c>
    </row>
    <row r="2016" spans="1:21" ht="43.2" x14ac:dyDescent="0.55000000000000004">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16">
        <f t="shared" si="187"/>
        <v>88.601680840609291</v>
      </c>
      <c r="Q2016" t="str">
        <f t="shared" si="190"/>
        <v>technology</v>
      </c>
      <c r="R2016" t="str">
        <f t="shared" si="191"/>
        <v>hardware</v>
      </c>
      <c r="S2016" s="4">
        <f t="shared" si="188"/>
        <v>41324.214571759258</v>
      </c>
      <c r="T2016" s="4">
        <f t="shared" si="189"/>
        <v>41358.172905092593</v>
      </c>
      <c r="U2016" s="5">
        <f>VLOOKUP(currency,Tables!$A$1:$C$14,3,FALSE)*pledged</f>
        <v>2344134.67</v>
      </c>
    </row>
    <row r="2017" spans="1:21" ht="43.2" x14ac:dyDescent="0.55000000000000004">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16">
        <f t="shared" si="187"/>
        <v>50.222283950617282</v>
      </c>
      <c r="Q2017" t="str">
        <f t="shared" si="190"/>
        <v>technology</v>
      </c>
      <c r="R2017" t="str">
        <f t="shared" si="191"/>
        <v>hardware</v>
      </c>
      <c r="S2017" s="4">
        <f t="shared" si="188"/>
        <v>40765.876886574071</v>
      </c>
      <c r="T2017" s="4">
        <f t="shared" si="189"/>
        <v>40795.876886574071</v>
      </c>
      <c r="U2017" s="5">
        <f>VLOOKUP(currency,Tables!$A$1:$C$14,3,FALSE)*pledged</f>
        <v>8136.01</v>
      </c>
    </row>
    <row r="2018" spans="1:21" ht="28.8" x14ac:dyDescent="0.55000000000000004">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16">
        <f t="shared" si="187"/>
        <v>192.38876826722338</v>
      </c>
      <c r="Q2018" t="str">
        <f t="shared" si="190"/>
        <v>technology</v>
      </c>
      <c r="R2018" t="str">
        <f t="shared" si="191"/>
        <v>hardware</v>
      </c>
      <c r="S2018" s="4">
        <f t="shared" si="188"/>
        <v>41312.88077546296</v>
      </c>
      <c r="T2018" s="4">
        <f t="shared" si="189"/>
        <v>41342.88077546296</v>
      </c>
      <c r="U2018" s="5">
        <f>VLOOKUP(currency,Tables!$A$1:$C$14,3,FALSE)*pledged</f>
        <v>92154.22</v>
      </c>
    </row>
    <row r="2019" spans="1:21" ht="43.2" x14ac:dyDescent="0.55000000000000004">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16">
        <f t="shared" si="187"/>
        <v>73.416901408450698</v>
      </c>
      <c r="Q2019" t="str">
        <f t="shared" si="190"/>
        <v>technology</v>
      </c>
      <c r="R2019" t="str">
        <f t="shared" si="191"/>
        <v>hardware</v>
      </c>
      <c r="S2019" s="4">
        <f t="shared" si="188"/>
        <v>40961.057349537034</v>
      </c>
      <c r="T2019" s="4">
        <f t="shared" si="189"/>
        <v>40992.166666666664</v>
      </c>
      <c r="U2019" s="5">
        <f>VLOOKUP(currency,Tables!$A$1:$C$14,3,FALSE)*pledged</f>
        <v>31275.599999999999</v>
      </c>
    </row>
    <row r="2020" spans="1:21" ht="43.2" x14ac:dyDescent="0.55000000000000004">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16">
        <f t="shared" si="187"/>
        <v>147.68495555555555</v>
      </c>
      <c r="Q2020" t="str">
        <f t="shared" si="190"/>
        <v>technology</v>
      </c>
      <c r="R2020" t="str">
        <f t="shared" si="191"/>
        <v>hardware</v>
      </c>
      <c r="S2020" s="4">
        <f t="shared" si="188"/>
        <v>42199.365844907406</v>
      </c>
      <c r="T2020" s="4">
        <f t="shared" si="189"/>
        <v>42229.365844907406</v>
      </c>
      <c r="U2020" s="5">
        <f>VLOOKUP(currency,Tables!$A$1:$C$14,3,FALSE)*pledged</f>
        <v>78420.711399999986</v>
      </c>
    </row>
    <row r="2021" spans="1:21" ht="43.2" x14ac:dyDescent="0.55000000000000004">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16">
        <f t="shared" si="187"/>
        <v>108.96848314606741</v>
      </c>
      <c r="Q2021" t="str">
        <f t="shared" si="190"/>
        <v>technology</v>
      </c>
      <c r="R2021" t="str">
        <f t="shared" si="191"/>
        <v>hardware</v>
      </c>
      <c r="S2021" s="4">
        <f t="shared" si="188"/>
        <v>42605.70857638889</v>
      </c>
      <c r="T2021" s="4">
        <f t="shared" si="189"/>
        <v>42635.70857638889</v>
      </c>
      <c r="U2021" s="5">
        <f>VLOOKUP(currency,Tables!$A$1:$C$14,3,FALSE)*pledged</f>
        <v>193963.9</v>
      </c>
    </row>
    <row r="2022" spans="1:21" ht="43.2" x14ac:dyDescent="0.55000000000000004">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16">
        <f t="shared" si="187"/>
        <v>23.647540983606557</v>
      </c>
      <c r="Q2022" t="str">
        <f t="shared" si="190"/>
        <v>technology</v>
      </c>
      <c r="R2022" t="str">
        <f t="shared" si="191"/>
        <v>hardware</v>
      </c>
      <c r="S2022" s="4">
        <f t="shared" si="188"/>
        <v>41737.097499999996</v>
      </c>
      <c r="T2022" s="4">
        <f t="shared" si="189"/>
        <v>41773.961111111108</v>
      </c>
      <c r="U2022" s="5">
        <f>VLOOKUP(currency,Tables!$A$1:$C$14,3,FALSE)*pledged</f>
        <v>2885</v>
      </c>
    </row>
    <row r="2023" spans="1:21" ht="43.2" x14ac:dyDescent="0.55000000000000004">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16">
        <f t="shared" si="187"/>
        <v>147.94736842105263</v>
      </c>
      <c r="Q2023" t="str">
        <f t="shared" si="190"/>
        <v>technology</v>
      </c>
      <c r="R2023" t="str">
        <f t="shared" si="191"/>
        <v>hardware</v>
      </c>
      <c r="S2023" s="4">
        <f t="shared" si="188"/>
        <v>41861.070567129631</v>
      </c>
      <c r="T2023" s="4">
        <f t="shared" si="189"/>
        <v>41906.070567129631</v>
      </c>
      <c r="U2023" s="5">
        <f>VLOOKUP(currency,Tables!$A$1:$C$14,3,FALSE)*pledged</f>
        <v>14055</v>
      </c>
    </row>
    <row r="2024" spans="1:21" ht="43.2" x14ac:dyDescent="0.55000000000000004">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16">
        <f t="shared" si="187"/>
        <v>385.03692307692307</v>
      </c>
      <c r="Q2024" t="str">
        <f t="shared" si="190"/>
        <v>technology</v>
      </c>
      <c r="R2024" t="str">
        <f t="shared" si="191"/>
        <v>hardware</v>
      </c>
      <c r="S2024" s="4">
        <f t="shared" si="188"/>
        <v>42502.569120370375</v>
      </c>
      <c r="T2024" s="4">
        <f t="shared" si="189"/>
        <v>42532.569120370375</v>
      </c>
      <c r="U2024" s="5">
        <f>VLOOKUP(currency,Tables!$A$1:$C$14,3,FALSE)*pledged</f>
        <v>125137</v>
      </c>
    </row>
    <row r="2025" spans="1:21" ht="43.2" x14ac:dyDescent="0.55000000000000004">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16">
        <f t="shared" si="187"/>
        <v>457.39093484419266</v>
      </c>
      <c r="Q2025" t="str">
        <f t="shared" si="190"/>
        <v>technology</v>
      </c>
      <c r="R2025" t="str">
        <f t="shared" si="191"/>
        <v>hardware</v>
      </c>
      <c r="S2025" s="4">
        <f t="shared" si="188"/>
        <v>42136.420752314814</v>
      </c>
      <c r="T2025" s="4">
        <f t="shared" si="189"/>
        <v>42166.420752314814</v>
      </c>
      <c r="U2025" s="5">
        <f>VLOOKUP(currency,Tables!$A$1:$C$14,3,FALSE)*pledged</f>
        <v>161459</v>
      </c>
    </row>
    <row r="2026" spans="1:21" ht="43.2" x14ac:dyDescent="0.55000000000000004">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16">
        <f t="shared" si="187"/>
        <v>222.99047619047619</v>
      </c>
      <c r="Q2026" t="str">
        <f t="shared" si="190"/>
        <v>technology</v>
      </c>
      <c r="R2026" t="str">
        <f t="shared" si="191"/>
        <v>hardware</v>
      </c>
      <c r="S2026" s="4">
        <f t="shared" si="188"/>
        <v>41099.966944444444</v>
      </c>
      <c r="T2026" s="4">
        <f t="shared" si="189"/>
        <v>41134.125</v>
      </c>
      <c r="U2026" s="5">
        <f>VLOOKUP(currency,Tables!$A$1:$C$14,3,FALSE)*pledged</f>
        <v>23414</v>
      </c>
    </row>
    <row r="2027" spans="1:21" ht="43.2" x14ac:dyDescent="0.55000000000000004">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16">
        <f t="shared" si="187"/>
        <v>220.74074074074073</v>
      </c>
      <c r="Q2027" t="str">
        <f t="shared" si="190"/>
        <v>technology</v>
      </c>
      <c r="R2027" t="str">
        <f t="shared" si="191"/>
        <v>hardware</v>
      </c>
      <c r="S2027" s="4">
        <f t="shared" si="188"/>
        <v>42136.184560185182</v>
      </c>
      <c r="T2027" s="4">
        <f t="shared" si="189"/>
        <v>42166.184560185182</v>
      </c>
      <c r="U2027" s="5">
        <f>VLOOKUP(currency,Tables!$A$1:$C$14,3,FALSE)*pledged</f>
        <v>189885.59999999998</v>
      </c>
    </row>
    <row r="2028" spans="1:21" ht="28.8" x14ac:dyDescent="0.55000000000000004">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16">
        <f t="shared" si="187"/>
        <v>73.503898678414089</v>
      </c>
      <c r="Q2028" t="str">
        <f t="shared" si="190"/>
        <v>technology</v>
      </c>
      <c r="R2028" t="str">
        <f t="shared" si="191"/>
        <v>hardware</v>
      </c>
      <c r="S2028" s="4">
        <f t="shared" si="188"/>
        <v>41704.735937500001</v>
      </c>
      <c r="T2028" s="4">
        <f t="shared" si="189"/>
        <v>41750.165972222225</v>
      </c>
      <c r="U2028" s="5">
        <f>VLOOKUP(currency,Tables!$A$1:$C$14,3,FALSE)*pledged</f>
        <v>33370.769999999997</v>
      </c>
    </row>
    <row r="2029" spans="1:21" ht="43.2" x14ac:dyDescent="0.55000000000000004">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16">
        <f t="shared" si="187"/>
        <v>223.09647495361781</v>
      </c>
      <c r="Q2029" t="str">
        <f t="shared" si="190"/>
        <v>technology</v>
      </c>
      <c r="R2029" t="str">
        <f t="shared" si="191"/>
        <v>hardware</v>
      </c>
      <c r="S2029" s="4">
        <f t="shared" si="188"/>
        <v>42048.813877314817</v>
      </c>
      <c r="T2029" s="4">
        <f t="shared" si="189"/>
        <v>42093.772210648152</v>
      </c>
      <c r="U2029" s="5">
        <f>VLOOKUP(currency,Tables!$A$1:$C$14,3,FALSE)*pledged</f>
        <v>120249</v>
      </c>
    </row>
    <row r="2030" spans="1:21" ht="28.8" x14ac:dyDescent="0.55000000000000004">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16">
        <f t="shared" si="187"/>
        <v>47.911392405063289</v>
      </c>
      <c r="Q2030" t="str">
        <f t="shared" si="190"/>
        <v>technology</v>
      </c>
      <c r="R2030" t="str">
        <f t="shared" si="191"/>
        <v>hardware</v>
      </c>
      <c r="S2030" s="4">
        <f t="shared" si="188"/>
        <v>40215.919050925928</v>
      </c>
      <c r="T2030" s="4">
        <f t="shared" si="189"/>
        <v>40252.913194444445</v>
      </c>
      <c r="U2030" s="5">
        <f>VLOOKUP(currency,Tables!$A$1:$C$14,3,FALSE)*pledged</f>
        <v>3785</v>
      </c>
    </row>
    <row r="2031" spans="1:21" ht="43.2" x14ac:dyDescent="0.55000000000000004">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16">
        <f t="shared" si="187"/>
        <v>96.063829787234042</v>
      </c>
      <c r="Q2031" t="str">
        <f t="shared" si="190"/>
        <v>technology</v>
      </c>
      <c r="R2031" t="str">
        <f t="shared" si="191"/>
        <v>hardware</v>
      </c>
      <c r="S2031" s="4">
        <f t="shared" si="188"/>
        <v>41848.021770833337</v>
      </c>
      <c r="T2031" s="4">
        <f t="shared" si="189"/>
        <v>41878.021770833337</v>
      </c>
      <c r="U2031" s="5">
        <f>VLOOKUP(currency,Tables!$A$1:$C$14,3,FALSE)*pledged</f>
        <v>9030</v>
      </c>
    </row>
    <row r="2032" spans="1:21" ht="43.2" x14ac:dyDescent="0.55000000000000004">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16">
        <f t="shared" si="187"/>
        <v>118.6144</v>
      </c>
      <c r="Q2032" t="str">
        <f t="shared" si="190"/>
        <v>technology</v>
      </c>
      <c r="R2032" t="str">
        <f t="shared" si="191"/>
        <v>hardware</v>
      </c>
      <c r="S2032" s="4">
        <f t="shared" si="188"/>
        <v>41212.996481481481</v>
      </c>
      <c r="T2032" s="4">
        <f t="shared" si="189"/>
        <v>41242.996481481481</v>
      </c>
      <c r="U2032" s="5">
        <f>VLOOKUP(currency,Tables!$A$1:$C$14,3,FALSE)*pledged</f>
        <v>97856.88</v>
      </c>
    </row>
    <row r="2033" spans="1:21" ht="28.8" x14ac:dyDescent="0.55000000000000004">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16">
        <f t="shared" si="187"/>
        <v>118.45472440944881</v>
      </c>
      <c r="Q2033" t="str">
        <f t="shared" si="190"/>
        <v>technology</v>
      </c>
      <c r="R2033" t="str">
        <f t="shared" si="191"/>
        <v>hardware</v>
      </c>
      <c r="S2033" s="4">
        <f t="shared" si="188"/>
        <v>41975.329317129625</v>
      </c>
      <c r="T2033" s="4">
        <f t="shared" si="189"/>
        <v>42013.041666666672</v>
      </c>
      <c r="U2033" s="5">
        <f>VLOOKUP(currency,Tables!$A$1:$C$14,3,FALSE)*pledged</f>
        <v>71006.5</v>
      </c>
    </row>
    <row r="2034" spans="1:21" ht="43.2" x14ac:dyDescent="0.55000000000000004">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16">
        <f t="shared" si="187"/>
        <v>143.21468926553672</v>
      </c>
      <c r="Q2034" t="str">
        <f t="shared" si="190"/>
        <v>technology</v>
      </c>
      <c r="R2034" t="str">
        <f t="shared" si="191"/>
        <v>hardware</v>
      </c>
      <c r="S2034" s="4">
        <f t="shared" si="188"/>
        <v>42689.565671296295</v>
      </c>
      <c r="T2034" s="4">
        <f t="shared" si="189"/>
        <v>42719.208333333328</v>
      </c>
      <c r="U2034" s="5">
        <f>VLOOKUP(currency,Tables!$A$1:$C$14,3,FALSE)*pledged</f>
        <v>76047</v>
      </c>
    </row>
    <row r="2035" spans="1:21" ht="43.2" x14ac:dyDescent="0.55000000000000004">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16">
        <f t="shared" si="187"/>
        <v>282.71518987341773</v>
      </c>
      <c r="Q2035" t="str">
        <f t="shared" si="190"/>
        <v>technology</v>
      </c>
      <c r="R2035" t="str">
        <f t="shared" si="191"/>
        <v>hardware</v>
      </c>
      <c r="S2035" s="4">
        <f t="shared" si="188"/>
        <v>41725.082384259258</v>
      </c>
      <c r="T2035" s="4">
        <f t="shared" si="189"/>
        <v>41755.082384259258</v>
      </c>
      <c r="U2035" s="5">
        <f>VLOOKUP(currency,Tables!$A$1:$C$14,3,FALSE)*pledged</f>
        <v>44669</v>
      </c>
    </row>
    <row r="2036" spans="1:21" ht="43.2" x14ac:dyDescent="0.55000000000000004">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16">
        <f t="shared" si="187"/>
        <v>593.93620078740162</v>
      </c>
      <c r="Q2036" t="str">
        <f t="shared" si="190"/>
        <v>technology</v>
      </c>
      <c r="R2036" t="str">
        <f t="shared" si="191"/>
        <v>hardware</v>
      </c>
      <c r="S2036" s="4">
        <f t="shared" si="188"/>
        <v>42076.130011574074</v>
      </c>
      <c r="T2036" s="4">
        <f t="shared" si="189"/>
        <v>42131.290277777778</v>
      </c>
      <c r="U2036" s="5">
        <f>VLOOKUP(currency,Tables!$A$1:$C$14,3,FALSE)*pledged</f>
        <v>301719.59000000003</v>
      </c>
    </row>
    <row r="2037" spans="1:21" ht="43.2" x14ac:dyDescent="0.55000000000000004">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16">
        <f t="shared" si="187"/>
        <v>262.15704968944101</v>
      </c>
      <c r="Q2037" t="str">
        <f t="shared" si="190"/>
        <v>technology</v>
      </c>
      <c r="R2037" t="str">
        <f t="shared" si="191"/>
        <v>hardware</v>
      </c>
      <c r="S2037" s="4">
        <f t="shared" si="188"/>
        <v>42311.625081018516</v>
      </c>
      <c r="T2037" s="4">
        <f t="shared" si="189"/>
        <v>42357.041666666672</v>
      </c>
      <c r="U2037" s="5">
        <f>VLOOKUP(currency,Tables!$A$1:$C$14,3,FALSE)*pledged</f>
        <v>168829.14</v>
      </c>
    </row>
    <row r="2038" spans="1:21" ht="43.2" x14ac:dyDescent="0.55000000000000004">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16">
        <f t="shared" si="187"/>
        <v>46.580778301886795</v>
      </c>
      <c r="Q2038" t="str">
        <f t="shared" si="190"/>
        <v>technology</v>
      </c>
      <c r="R2038" t="str">
        <f t="shared" si="191"/>
        <v>hardware</v>
      </c>
      <c r="S2038" s="4">
        <f t="shared" si="188"/>
        <v>41738.864803240744</v>
      </c>
      <c r="T2038" s="4">
        <f t="shared" si="189"/>
        <v>41768.864803240744</v>
      </c>
      <c r="U2038" s="5">
        <f>VLOOKUP(currency,Tables!$A$1:$C$14,3,FALSE)*pledged</f>
        <v>39500.5</v>
      </c>
    </row>
    <row r="2039" spans="1:21" ht="43.2" x14ac:dyDescent="0.55000000000000004">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16">
        <f t="shared" si="187"/>
        <v>70.041118881118877</v>
      </c>
      <c r="Q2039" t="str">
        <f t="shared" si="190"/>
        <v>technology</v>
      </c>
      <c r="R2039" t="str">
        <f t="shared" si="191"/>
        <v>hardware</v>
      </c>
      <c r="S2039" s="4">
        <f t="shared" si="188"/>
        <v>41578.210104166668</v>
      </c>
      <c r="T2039" s="4">
        <f t="shared" si="189"/>
        <v>41638.251770833333</v>
      </c>
      <c r="U2039" s="5">
        <f>VLOOKUP(currency,Tables!$A$1:$C$14,3,FALSE)*pledged</f>
        <v>30047.64</v>
      </c>
    </row>
    <row r="2040" spans="1:21" ht="43.2" x14ac:dyDescent="0.55000000000000004">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16">
        <f t="shared" si="187"/>
        <v>164.90686274509804</v>
      </c>
      <c r="Q2040" t="str">
        <f t="shared" si="190"/>
        <v>technology</v>
      </c>
      <c r="R2040" t="str">
        <f t="shared" si="191"/>
        <v>hardware</v>
      </c>
      <c r="S2040" s="4">
        <f t="shared" si="188"/>
        <v>41424.27107638889</v>
      </c>
      <c r="T2040" s="4">
        <f t="shared" si="189"/>
        <v>41456.75</v>
      </c>
      <c r="U2040" s="5">
        <f>VLOOKUP(currency,Tables!$A$1:$C$14,3,FALSE)*pledged</f>
        <v>44406.12</v>
      </c>
    </row>
    <row r="2041" spans="1:21" ht="28.8" x14ac:dyDescent="0.55000000000000004">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16">
        <f t="shared" si="187"/>
        <v>449.26385224274406</v>
      </c>
      <c r="Q2041" t="str">
        <f t="shared" si="190"/>
        <v>technology</v>
      </c>
      <c r="R2041" t="str">
        <f t="shared" si="191"/>
        <v>hardware</v>
      </c>
      <c r="S2041" s="4">
        <f t="shared" si="188"/>
        <v>42675.438946759255</v>
      </c>
      <c r="T2041" s="4">
        <f t="shared" si="189"/>
        <v>42705.207638888889</v>
      </c>
      <c r="U2041" s="5">
        <f>VLOOKUP(currency,Tables!$A$1:$C$14,3,FALSE)*pledged</f>
        <v>170271</v>
      </c>
    </row>
    <row r="2042" spans="1:21" ht="28.8" x14ac:dyDescent="0.55000000000000004">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16">
        <f t="shared" si="187"/>
        <v>27.472841328413285</v>
      </c>
      <c r="Q2042" t="str">
        <f t="shared" si="190"/>
        <v>technology</v>
      </c>
      <c r="R2042" t="str">
        <f t="shared" si="191"/>
        <v>hardware</v>
      </c>
      <c r="S2042" s="4">
        <f t="shared" si="188"/>
        <v>41578.927118055559</v>
      </c>
      <c r="T2042" s="4">
        <f t="shared" si="189"/>
        <v>41593.968784722223</v>
      </c>
      <c r="U2042" s="5">
        <f>VLOOKUP(currency,Tables!$A$1:$C$14,3,FALSE)*pledged</f>
        <v>7445.14</v>
      </c>
    </row>
    <row r="2043" spans="1:21" ht="43.2" x14ac:dyDescent="0.55000000000000004">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16">
        <f t="shared" si="187"/>
        <v>143.97499999999999</v>
      </c>
      <c r="Q2043" t="str">
        <f t="shared" si="190"/>
        <v>technology</v>
      </c>
      <c r="R2043" t="str">
        <f t="shared" si="191"/>
        <v>hardware</v>
      </c>
      <c r="S2043" s="4">
        <f t="shared" si="188"/>
        <v>42654.525775462964</v>
      </c>
      <c r="T2043" s="4">
        <f t="shared" si="189"/>
        <v>42684.567442129628</v>
      </c>
      <c r="U2043" s="5">
        <f>VLOOKUP(currency,Tables!$A$1:$C$14,3,FALSE)*pledged</f>
        <v>17277</v>
      </c>
    </row>
    <row r="2044" spans="1:21" ht="43.2" x14ac:dyDescent="0.55000000000000004">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16">
        <f t="shared" si="187"/>
        <v>88.23571428571428</v>
      </c>
      <c r="Q2044" t="str">
        <f t="shared" si="190"/>
        <v>technology</v>
      </c>
      <c r="R2044" t="str">
        <f t="shared" si="191"/>
        <v>hardware</v>
      </c>
      <c r="S2044" s="4">
        <f t="shared" si="188"/>
        <v>42331.708032407405</v>
      </c>
      <c r="T2044" s="4">
        <f t="shared" si="189"/>
        <v>42391.708032407405</v>
      </c>
      <c r="U2044" s="5">
        <f>VLOOKUP(currency,Tables!$A$1:$C$14,3,FALSE)*pledged</f>
        <v>12353</v>
      </c>
    </row>
    <row r="2045" spans="1:21" ht="43.2" x14ac:dyDescent="0.55000000000000004">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16">
        <f t="shared" si="187"/>
        <v>36.326424870466319</v>
      </c>
      <c r="Q2045" t="str">
        <f t="shared" si="190"/>
        <v>technology</v>
      </c>
      <c r="R2045" t="str">
        <f t="shared" si="191"/>
        <v>hardware</v>
      </c>
      <c r="S2045" s="4">
        <f t="shared" si="188"/>
        <v>42661.176817129628</v>
      </c>
      <c r="T2045" s="4">
        <f t="shared" si="189"/>
        <v>42715.207638888889</v>
      </c>
      <c r="U2045" s="5">
        <f>VLOOKUP(currency,Tables!$A$1:$C$14,3,FALSE)*pledged</f>
        <v>7011</v>
      </c>
    </row>
    <row r="2046" spans="1:21" ht="43.2" x14ac:dyDescent="0.55000000000000004">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16">
        <f t="shared" si="187"/>
        <v>90.177777777777777</v>
      </c>
      <c r="Q2046" t="str">
        <f t="shared" si="190"/>
        <v>technology</v>
      </c>
      <c r="R2046" t="str">
        <f t="shared" si="191"/>
        <v>hardware</v>
      </c>
      <c r="S2046" s="4">
        <f t="shared" si="188"/>
        <v>42138.684189814812</v>
      </c>
      <c r="T2046" s="4">
        <f t="shared" si="189"/>
        <v>42168.684189814812</v>
      </c>
      <c r="U2046" s="5">
        <f>VLOOKUP(currency,Tables!$A$1:$C$14,3,FALSE)*pledged</f>
        <v>16232</v>
      </c>
    </row>
    <row r="2047" spans="1:21" ht="43.2" x14ac:dyDescent="0.55000000000000004">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16">
        <f t="shared" si="187"/>
        <v>152.62361216730039</v>
      </c>
      <c r="Q2047" t="str">
        <f t="shared" si="190"/>
        <v>technology</v>
      </c>
      <c r="R2047" t="str">
        <f t="shared" si="191"/>
        <v>hardware</v>
      </c>
      <c r="S2047" s="4">
        <f t="shared" si="188"/>
        <v>41069.088506944441</v>
      </c>
      <c r="T2047" s="4">
        <f t="shared" si="189"/>
        <v>41099.088506944441</v>
      </c>
      <c r="U2047" s="5">
        <f>VLOOKUP(currency,Tables!$A$1:$C$14,3,FALSE)*pledged</f>
        <v>40140.01</v>
      </c>
    </row>
    <row r="2048" spans="1:21" ht="43.2" x14ac:dyDescent="0.55000000000000004">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16">
        <f t="shared" si="187"/>
        <v>55.806451612903224</v>
      </c>
      <c r="Q2048" t="str">
        <f t="shared" si="190"/>
        <v>technology</v>
      </c>
      <c r="R2048" t="str">
        <f t="shared" si="191"/>
        <v>hardware</v>
      </c>
      <c r="S2048" s="4">
        <f t="shared" si="188"/>
        <v>41387.171805555554</v>
      </c>
      <c r="T2048" s="4">
        <f t="shared" si="189"/>
        <v>41417.171805555554</v>
      </c>
      <c r="U2048" s="5">
        <f>VLOOKUP(currency,Tables!$A$1:$C$14,3,FALSE)*pledged</f>
        <v>12110</v>
      </c>
    </row>
    <row r="2049" spans="1:21" ht="43.2" x14ac:dyDescent="0.55000000000000004">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16">
        <f t="shared" si="187"/>
        <v>227.85327313769753</v>
      </c>
      <c r="Q2049" t="str">
        <f t="shared" si="190"/>
        <v>technology</v>
      </c>
      <c r="R2049" t="str">
        <f t="shared" si="191"/>
        <v>hardware</v>
      </c>
      <c r="S2049" s="4">
        <f t="shared" si="188"/>
        <v>42081.903587962966</v>
      </c>
      <c r="T2049" s="4">
        <f t="shared" si="189"/>
        <v>42111</v>
      </c>
      <c r="U2049" s="5">
        <f>VLOOKUP(currency,Tables!$A$1:$C$14,3,FALSE)*pledged</f>
        <v>73685.47</v>
      </c>
    </row>
    <row r="2050" spans="1:21" ht="43.2" x14ac:dyDescent="0.55000000000000004">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ref="O2050:O2113" si="192">pledged/goal</f>
        <v>1.4833229411764706</v>
      </c>
      <c r="P2050" s="16">
        <f t="shared" ref="P2050:P2113" si="193">IF(pledged=0,0,pledged/backers_count)</f>
        <v>91.82989803350327</v>
      </c>
      <c r="Q2050" t="str">
        <f t="shared" si="190"/>
        <v>technology</v>
      </c>
      <c r="R2050" t="str">
        <f t="shared" si="191"/>
        <v>hardware</v>
      </c>
      <c r="S2050" s="4">
        <f t="shared" ref="S2050:S2113" si="194">(((Unix_launched_date/60)/60)/24)+DATE(1970,1,1)</f>
        <v>41387.651516203703</v>
      </c>
      <c r="T2050" s="4">
        <f t="shared" ref="T2050:T2113" si="195">(((Unix_deadline/60)/60)/24)+DATE(1970,1,1)</f>
        <v>41417.651516203703</v>
      </c>
      <c r="U2050" s="5">
        <f>VLOOKUP(currency,Tables!$A$1:$C$14,3,FALSE)*pledged</f>
        <v>126082.45</v>
      </c>
    </row>
    <row r="2051" spans="1:21" x14ac:dyDescent="0.55000000000000004">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si="192"/>
        <v>1.2019070000000001</v>
      </c>
      <c r="P2051" s="16">
        <f t="shared" si="193"/>
        <v>80.991037735849048</v>
      </c>
      <c r="Q2051" t="str">
        <f t="shared" ref="Q2051:Q2114" si="196">LEFT(N2051,FIND("/",N2051,1)-1)</f>
        <v>technology</v>
      </c>
      <c r="R2051" t="str">
        <f t="shared" ref="R2051:R2114" si="197">RIGHT(N2051,(LEN(N2051)-FIND("/",N2051,1)))</f>
        <v>hardware</v>
      </c>
      <c r="S2051" s="4">
        <f t="shared" si="194"/>
        <v>41575.527349537035</v>
      </c>
      <c r="T2051" s="4">
        <f t="shared" si="195"/>
        <v>41610.957638888889</v>
      </c>
      <c r="U2051" s="5">
        <f>VLOOKUP(currency,Tables!$A$1:$C$14,3,FALSE)*pledged</f>
        <v>79325.862000000008</v>
      </c>
    </row>
    <row r="2052" spans="1:21" ht="43.2" x14ac:dyDescent="0.55000000000000004">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16">
        <f t="shared" si="193"/>
        <v>278.39411764705881</v>
      </c>
      <c r="Q2052" t="str">
        <f t="shared" si="196"/>
        <v>technology</v>
      </c>
      <c r="R2052" t="str">
        <f t="shared" si="197"/>
        <v>hardware</v>
      </c>
      <c r="S2052" s="4">
        <f t="shared" si="194"/>
        <v>42115.071504629625</v>
      </c>
      <c r="T2052" s="4">
        <f t="shared" si="195"/>
        <v>42155.071504629625</v>
      </c>
      <c r="U2052" s="5">
        <f>VLOOKUP(currency,Tables!$A$1:$C$14,3,FALSE)*pledged</f>
        <v>47327</v>
      </c>
    </row>
    <row r="2053" spans="1:21" ht="43.2" x14ac:dyDescent="0.55000000000000004">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16">
        <f t="shared" si="193"/>
        <v>43.095041322314053</v>
      </c>
      <c r="Q2053" t="str">
        <f t="shared" si="196"/>
        <v>technology</v>
      </c>
      <c r="R2053" t="str">
        <f t="shared" si="197"/>
        <v>hardware</v>
      </c>
      <c r="S2053" s="4">
        <f t="shared" si="194"/>
        <v>41604.022418981483</v>
      </c>
      <c r="T2053" s="4">
        <f t="shared" si="195"/>
        <v>41634.022418981483</v>
      </c>
      <c r="U2053" s="5">
        <f>VLOOKUP(currency,Tables!$A$1:$C$14,3,FALSE)*pledged</f>
        <v>10429</v>
      </c>
    </row>
    <row r="2054" spans="1:21" ht="43.2" x14ac:dyDescent="0.55000000000000004">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16">
        <f t="shared" si="193"/>
        <v>326.29205175600737</v>
      </c>
      <c r="Q2054" t="str">
        <f t="shared" si="196"/>
        <v>technology</v>
      </c>
      <c r="R2054" t="str">
        <f t="shared" si="197"/>
        <v>hardware</v>
      </c>
      <c r="S2054" s="4">
        <f t="shared" si="194"/>
        <v>42375.08394675926</v>
      </c>
      <c r="T2054" s="4">
        <f t="shared" si="195"/>
        <v>42420.08394675926</v>
      </c>
      <c r="U2054" s="5">
        <f>VLOOKUP(currency,Tables!$A$1:$C$14,3,FALSE)*pledged</f>
        <v>176524</v>
      </c>
    </row>
    <row r="2055" spans="1:21" ht="43.2" x14ac:dyDescent="0.55000000000000004">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16">
        <f t="shared" si="193"/>
        <v>41.743801652892564</v>
      </c>
      <c r="Q2055" t="str">
        <f t="shared" si="196"/>
        <v>technology</v>
      </c>
      <c r="R2055" t="str">
        <f t="shared" si="197"/>
        <v>hardware</v>
      </c>
      <c r="S2055" s="4">
        <f t="shared" si="194"/>
        <v>42303.617488425924</v>
      </c>
      <c r="T2055" s="4">
        <f t="shared" si="195"/>
        <v>42333.659155092595</v>
      </c>
      <c r="U2055" s="5">
        <f>VLOOKUP(currency,Tables!$A$1:$C$14,3,FALSE)*pledged</f>
        <v>5051</v>
      </c>
    </row>
    <row r="2056" spans="1:21" ht="43.2" x14ac:dyDescent="0.55000000000000004">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16">
        <f t="shared" si="193"/>
        <v>64.020933977455712</v>
      </c>
      <c r="Q2056" t="str">
        <f t="shared" si="196"/>
        <v>technology</v>
      </c>
      <c r="R2056" t="str">
        <f t="shared" si="197"/>
        <v>hardware</v>
      </c>
      <c r="S2056" s="4">
        <f t="shared" si="194"/>
        <v>41731.520949074074</v>
      </c>
      <c r="T2056" s="4">
        <f t="shared" si="195"/>
        <v>41761.520949074074</v>
      </c>
      <c r="U2056" s="5">
        <f>VLOOKUP(currency,Tables!$A$1:$C$14,3,FALSE)*pledged</f>
        <v>52479.240000000005</v>
      </c>
    </row>
    <row r="2057" spans="1:21" ht="43.2" x14ac:dyDescent="0.55000000000000004">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16">
        <f t="shared" si="193"/>
        <v>99.455445544554451</v>
      </c>
      <c r="Q2057" t="str">
        <f t="shared" si="196"/>
        <v>technology</v>
      </c>
      <c r="R2057" t="str">
        <f t="shared" si="197"/>
        <v>hardware</v>
      </c>
      <c r="S2057" s="4">
        <f t="shared" si="194"/>
        <v>41946.674108796295</v>
      </c>
      <c r="T2057" s="4">
        <f t="shared" si="195"/>
        <v>41976.166666666672</v>
      </c>
      <c r="U2057" s="5">
        <f>VLOOKUP(currency,Tables!$A$1:$C$14,3,FALSE)*pledged</f>
        <v>10045</v>
      </c>
    </row>
    <row r="2058" spans="1:21" ht="43.2" x14ac:dyDescent="0.55000000000000004">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16">
        <f t="shared" si="193"/>
        <v>138.49458483754512</v>
      </c>
      <c r="Q2058" t="str">
        <f t="shared" si="196"/>
        <v>technology</v>
      </c>
      <c r="R2058" t="str">
        <f t="shared" si="197"/>
        <v>hardware</v>
      </c>
      <c r="S2058" s="4">
        <f t="shared" si="194"/>
        <v>41351.76090277778</v>
      </c>
      <c r="T2058" s="4">
        <f t="shared" si="195"/>
        <v>41381.76090277778</v>
      </c>
      <c r="U2058" s="5">
        <f>VLOOKUP(currency,Tables!$A$1:$C$14,3,FALSE)*pledged</f>
        <v>76726</v>
      </c>
    </row>
    <row r="2059" spans="1:21" ht="43.2" x14ac:dyDescent="0.55000000000000004">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16">
        <f t="shared" si="193"/>
        <v>45.547792792792798</v>
      </c>
      <c r="Q2059" t="str">
        <f t="shared" si="196"/>
        <v>technology</v>
      </c>
      <c r="R2059" t="str">
        <f t="shared" si="197"/>
        <v>hardware</v>
      </c>
      <c r="S2059" s="4">
        <f t="shared" si="194"/>
        <v>42396.494583333333</v>
      </c>
      <c r="T2059" s="4">
        <f t="shared" si="195"/>
        <v>42426.494583333333</v>
      </c>
      <c r="U2059" s="5">
        <f>VLOOKUP(currency,Tables!$A$1:$C$14,3,FALSE)*pledged</f>
        <v>40041.975600000005</v>
      </c>
    </row>
    <row r="2060" spans="1:21" ht="28.8" x14ac:dyDescent="0.55000000000000004">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16">
        <f t="shared" si="193"/>
        <v>10.507317073170732</v>
      </c>
      <c r="Q2060" t="str">
        <f t="shared" si="196"/>
        <v>technology</v>
      </c>
      <c r="R2060" t="str">
        <f t="shared" si="197"/>
        <v>hardware</v>
      </c>
      <c r="S2060" s="4">
        <f t="shared" si="194"/>
        <v>42026.370717592596</v>
      </c>
      <c r="T2060" s="4">
        <f t="shared" si="195"/>
        <v>42065.833333333328</v>
      </c>
      <c r="U2060" s="5">
        <f>VLOOKUP(currency,Tables!$A$1:$C$14,3,FALSE)*pledged</f>
        <v>5686.56</v>
      </c>
    </row>
    <row r="2061" spans="1:21" ht="43.2" x14ac:dyDescent="0.55000000000000004">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16">
        <f t="shared" si="193"/>
        <v>114.76533333333333</v>
      </c>
      <c r="Q2061" t="str">
        <f t="shared" si="196"/>
        <v>technology</v>
      </c>
      <c r="R2061" t="str">
        <f t="shared" si="197"/>
        <v>hardware</v>
      </c>
      <c r="S2061" s="4">
        <f t="shared" si="194"/>
        <v>42361.602476851855</v>
      </c>
      <c r="T2061" s="4">
        <f t="shared" si="195"/>
        <v>42400.915972222225</v>
      </c>
      <c r="U2061" s="5">
        <f>VLOOKUP(currency,Tables!$A$1:$C$14,3,FALSE)*pledged</f>
        <v>43037</v>
      </c>
    </row>
    <row r="2062" spans="1:21" ht="43.2" x14ac:dyDescent="0.55000000000000004">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16">
        <f t="shared" si="193"/>
        <v>35.997067448680355</v>
      </c>
      <c r="Q2062" t="str">
        <f t="shared" si="196"/>
        <v>technology</v>
      </c>
      <c r="R2062" t="str">
        <f t="shared" si="197"/>
        <v>hardware</v>
      </c>
      <c r="S2062" s="4">
        <f t="shared" si="194"/>
        <v>41783.642939814818</v>
      </c>
      <c r="T2062" s="4">
        <f t="shared" si="195"/>
        <v>41843.642939814818</v>
      </c>
      <c r="U2062" s="5">
        <f>VLOOKUP(currency,Tables!$A$1:$C$14,3,FALSE)*pledged</f>
        <v>49100</v>
      </c>
    </row>
    <row r="2063" spans="1:21" ht="43.2" x14ac:dyDescent="0.55000000000000004">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16">
        <f t="shared" si="193"/>
        <v>154.17142857142858</v>
      </c>
      <c r="Q2063" t="str">
        <f t="shared" si="196"/>
        <v>technology</v>
      </c>
      <c r="R2063" t="str">
        <f t="shared" si="197"/>
        <v>hardware</v>
      </c>
      <c r="S2063" s="4">
        <f t="shared" si="194"/>
        <v>42705.764513888891</v>
      </c>
      <c r="T2063" s="4">
        <f t="shared" si="195"/>
        <v>42735.764513888891</v>
      </c>
      <c r="U2063" s="5">
        <f>VLOOKUP(currency,Tables!$A$1:$C$14,3,FALSE)*pledged</f>
        <v>5396</v>
      </c>
    </row>
    <row r="2064" spans="1:21" ht="43.2" x14ac:dyDescent="0.55000000000000004">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16">
        <f t="shared" si="193"/>
        <v>566.38916256157631</v>
      </c>
      <c r="Q2064" t="str">
        <f t="shared" si="196"/>
        <v>technology</v>
      </c>
      <c r="R2064" t="str">
        <f t="shared" si="197"/>
        <v>hardware</v>
      </c>
      <c r="S2064" s="4">
        <f t="shared" si="194"/>
        <v>42423.3830787037</v>
      </c>
      <c r="T2064" s="4">
        <f t="shared" si="195"/>
        <v>42453.341412037036</v>
      </c>
      <c r="U2064" s="5">
        <f>VLOOKUP(currency,Tables!$A$1:$C$14,3,FALSE)*pledged</f>
        <v>18396.32</v>
      </c>
    </row>
    <row r="2065" spans="1:21" ht="28.8" x14ac:dyDescent="0.55000000000000004">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16">
        <f t="shared" si="193"/>
        <v>120.85714285714286</v>
      </c>
      <c r="Q2065" t="str">
        <f t="shared" si="196"/>
        <v>technology</v>
      </c>
      <c r="R2065" t="str">
        <f t="shared" si="197"/>
        <v>hardware</v>
      </c>
      <c r="S2065" s="4">
        <f t="shared" si="194"/>
        <v>42472.73265046296</v>
      </c>
      <c r="T2065" s="4">
        <f t="shared" si="195"/>
        <v>42505.73265046296</v>
      </c>
      <c r="U2065" s="5">
        <f>VLOOKUP(currency,Tables!$A$1:$C$14,3,FALSE)*pledged</f>
        <v>6987.96</v>
      </c>
    </row>
    <row r="2066" spans="1:21" ht="43.2" x14ac:dyDescent="0.55000000000000004">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16">
        <f t="shared" si="193"/>
        <v>86.163845492085343</v>
      </c>
      <c r="Q2066" t="str">
        <f t="shared" si="196"/>
        <v>technology</v>
      </c>
      <c r="R2066" t="str">
        <f t="shared" si="197"/>
        <v>hardware</v>
      </c>
      <c r="S2066" s="4">
        <f t="shared" si="194"/>
        <v>41389.364849537036</v>
      </c>
      <c r="T2066" s="4">
        <f t="shared" si="195"/>
        <v>41425.5</v>
      </c>
      <c r="U2066" s="5">
        <f>VLOOKUP(currency,Tables!$A$1:$C$14,3,FALSE)*pledged</f>
        <v>500784.27</v>
      </c>
    </row>
    <row r="2067" spans="1:21" ht="43.2" x14ac:dyDescent="0.55000000000000004">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16">
        <f t="shared" si="193"/>
        <v>51.212114395886893</v>
      </c>
      <c r="Q2067" t="str">
        <f t="shared" si="196"/>
        <v>technology</v>
      </c>
      <c r="R2067" t="str">
        <f t="shared" si="197"/>
        <v>hardware</v>
      </c>
      <c r="S2067" s="4">
        <f t="shared" si="194"/>
        <v>41603.333668981482</v>
      </c>
      <c r="T2067" s="4">
        <f t="shared" si="195"/>
        <v>41633.333668981482</v>
      </c>
      <c r="U2067" s="5">
        <f>VLOOKUP(currency,Tables!$A$1:$C$14,3,FALSE)*pledged</f>
        <v>105185.58600000001</v>
      </c>
    </row>
    <row r="2068" spans="1:21" ht="43.2" x14ac:dyDescent="0.55000000000000004">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16">
        <f t="shared" si="193"/>
        <v>67.261538461538464</v>
      </c>
      <c r="Q2068" t="str">
        <f t="shared" si="196"/>
        <v>technology</v>
      </c>
      <c r="R2068" t="str">
        <f t="shared" si="197"/>
        <v>hardware</v>
      </c>
      <c r="S2068" s="4">
        <f t="shared" si="194"/>
        <v>41844.771793981483</v>
      </c>
      <c r="T2068" s="4">
        <f t="shared" si="195"/>
        <v>41874.771793981483</v>
      </c>
      <c r="U2068" s="5">
        <f>VLOOKUP(currency,Tables!$A$1:$C$14,3,FALSE)*pledged</f>
        <v>4372</v>
      </c>
    </row>
    <row r="2069" spans="1:21" ht="43.2" x14ac:dyDescent="0.55000000000000004">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16">
        <f t="shared" si="193"/>
        <v>62.8</v>
      </c>
      <c r="Q2069" t="str">
        <f t="shared" si="196"/>
        <v>technology</v>
      </c>
      <c r="R2069" t="str">
        <f t="shared" si="197"/>
        <v>hardware</v>
      </c>
      <c r="S2069" s="4">
        <f t="shared" si="194"/>
        <v>42115.853888888887</v>
      </c>
      <c r="T2069" s="4">
        <f t="shared" si="195"/>
        <v>42148.853888888887</v>
      </c>
      <c r="U2069" s="5">
        <f>VLOOKUP(currency,Tables!$A$1:$C$14,3,FALSE)*pledged</f>
        <v>828.96</v>
      </c>
    </row>
    <row r="2070" spans="1:21" ht="43.2" x14ac:dyDescent="0.55000000000000004">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16">
        <f t="shared" si="193"/>
        <v>346.13118421052633</v>
      </c>
      <c r="Q2070" t="str">
        <f t="shared" si="196"/>
        <v>technology</v>
      </c>
      <c r="R2070" t="str">
        <f t="shared" si="197"/>
        <v>hardware</v>
      </c>
      <c r="S2070" s="4">
        <f t="shared" si="194"/>
        <v>42633.841608796298</v>
      </c>
      <c r="T2070" s="4">
        <f t="shared" si="195"/>
        <v>42663.841608796298</v>
      </c>
      <c r="U2070" s="5">
        <f>VLOOKUP(currency,Tables!$A$1:$C$14,3,FALSE)*pledged</f>
        <v>26305.97</v>
      </c>
    </row>
    <row r="2071" spans="1:21" ht="43.2" x14ac:dyDescent="0.55000000000000004">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16">
        <f t="shared" si="193"/>
        <v>244.11912547528519</v>
      </c>
      <c r="Q2071" t="str">
        <f t="shared" si="196"/>
        <v>technology</v>
      </c>
      <c r="R2071" t="str">
        <f t="shared" si="197"/>
        <v>hardware</v>
      </c>
      <c r="S2071" s="4">
        <f t="shared" si="194"/>
        <v>42340.972118055557</v>
      </c>
      <c r="T2071" s="4">
        <f t="shared" si="195"/>
        <v>42371.972118055557</v>
      </c>
      <c r="U2071" s="5">
        <f>VLOOKUP(currency,Tables!$A$1:$C$14,3,FALSE)*pledged</f>
        <v>64203.33</v>
      </c>
    </row>
    <row r="2072" spans="1:21" ht="43.2" x14ac:dyDescent="0.55000000000000004">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16">
        <f t="shared" si="193"/>
        <v>259.25424836601309</v>
      </c>
      <c r="Q2072" t="str">
        <f t="shared" si="196"/>
        <v>technology</v>
      </c>
      <c r="R2072" t="str">
        <f t="shared" si="197"/>
        <v>hardware</v>
      </c>
      <c r="S2072" s="4">
        <f t="shared" si="194"/>
        <v>42519.6565162037</v>
      </c>
      <c r="T2072" s="4">
        <f t="shared" si="195"/>
        <v>42549.6565162037</v>
      </c>
      <c r="U2072" s="5">
        <f>VLOOKUP(currency,Tables!$A$1:$C$14,3,FALSE)*pledged</f>
        <v>468057.62</v>
      </c>
    </row>
    <row r="2073" spans="1:21" ht="43.2" x14ac:dyDescent="0.55000000000000004">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16">
        <f t="shared" si="193"/>
        <v>201.96402877697841</v>
      </c>
      <c r="Q2073" t="str">
        <f t="shared" si="196"/>
        <v>technology</v>
      </c>
      <c r="R2073" t="str">
        <f t="shared" si="197"/>
        <v>hardware</v>
      </c>
      <c r="S2073" s="4">
        <f t="shared" si="194"/>
        <v>42600.278749999998</v>
      </c>
      <c r="T2073" s="4">
        <f t="shared" si="195"/>
        <v>42645.278749999998</v>
      </c>
      <c r="U2073" s="5">
        <f>VLOOKUP(currency,Tables!$A$1:$C$14,3,FALSE)*pledged</f>
        <v>56146</v>
      </c>
    </row>
    <row r="2074" spans="1:21" ht="43.2" x14ac:dyDescent="0.55000000000000004">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16">
        <f t="shared" si="193"/>
        <v>226.20857142857142</v>
      </c>
      <c r="Q2074" t="str">
        <f t="shared" si="196"/>
        <v>technology</v>
      </c>
      <c r="R2074" t="str">
        <f t="shared" si="197"/>
        <v>hardware</v>
      </c>
      <c r="S2074" s="4">
        <f t="shared" si="194"/>
        <v>42467.581388888888</v>
      </c>
      <c r="T2074" s="4">
        <f t="shared" si="195"/>
        <v>42497.581388888888</v>
      </c>
      <c r="U2074" s="5">
        <f>VLOOKUP(currency,Tables!$A$1:$C$14,3,FALSE)*pledged</f>
        <v>79173</v>
      </c>
    </row>
    <row r="2075" spans="1:21" ht="43.2" x14ac:dyDescent="0.55000000000000004">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16">
        <f t="shared" si="193"/>
        <v>324.69</v>
      </c>
      <c r="Q2075" t="str">
        <f t="shared" si="196"/>
        <v>technology</v>
      </c>
      <c r="R2075" t="str">
        <f t="shared" si="197"/>
        <v>hardware</v>
      </c>
      <c r="S2075" s="4">
        <f t="shared" si="194"/>
        <v>42087.668032407411</v>
      </c>
      <c r="T2075" s="4">
        <f t="shared" si="195"/>
        <v>42132.668032407411</v>
      </c>
      <c r="U2075" s="5">
        <f>VLOOKUP(currency,Tables!$A$1:$C$14,3,FALSE)*pledged</f>
        <v>152604.29999999999</v>
      </c>
    </row>
    <row r="2076" spans="1:21" ht="28.8" x14ac:dyDescent="0.55000000000000004">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16">
        <f t="shared" si="193"/>
        <v>205</v>
      </c>
      <c r="Q2076" t="str">
        <f t="shared" si="196"/>
        <v>technology</v>
      </c>
      <c r="R2076" t="str">
        <f t="shared" si="197"/>
        <v>hardware</v>
      </c>
      <c r="S2076" s="4">
        <f t="shared" si="194"/>
        <v>42466.826180555552</v>
      </c>
      <c r="T2076" s="4">
        <f t="shared" si="195"/>
        <v>42496.826180555552</v>
      </c>
      <c r="U2076" s="5">
        <f>VLOOKUP(currency,Tables!$A$1:$C$14,3,FALSE)*pledged</f>
        <v>615</v>
      </c>
    </row>
    <row r="2077" spans="1:21" ht="43.2" x14ac:dyDescent="0.55000000000000004">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16">
        <f t="shared" si="193"/>
        <v>20.465926829268295</v>
      </c>
      <c r="Q2077" t="str">
        <f t="shared" si="196"/>
        <v>technology</v>
      </c>
      <c r="R2077" t="str">
        <f t="shared" si="197"/>
        <v>hardware</v>
      </c>
      <c r="S2077" s="4">
        <f t="shared" si="194"/>
        <v>41450.681574074071</v>
      </c>
      <c r="T2077" s="4">
        <f t="shared" si="195"/>
        <v>41480.681574074071</v>
      </c>
      <c r="U2077" s="5">
        <f>VLOOKUP(currency,Tables!$A$1:$C$14,3,FALSE)*pledged</f>
        <v>167820.6</v>
      </c>
    </row>
    <row r="2078" spans="1:21" ht="28.8" x14ac:dyDescent="0.55000000000000004">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16">
        <f t="shared" si="193"/>
        <v>116.35303146309367</v>
      </c>
      <c r="Q2078" t="str">
        <f t="shared" si="196"/>
        <v>technology</v>
      </c>
      <c r="R2078" t="str">
        <f t="shared" si="197"/>
        <v>hardware</v>
      </c>
      <c r="S2078" s="4">
        <f t="shared" si="194"/>
        <v>41803.880659722221</v>
      </c>
      <c r="T2078" s="4">
        <f t="shared" si="195"/>
        <v>41843.880659722221</v>
      </c>
      <c r="U2078" s="5">
        <f>VLOOKUP(currency,Tables!$A$1:$C$14,3,FALSE)*pledged</f>
        <v>1283825.3868</v>
      </c>
    </row>
    <row r="2079" spans="1:21" ht="43.2" x14ac:dyDescent="0.55000000000000004">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16">
        <f t="shared" si="193"/>
        <v>307.20212765957444</v>
      </c>
      <c r="Q2079" t="str">
        <f t="shared" si="196"/>
        <v>technology</v>
      </c>
      <c r="R2079" t="str">
        <f t="shared" si="197"/>
        <v>hardware</v>
      </c>
      <c r="S2079" s="4">
        <f t="shared" si="194"/>
        <v>42103.042546296296</v>
      </c>
      <c r="T2079" s="4">
        <f t="shared" si="195"/>
        <v>42160.875</v>
      </c>
      <c r="U2079" s="5">
        <f>VLOOKUP(currency,Tables!$A$1:$C$14,3,FALSE)*pledged</f>
        <v>57754</v>
      </c>
    </row>
    <row r="2080" spans="1:21" ht="43.2" x14ac:dyDescent="0.55000000000000004">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16">
        <f t="shared" si="193"/>
        <v>546.6875</v>
      </c>
      <c r="Q2080" t="str">
        <f t="shared" si="196"/>
        <v>technology</v>
      </c>
      <c r="R2080" t="str">
        <f t="shared" si="197"/>
        <v>hardware</v>
      </c>
      <c r="S2080" s="4">
        <f t="shared" si="194"/>
        <v>42692.771493055552</v>
      </c>
      <c r="T2080" s="4">
        <f t="shared" si="195"/>
        <v>42722.771493055552</v>
      </c>
      <c r="U2080" s="5">
        <f>VLOOKUP(currency,Tables!$A$1:$C$14,3,FALSE)*pledged</f>
        <v>30964.379999999997</v>
      </c>
    </row>
    <row r="2081" spans="1:21" ht="43.2" x14ac:dyDescent="0.55000000000000004">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16">
        <f t="shared" si="193"/>
        <v>47.474464579901152</v>
      </c>
      <c r="Q2081" t="str">
        <f t="shared" si="196"/>
        <v>technology</v>
      </c>
      <c r="R2081" t="str">
        <f t="shared" si="197"/>
        <v>hardware</v>
      </c>
      <c r="S2081" s="4">
        <f t="shared" si="194"/>
        <v>42150.71056712963</v>
      </c>
      <c r="T2081" s="4">
        <f t="shared" si="195"/>
        <v>42180.791666666672</v>
      </c>
      <c r="U2081" s="5">
        <f>VLOOKUP(currency,Tables!$A$1:$C$14,3,FALSE)*pledged</f>
        <v>38038.44</v>
      </c>
    </row>
    <row r="2082" spans="1:21" ht="43.2" x14ac:dyDescent="0.55000000000000004">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16">
        <f t="shared" si="193"/>
        <v>101.56</v>
      </c>
      <c r="Q2082" t="str">
        <f t="shared" si="196"/>
        <v>technology</v>
      </c>
      <c r="R2082" t="str">
        <f t="shared" si="197"/>
        <v>hardware</v>
      </c>
      <c r="S2082" s="4">
        <f t="shared" si="194"/>
        <v>42289.957175925927</v>
      </c>
      <c r="T2082" s="4">
        <f t="shared" si="195"/>
        <v>42319.998842592591</v>
      </c>
      <c r="U2082" s="5">
        <f>VLOOKUP(currency,Tables!$A$1:$C$14,3,FALSE)*pledged</f>
        <v>5078</v>
      </c>
    </row>
    <row r="2083" spans="1:21" ht="43.2" x14ac:dyDescent="0.55000000000000004">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16">
        <f t="shared" si="193"/>
        <v>72.909090909090907</v>
      </c>
      <c r="Q2083" t="str">
        <f t="shared" si="196"/>
        <v>music</v>
      </c>
      <c r="R2083" t="str">
        <f t="shared" si="197"/>
        <v>indie rock</v>
      </c>
      <c r="S2083" s="4">
        <f t="shared" si="194"/>
        <v>41004.156886574077</v>
      </c>
      <c r="T2083" s="4">
        <f t="shared" si="195"/>
        <v>41045.207638888889</v>
      </c>
      <c r="U2083" s="5">
        <f>VLOOKUP(currency,Tables!$A$1:$C$14,3,FALSE)*pledged</f>
        <v>4010</v>
      </c>
    </row>
    <row r="2084" spans="1:21" ht="43.2" x14ac:dyDescent="0.55000000000000004">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16">
        <f t="shared" si="193"/>
        <v>43.710526315789473</v>
      </c>
      <c r="Q2084" t="str">
        <f t="shared" si="196"/>
        <v>music</v>
      </c>
      <c r="R2084" t="str">
        <f t="shared" si="197"/>
        <v>indie rock</v>
      </c>
      <c r="S2084" s="4">
        <f t="shared" si="194"/>
        <v>40811.120324074072</v>
      </c>
      <c r="T2084" s="4">
        <f t="shared" si="195"/>
        <v>40871.161990740737</v>
      </c>
      <c r="U2084" s="5">
        <f>VLOOKUP(currency,Tables!$A$1:$C$14,3,FALSE)*pledged</f>
        <v>1661</v>
      </c>
    </row>
    <row r="2085" spans="1:21" ht="43.2" x14ac:dyDescent="0.55000000000000004">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16">
        <f t="shared" si="193"/>
        <v>34</v>
      </c>
      <c r="Q2085" t="str">
        <f t="shared" si="196"/>
        <v>music</v>
      </c>
      <c r="R2085" t="str">
        <f t="shared" si="197"/>
        <v>indie rock</v>
      </c>
      <c r="S2085" s="4">
        <f t="shared" si="194"/>
        <v>41034.72216435185</v>
      </c>
      <c r="T2085" s="4">
        <f t="shared" si="195"/>
        <v>41064.72216435185</v>
      </c>
      <c r="U2085" s="5">
        <f>VLOOKUP(currency,Tables!$A$1:$C$14,3,FALSE)*pledged</f>
        <v>850</v>
      </c>
    </row>
    <row r="2086" spans="1:21" ht="43.2" x14ac:dyDescent="0.55000000000000004">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16">
        <f t="shared" si="193"/>
        <v>70.652173913043484</v>
      </c>
      <c r="Q2086" t="str">
        <f t="shared" si="196"/>
        <v>music</v>
      </c>
      <c r="R2086" t="str">
        <f t="shared" si="197"/>
        <v>indie rock</v>
      </c>
      <c r="S2086" s="4">
        <f t="shared" si="194"/>
        <v>41731.833124999997</v>
      </c>
      <c r="T2086" s="4">
        <f t="shared" si="195"/>
        <v>41763.290972222225</v>
      </c>
      <c r="U2086" s="5">
        <f>VLOOKUP(currency,Tables!$A$1:$C$14,3,FALSE)*pledged</f>
        <v>3250</v>
      </c>
    </row>
    <row r="2087" spans="1:21" ht="43.2" x14ac:dyDescent="0.55000000000000004">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16">
        <f t="shared" si="193"/>
        <v>89.301204819277103</v>
      </c>
      <c r="Q2087" t="str">
        <f t="shared" si="196"/>
        <v>music</v>
      </c>
      <c r="R2087" t="str">
        <f t="shared" si="197"/>
        <v>indie rock</v>
      </c>
      <c r="S2087" s="4">
        <f t="shared" si="194"/>
        <v>41075.835497685184</v>
      </c>
      <c r="T2087" s="4">
        <f t="shared" si="195"/>
        <v>41105.835497685184</v>
      </c>
      <c r="U2087" s="5">
        <f>VLOOKUP(currency,Tables!$A$1:$C$14,3,FALSE)*pledged</f>
        <v>7412</v>
      </c>
    </row>
    <row r="2088" spans="1:21" ht="43.2" x14ac:dyDescent="0.55000000000000004">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16">
        <f t="shared" si="193"/>
        <v>115.08571428571429</v>
      </c>
      <c r="Q2088" t="str">
        <f t="shared" si="196"/>
        <v>music</v>
      </c>
      <c r="R2088" t="str">
        <f t="shared" si="197"/>
        <v>indie rock</v>
      </c>
      <c r="S2088" s="4">
        <f t="shared" si="194"/>
        <v>40860.67050925926</v>
      </c>
      <c r="T2088" s="4">
        <f t="shared" si="195"/>
        <v>40891.207638888889</v>
      </c>
      <c r="U2088" s="5">
        <f>VLOOKUP(currency,Tables!$A$1:$C$14,3,FALSE)*pledged</f>
        <v>4028</v>
      </c>
    </row>
    <row r="2089" spans="1:21" ht="43.2" x14ac:dyDescent="0.55000000000000004">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16">
        <f t="shared" si="193"/>
        <v>62.12</v>
      </c>
      <c r="Q2089" t="str">
        <f t="shared" si="196"/>
        <v>music</v>
      </c>
      <c r="R2089" t="str">
        <f t="shared" si="197"/>
        <v>indie rock</v>
      </c>
      <c r="S2089" s="4">
        <f t="shared" si="194"/>
        <v>40764.204375000001</v>
      </c>
      <c r="T2089" s="4">
        <f t="shared" si="195"/>
        <v>40794.204375000001</v>
      </c>
      <c r="U2089" s="5">
        <f>VLOOKUP(currency,Tables!$A$1:$C$14,3,FALSE)*pledged</f>
        <v>1553</v>
      </c>
    </row>
    <row r="2090" spans="1:21" ht="43.2" x14ac:dyDescent="0.55000000000000004">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16">
        <f t="shared" si="193"/>
        <v>46.204266666666669</v>
      </c>
      <c r="Q2090" t="str">
        <f t="shared" si="196"/>
        <v>music</v>
      </c>
      <c r="R2090" t="str">
        <f t="shared" si="197"/>
        <v>indie rock</v>
      </c>
      <c r="S2090" s="4">
        <f t="shared" si="194"/>
        <v>40395.714722222219</v>
      </c>
      <c r="T2090" s="4">
        <f t="shared" si="195"/>
        <v>40432.165972222225</v>
      </c>
      <c r="U2090" s="5">
        <f>VLOOKUP(currency,Tables!$A$1:$C$14,3,FALSE)*pledged</f>
        <v>3465.32</v>
      </c>
    </row>
    <row r="2091" spans="1:21" ht="28.8" x14ac:dyDescent="0.55000000000000004">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16">
        <f t="shared" si="193"/>
        <v>48.54854838709678</v>
      </c>
      <c r="Q2091" t="str">
        <f t="shared" si="196"/>
        <v>music</v>
      </c>
      <c r="R2091" t="str">
        <f t="shared" si="197"/>
        <v>indie rock</v>
      </c>
      <c r="S2091" s="4">
        <f t="shared" si="194"/>
        <v>41453.076319444444</v>
      </c>
      <c r="T2091" s="4">
        <f t="shared" si="195"/>
        <v>41488.076319444444</v>
      </c>
      <c r="U2091" s="5">
        <f>VLOOKUP(currency,Tables!$A$1:$C$14,3,FALSE)*pledged</f>
        <v>3010.01</v>
      </c>
    </row>
    <row r="2092" spans="1:21" ht="43.2" x14ac:dyDescent="0.55000000000000004">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16">
        <f t="shared" si="193"/>
        <v>57.520187499999999</v>
      </c>
      <c r="Q2092" t="str">
        <f t="shared" si="196"/>
        <v>music</v>
      </c>
      <c r="R2092" t="str">
        <f t="shared" si="197"/>
        <v>indie rock</v>
      </c>
      <c r="S2092" s="4">
        <f t="shared" si="194"/>
        <v>41299.381423611114</v>
      </c>
      <c r="T2092" s="4">
        <f t="shared" si="195"/>
        <v>41329.381423611114</v>
      </c>
      <c r="U2092" s="5">
        <f>VLOOKUP(currency,Tables!$A$1:$C$14,3,FALSE)*pledged</f>
        <v>9203.23</v>
      </c>
    </row>
    <row r="2093" spans="1:21" ht="43.2" x14ac:dyDescent="0.55000000000000004">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16">
        <f t="shared" si="193"/>
        <v>88.147154471544724</v>
      </c>
      <c r="Q2093" t="str">
        <f t="shared" si="196"/>
        <v>music</v>
      </c>
      <c r="R2093" t="str">
        <f t="shared" si="197"/>
        <v>indie rock</v>
      </c>
      <c r="S2093" s="4">
        <f t="shared" si="194"/>
        <v>40555.322662037033</v>
      </c>
      <c r="T2093" s="4">
        <f t="shared" si="195"/>
        <v>40603.833333333336</v>
      </c>
      <c r="U2093" s="5">
        <f>VLOOKUP(currency,Tables!$A$1:$C$14,3,FALSE)*pledged</f>
        <v>21684.2</v>
      </c>
    </row>
    <row r="2094" spans="1:21" ht="43.2" x14ac:dyDescent="0.55000000000000004">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16">
        <f t="shared" si="193"/>
        <v>110.49090909090908</v>
      </c>
      <c r="Q2094" t="str">
        <f t="shared" si="196"/>
        <v>music</v>
      </c>
      <c r="R2094" t="str">
        <f t="shared" si="197"/>
        <v>indie rock</v>
      </c>
      <c r="S2094" s="4">
        <f t="shared" si="194"/>
        <v>40763.707546296297</v>
      </c>
      <c r="T2094" s="4">
        <f t="shared" si="195"/>
        <v>40823.707546296297</v>
      </c>
      <c r="U2094" s="5">
        <f>VLOOKUP(currency,Tables!$A$1:$C$14,3,FALSE)*pledged</f>
        <v>6077</v>
      </c>
    </row>
    <row r="2095" spans="1:21" ht="43.2" x14ac:dyDescent="0.55000000000000004">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16">
        <f t="shared" si="193"/>
        <v>66.826086956521735</v>
      </c>
      <c r="Q2095" t="str">
        <f t="shared" si="196"/>
        <v>music</v>
      </c>
      <c r="R2095" t="str">
        <f t="shared" si="197"/>
        <v>indie rock</v>
      </c>
      <c r="S2095" s="4">
        <f t="shared" si="194"/>
        <v>41205.854537037041</v>
      </c>
      <c r="T2095" s="4">
        <f t="shared" si="195"/>
        <v>41265.896203703705</v>
      </c>
      <c r="U2095" s="5">
        <f>VLOOKUP(currency,Tables!$A$1:$C$14,3,FALSE)*pledged</f>
        <v>1537</v>
      </c>
    </row>
    <row r="2096" spans="1:21" ht="43.2" x14ac:dyDescent="0.55000000000000004">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16">
        <f t="shared" si="193"/>
        <v>58.597222222222221</v>
      </c>
      <c r="Q2096" t="str">
        <f t="shared" si="196"/>
        <v>music</v>
      </c>
      <c r="R2096" t="str">
        <f t="shared" si="197"/>
        <v>indie rock</v>
      </c>
      <c r="S2096" s="4">
        <f t="shared" si="194"/>
        <v>40939.02002314815</v>
      </c>
      <c r="T2096" s="4">
        <f t="shared" si="195"/>
        <v>40973.125</v>
      </c>
      <c r="U2096" s="5">
        <f>VLOOKUP(currency,Tables!$A$1:$C$14,3,FALSE)*pledged</f>
        <v>4219</v>
      </c>
    </row>
    <row r="2097" spans="1:21" ht="43.2" x14ac:dyDescent="0.55000000000000004">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92"/>
        <v>1</v>
      </c>
      <c r="P2097" s="16">
        <f t="shared" si="193"/>
        <v>113.63636363636364</v>
      </c>
      <c r="Q2097" t="str">
        <f t="shared" si="196"/>
        <v>music</v>
      </c>
      <c r="R2097" t="str">
        <f t="shared" si="197"/>
        <v>indie rock</v>
      </c>
      <c r="S2097" s="4">
        <f t="shared" si="194"/>
        <v>40758.733483796292</v>
      </c>
      <c r="T2097" s="4">
        <f t="shared" si="195"/>
        <v>40818.733483796292</v>
      </c>
      <c r="U2097" s="5">
        <f>VLOOKUP(currency,Tables!$A$1:$C$14,3,FALSE)*pledged</f>
        <v>2500</v>
      </c>
    </row>
    <row r="2098" spans="1:21" ht="43.2" x14ac:dyDescent="0.55000000000000004">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16">
        <f t="shared" si="193"/>
        <v>43.571428571428569</v>
      </c>
      <c r="Q2098" t="str">
        <f t="shared" si="196"/>
        <v>music</v>
      </c>
      <c r="R2098" t="str">
        <f t="shared" si="197"/>
        <v>indie rock</v>
      </c>
      <c r="S2098" s="4">
        <f t="shared" si="194"/>
        <v>41192.758506944447</v>
      </c>
      <c r="T2098" s="4">
        <f t="shared" si="195"/>
        <v>41208.165972222225</v>
      </c>
      <c r="U2098" s="5">
        <f>VLOOKUP(currency,Tables!$A$1:$C$14,3,FALSE)*pledged</f>
        <v>610</v>
      </c>
    </row>
    <row r="2099" spans="1:21" ht="43.2" x14ac:dyDescent="0.55000000000000004">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92"/>
        <v>1</v>
      </c>
      <c r="P2099" s="16">
        <f t="shared" si="193"/>
        <v>78.94736842105263</v>
      </c>
      <c r="Q2099" t="str">
        <f t="shared" si="196"/>
        <v>music</v>
      </c>
      <c r="R2099" t="str">
        <f t="shared" si="197"/>
        <v>indie rock</v>
      </c>
      <c r="S2099" s="4">
        <f t="shared" si="194"/>
        <v>40818.58489583333</v>
      </c>
      <c r="T2099" s="4">
        <f t="shared" si="195"/>
        <v>40878.626562500001</v>
      </c>
      <c r="U2099" s="5">
        <f>VLOOKUP(currency,Tables!$A$1:$C$14,3,FALSE)*pledged</f>
        <v>3000</v>
      </c>
    </row>
    <row r="2100" spans="1:21" ht="43.2" x14ac:dyDescent="0.55000000000000004">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16">
        <f t="shared" si="193"/>
        <v>188.125</v>
      </c>
      <c r="Q2100" t="str">
        <f t="shared" si="196"/>
        <v>music</v>
      </c>
      <c r="R2100" t="str">
        <f t="shared" si="197"/>
        <v>indie rock</v>
      </c>
      <c r="S2100" s="4">
        <f t="shared" si="194"/>
        <v>40946.11383101852</v>
      </c>
      <c r="T2100" s="4">
        <f t="shared" si="195"/>
        <v>40976.11383101852</v>
      </c>
      <c r="U2100" s="5">
        <f>VLOOKUP(currency,Tables!$A$1:$C$14,3,FALSE)*pledged</f>
        <v>6020</v>
      </c>
    </row>
    <row r="2101" spans="1:21" x14ac:dyDescent="0.55000000000000004">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16">
        <f t="shared" si="193"/>
        <v>63.031746031746032</v>
      </c>
      <c r="Q2101" t="str">
        <f t="shared" si="196"/>
        <v>music</v>
      </c>
      <c r="R2101" t="str">
        <f t="shared" si="197"/>
        <v>indie rock</v>
      </c>
      <c r="S2101" s="4">
        <f t="shared" si="194"/>
        <v>42173.746342592596</v>
      </c>
      <c r="T2101" s="4">
        <f t="shared" si="195"/>
        <v>42187.152777777781</v>
      </c>
      <c r="U2101" s="5">
        <f>VLOOKUP(currency,Tables!$A$1:$C$14,3,FALSE)*pledged</f>
        <v>3971</v>
      </c>
    </row>
    <row r="2102" spans="1:21" ht="43.2" x14ac:dyDescent="0.55000000000000004">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16">
        <f t="shared" si="193"/>
        <v>30.37037037037037</v>
      </c>
      <c r="Q2102" t="str">
        <f t="shared" si="196"/>
        <v>music</v>
      </c>
      <c r="R2102" t="str">
        <f t="shared" si="197"/>
        <v>indie rock</v>
      </c>
      <c r="S2102" s="4">
        <f t="shared" si="194"/>
        <v>41074.834965277776</v>
      </c>
      <c r="T2102" s="4">
        <f t="shared" si="195"/>
        <v>41090.165972222225</v>
      </c>
      <c r="U2102" s="5">
        <f>VLOOKUP(currency,Tables!$A$1:$C$14,3,FALSE)*pledged</f>
        <v>820</v>
      </c>
    </row>
    <row r="2103" spans="1:21" ht="43.2" x14ac:dyDescent="0.55000000000000004">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16">
        <f t="shared" si="193"/>
        <v>51.477272727272727</v>
      </c>
      <c r="Q2103" t="str">
        <f t="shared" si="196"/>
        <v>music</v>
      </c>
      <c r="R2103" t="str">
        <f t="shared" si="197"/>
        <v>indie rock</v>
      </c>
      <c r="S2103" s="4">
        <f t="shared" si="194"/>
        <v>40892.149467592593</v>
      </c>
      <c r="T2103" s="4">
        <f t="shared" si="195"/>
        <v>40952.149467592593</v>
      </c>
      <c r="U2103" s="5">
        <f>VLOOKUP(currency,Tables!$A$1:$C$14,3,FALSE)*pledged</f>
        <v>2265</v>
      </c>
    </row>
    <row r="2104" spans="1:21" ht="43.2" x14ac:dyDescent="0.55000000000000004">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92"/>
        <v>1.36</v>
      </c>
      <c r="P2104" s="16">
        <f t="shared" si="193"/>
        <v>35.789473684210527</v>
      </c>
      <c r="Q2104" t="str">
        <f t="shared" si="196"/>
        <v>music</v>
      </c>
      <c r="R2104" t="str">
        <f t="shared" si="197"/>
        <v>indie rock</v>
      </c>
      <c r="S2104" s="4">
        <f t="shared" si="194"/>
        <v>40638.868611111109</v>
      </c>
      <c r="T2104" s="4">
        <f t="shared" si="195"/>
        <v>40668.868611111109</v>
      </c>
      <c r="U2104" s="5">
        <f>VLOOKUP(currency,Tables!$A$1:$C$14,3,FALSE)*pledged</f>
        <v>1360</v>
      </c>
    </row>
    <row r="2105" spans="1:21" ht="28.8" x14ac:dyDescent="0.55000000000000004">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16">
        <f t="shared" si="193"/>
        <v>98.817391304347822</v>
      </c>
      <c r="Q2105" t="str">
        <f t="shared" si="196"/>
        <v>music</v>
      </c>
      <c r="R2105" t="str">
        <f t="shared" si="197"/>
        <v>indie rock</v>
      </c>
      <c r="S2105" s="4">
        <f t="shared" si="194"/>
        <v>41192.754942129628</v>
      </c>
      <c r="T2105" s="4">
        <f t="shared" si="195"/>
        <v>41222.7966087963</v>
      </c>
      <c r="U2105" s="5">
        <f>VLOOKUP(currency,Tables!$A$1:$C$14,3,FALSE)*pledged</f>
        <v>11364</v>
      </c>
    </row>
    <row r="2106" spans="1:21" ht="43.2" x14ac:dyDescent="0.55000000000000004">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16">
        <f t="shared" si="193"/>
        <v>28</v>
      </c>
      <c r="Q2106" t="str">
        <f t="shared" si="196"/>
        <v>music</v>
      </c>
      <c r="R2106" t="str">
        <f t="shared" si="197"/>
        <v>indie rock</v>
      </c>
      <c r="S2106" s="4">
        <f t="shared" si="194"/>
        <v>41394.074467592596</v>
      </c>
      <c r="T2106" s="4">
        <f t="shared" si="195"/>
        <v>41425</v>
      </c>
      <c r="U2106" s="5">
        <f>VLOOKUP(currency,Tables!$A$1:$C$14,3,FALSE)*pledged</f>
        <v>1036</v>
      </c>
    </row>
    <row r="2107" spans="1:21" ht="28.8" x14ac:dyDescent="0.55000000000000004">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92"/>
        <v>2.54</v>
      </c>
      <c r="P2107" s="16">
        <f t="shared" si="193"/>
        <v>51.313131313131315</v>
      </c>
      <c r="Q2107" t="str">
        <f t="shared" si="196"/>
        <v>music</v>
      </c>
      <c r="R2107" t="str">
        <f t="shared" si="197"/>
        <v>indie rock</v>
      </c>
      <c r="S2107" s="4">
        <f t="shared" si="194"/>
        <v>41951.788807870369</v>
      </c>
      <c r="T2107" s="4">
        <f t="shared" si="195"/>
        <v>41964.166666666672</v>
      </c>
      <c r="U2107" s="5">
        <f>VLOOKUP(currency,Tables!$A$1:$C$14,3,FALSE)*pledged</f>
        <v>5080</v>
      </c>
    </row>
    <row r="2108" spans="1:21" ht="43.2" x14ac:dyDescent="0.55000000000000004">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16">
        <f t="shared" si="193"/>
        <v>53.522727272727273</v>
      </c>
      <c r="Q2108" t="str">
        <f t="shared" si="196"/>
        <v>music</v>
      </c>
      <c r="R2108" t="str">
        <f t="shared" si="197"/>
        <v>indie rock</v>
      </c>
      <c r="S2108" s="4">
        <f t="shared" si="194"/>
        <v>41270.21497685185</v>
      </c>
      <c r="T2108" s="4">
        <f t="shared" si="195"/>
        <v>41300.21497685185</v>
      </c>
      <c r="U2108" s="5">
        <f>VLOOKUP(currency,Tables!$A$1:$C$14,3,FALSE)*pledged</f>
        <v>2355</v>
      </c>
    </row>
    <row r="2109" spans="1:21" ht="43.2" x14ac:dyDescent="0.55000000000000004">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16">
        <f t="shared" si="193"/>
        <v>37.149310344827583</v>
      </c>
      <c r="Q2109" t="str">
        <f t="shared" si="196"/>
        <v>music</v>
      </c>
      <c r="R2109" t="str">
        <f t="shared" si="197"/>
        <v>indie rock</v>
      </c>
      <c r="S2109" s="4">
        <f t="shared" si="194"/>
        <v>41934.71056712963</v>
      </c>
      <c r="T2109" s="4">
        <f t="shared" si="195"/>
        <v>41955.752233796295</v>
      </c>
      <c r="U2109" s="5">
        <f>VLOOKUP(currency,Tables!$A$1:$C$14,3,FALSE)*pledged</f>
        <v>2154.66</v>
      </c>
    </row>
    <row r="2110" spans="1:21" ht="43.2" x14ac:dyDescent="0.55000000000000004">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16">
        <f t="shared" si="193"/>
        <v>89.895287958115176</v>
      </c>
      <c r="Q2110" t="str">
        <f t="shared" si="196"/>
        <v>music</v>
      </c>
      <c r="R2110" t="str">
        <f t="shared" si="197"/>
        <v>indie rock</v>
      </c>
      <c r="S2110" s="4">
        <f t="shared" si="194"/>
        <v>41135.175694444442</v>
      </c>
      <c r="T2110" s="4">
        <f t="shared" si="195"/>
        <v>41162.163194444445</v>
      </c>
      <c r="U2110" s="5">
        <f>VLOOKUP(currency,Tables!$A$1:$C$14,3,FALSE)*pledged</f>
        <v>17170</v>
      </c>
    </row>
    <row r="2111" spans="1:21" ht="28.8" x14ac:dyDescent="0.55000000000000004">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16">
        <f t="shared" si="193"/>
        <v>106.52500000000001</v>
      </c>
      <c r="Q2111" t="str">
        <f t="shared" si="196"/>
        <v>music</v>
      </c>
      <c r="R2111" t="str">
        <f t="shared" si="197"/>
        <v>indie rock</v>
      </c>
      <c r="S2111" s="4">
        <f t="shared" si="194"/>
        <v>42160.708530092597</v>
      </c>
      <c r="T2111" s="4">
        <f t="shared" si="195"/>
        <v>42190.708530092597</v>
      </c>
      <c r="U2111" s="5">
        <f>VLOOKUP(currency,Tables!$A$1:$C$14,3,FALSE)*pledged</f>
        <v>4261</v>
      </c>
    </row>
    <row r="2112" spans="1:21" ht="28.8" x14ac:dyDescent="0.55000000000000004">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16">
        <f t="shared" si="193"/>
        <v>52.815789473684212</v>
      </c>
      <c r="Q2112" t="str">
        <f t="shared" si="196"/>
        <v>music</v>
      </c>
      <c r="R2112" t="str">
        <f t="shared" si="197"/>
        <v>indie rock</v>
      </c>
      <c r="S2112" s="4">
        <f t="shared" si="194"/>
        <v>41759.670937499999</v>
      </c>
      <c r="T2112" s="4">
        <f t="shared" si="195"/>
        <v>41787.207638888889</v>
      </c>
      <c r="U2112" s="5">
        <f>VLOOKUP(currency,Tables!$A$1:$C$14,3,FALSE)*pledged</f>
        <v>2007</v>
      </c>
    </row>
    <row r="2113" spans="1:21" ht="43.2" x14ac:dyDescent="0.55000000000000004">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16">
        <f t="shared" si="193"/>
        <v>54.615384615384613</v>
      </c>
      <c r="Q2113" t="str">
        <f t="shared" si="196"/>
        <v>music</v>
      </c>
      <c r="R2113" t="str">
        <f t="shared" si="197"/>
        <v>indie rock</v>
      </c>
      <c r="S2113" s="4">
        <f t="shared" si="194"/>
        <v>40703.197048611109</v>
      </c>
      <c r="T2113" s="4">
        <f t="shared" si="195"/>
        <v>40770.041666666664</v>
      </c>
      <c r="U2113" s="5">
        <f>VLOOKUP(currency,Tables!$A$1:$C$14,3,FALSE)*pledged</f>
        <v>2130</v>
      </c>
    </row>
    <row r="2114" spans="1:21" ht="43.2" x14ac:dyDescent="0.55000000000000004">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ref="O2114:O2177" si="198">pledged/goal</f>
        <v>1</v>
      </c>
      <c r="P2114" s="16">
        <f t="shared" ref="P2114:P2177" si="199">IF(pledged=0,0,pledged/backers_count)</f>
        <v>27.272727272727273</v>
      </c>
      <c r="Q2114" t="str">
        <f t="shared" si="196"/>
        <v>music</v>
      </c>
      <c r="R2114" t="str">
        <f t="shared" si="197"/>
        <v>indie rock</v>
      </c>
      <c r="S2114" s="4">
        <f t="shared" ref="S2114:S2177" si="200">(((Unix_launched_date/60)/60)/24)+DATE(1970,1,1)</f>
        <v>41365.928159722222</v>
      </c>
      <c r="T2114" s="4">
        <f t="shared" ref="T2114:T2177" si="201">(((Unix_deadline/60)/60)/24)+DATE(1970,1,1)</f>
        <v>41379.928159722222</v>
      </c>
      <c r="U2114" s="5">
        <f>VLOOKUP(currency,Tables!$A$1:$C$14,3,FALSE)*pledged</f>
        <v>300</v>
      </c>
    </row>
    <row r="2115" spans="1:21" ht="28.8" x14ac:dyDescent="0.55000000000000004">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si="198"/>
        <v>1.0485714285714285</v>
      </c>
      <c r="P2115" s="16">
        <f t="shared" si="199"/>
        <v>68.598130841121488</v>
      </c>
      <c r="Q2115" t="str">
        <f t="shared" ref="Q2115:Q2178" si="202">LEFT(N2115,FIND("/",N2115,1)-1)</f>
        <v>music</v>
      </c>
      <c r="R2115" t="str">
        <f t="shared" ref="R2115:R2178" si="203">RIGHT(N2115,(LEN(N2115)-FIND("/",N2115,1)))</f>
        <v>indie rock</v>
      </c>
      <c r="S2115" s="4">
        <f t="shared" si="200"/>
        <v>41870.86546296296</v>
      </c>
      <c r="T2115" s="4">
        <f t="shared" si="201"/>
        <v>41905.86546296296</v>
      </c>
      <c r="U2115" s="5">
        <f>VLOOKUP(currency,Tables!$A$1:$C$14,3,FALSE)*pledged</f>
        <v>7340</v>
      </c>
    </row>
    <row r="2116" spans="1:21" ht="43.2" x14ac:dyDescent="0.55000000000000004">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16">
        <f t="shared" si="199"/>
        <v>35.612244897959187</v>
      </c>
      <c r="Q2116" t="str">
        <f t="shared" si="202"/>
        <v>music</v>
      </c>
      <c r="R2116" t="str">
        <f t="shared" si="203"/>
        <v>indie rock</v>
      </c>
      <c r="S2116" s="4">
        <f t="shared" si="200"/>
        <v>40458.815625000003</v>
      </c>
      <c r="T2116" s="4">
        <f t="shared" si="201"/>
        <v>40521.207638888889</v>
      </c>
      <c r="U2116" s="5">
        <f>VLOOKUP(currency,Tables!$A$1:$C$14,3,FALSE)*pledged</f>
        <v>5235</v>
      </c>
    </row>
    <row r="2117" spans="1:21" ht="43.2" x14ac:dyDescent="0.55000000000000004">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16">
        <f t="shared" si="199"/>
        <v>94.027777777777771</v>
      </c>
      <c r="Q2117" t="str">
        <f t="shared" si="202"/>
        <v>music</v>
      </c>
      <c r="R2117" t="str">
        <f t="shared" si="203"/>
        <v>indie rock</v>
      </c>
      <c r="S2117" s="4">
        <f t="shared" si="200"/>
        <v>40564.081030092595</v>
      </c>
      <c r="T2117" s="4">
        <f t="shared" si="201"/>
        <v>40594.081030092595</v>
      </c>
      <c r="U2117" s="5">
        <f>VLOOKUP(currency,Tables!$A$1:$C$14,3,FALSE)*pledged</f>
        <v>3385</v>
      </c>
    </row>
    <row r="2118" spans="1:21" ht="43.2" x14ac:dyDescent="0.55000000000000004">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16">
        <f t="shared" si="199"/>
        <v>526.45652173913038</v>
      </c>
      <c r="Q2118" t="str">
        <f t="shared" si="202"/>
        <v>music</v>
      </c>
      <c r="R2118" t="str">
        <f t="shared" si="203"/>
        <v>indie rock</v>
      </c>
      <c r="S2118" s="4">
        <f t="shared" si="200"/>
        <v>41136.777812500004</v>
      </c>
      <c r="T2118" s="4">
        <f t="shared" si="201"/>
        <v>41184.777812500004</v>
      </c>
      <c r="U2118" s="5">
        <f>VLOOKUP(currency,Tables!$A$1:$C$14,3,FALSE)*pledged</f>
        <v>48434</v>
      </c>
    </row>
    <row r="2119" spans="1:21" ht="43.2" x14ac:dyDescent="0.55000000000000004">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16">
        <f t="shared" si="199"/>
        <v>50.657142857142858</v>
      </c>
      <c r="Q2119" t="str">
        <f t="shared" si="202"/>
        <v>music</v>
      </c>
      <c r="R2119" t="str">
        <f t="shared" si="203"/>
        <v>indie rock</v>
      </c>
      <c r="S2119" s="4">
        <f t="shared" si="200"/>
        <v>42290.059594907405</v>
      </c>
      <c r="T2119" s="4">
        <f t="shared" si="201"/>
        <v>42304.207638888889</v>
      </c>
      <c r="U2119" s="5">
        <f>VLOOKUP(currency,Tables!$A$1:$C$14,3,FALSE)*pledged</f>
        <v>1773</v>
      </c>
    </row>
    <row r="2120" spans="1:21" ht="28.8" x14ac:dyDescent="0.55000000000000004">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16">
        <f t="shared" si="199"/>
        <v>79.182941176470578</v>
      </c>
      <c r="Q2120" t="str">
        <f t="shared" si="202"/>
        <v>music</v>
      </c>
      <c r="R2120" t="str">
        <f t="shared" si="203"/>
        <v>indie rock</v>
      </c>
      <c r="S2120" s="4">
        <f t="shared" si="200"/>
        <v>40718.839537037034</v>
      </c>
      <c r="T2120" s="4">
        <f t="shared" si="201"/>
        <v>40748.839537037034</v>
      </c>
      <c r="U2120" s="5">
        <f>VLOOKUP(currency,Tables!$A$1:$C$14,3,FALSE)*pledged</f>
        <v>1346.11</v>
      </c>
    </row>
    <row r="2121" spans="1:21" ht="43.2" x14ac:dyDescent="0.55000000000000004">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16">
        <f t="shared" si="199"/>
        <v>91.590909090909093</v>
      </c>
      <c r="Q2121" t="str">
        <f t="shared" si="202"/>
        <v>music</v>
      </c>
      <c r="R2121" t="str">
        <f t="shared" si="203"/>
        <v>indie rock</v>
      </c>
      <c r="S2121" s="4">
        <f t="shared" si="200"/>
        <v>41107.130150462966</v>
      </c>
      <c r="T2121" s="4">
        <f t="shared" si="201"/>
        <v>41137.130150462966</v>
      </c>
      <c r="U2121" s="5">
        <f>VLOOKUP(currency,Tables!$A$1:$C$14,3,FALSE)*pledged</f>
        <v>2015</v>
      </c>
    </row>
    <row r="2122" spans="1:21" ht="43.2" x14ac:dyDescent="0.55000000000000004">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16">
        <f t="shared" si="199"/>
        <v>116.96275362318841</v>
      </c>
      <c r="Q2122" t="str">
        <f t="shared" si="202"/>
        <v>music</v>
      </c>
      <c r="R2122" t="str">
        <f t="shared" si="203"/>
        <v>indie rock</v>
      </c>
      <c r="S2122" s="4">
        <f t="shared" si="200"/>
        <v>41591.964537037034</v>
      </c>
      <c r="T2122" s="4">
        <f t="shared" si="201"/>
        <v>41640.964537037034</v>
      </c>
      <c r="U2122" s="5">
        <f>VLOOKUP(currency,Tables!$A$1:$C$14,3,FALSE)*pledged</f>
        <v>8070.43</v>
      </c>
    </row>
    <row r="2123" spans="1:21" ht="28.8" x14ac:dyDescent="0.55000000000000004">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16">
        <f t="shared" si="199"/>
        <v>28.4</v>
      </c>
      <c r="Q2123" t="str">
        <f t="shared" si="202"/>
        <v>games</v>
      </c>
      <c r="R2123" t="str">
        <f t="shared" si="203"/>
        <v>video games</v>
      </c>
      <c r="S2123" s="4">
        <f t="shared" si="200"/>
        <v>42716.7424537037</v>
      </c>
      <c r="T2123" s="4">
        <f t="shared" si="201"/>
        <v>42746.7424537037</v>
      </c>
      <c r="U2123" s="5">
        <f>VLOOKUP(currency,Tables!$A$1:$C$14,3,FALSE)*pledged</f>
        <v>261.28000000000003</v>
      </c>
    </row>
    <row r="2124" spans="1:21" ht="43.2" x14ac:dyDescent="0.55000000000000004">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16">
        <f t="shared" si="199"/>
        <v>103.33333333333333</v>
      </c>
      <c r="Q2124" t="str">
        <f t="shared" si="202"/>
        <v>games</v>
      </c>
      <c r="R2124" t="str">
        <f t="shared" si="203"/>
        <v>video games</v>
      </c>
      <c r="S2124" s="4">
        <f t="shared" si="200"/>
        <v>42712.300567129627</v>
      </c>
      <c r="T2124" s="4">
        <f t="shared" si="201"/>
        <v>42742.300567129627</v>
      </c>
      <c r="U2124" s="5">
        <f>VLOOKUP(currency,Tables!$A$1:$C$14,3,FALSE)*pledged</f>
        <v>14.26</v>
      </c>
    </row>
    <row r="2125" spans="1:21" ht="57.6" x14ac:dyDescent="0.55000000000000004">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98"/>
        <v>0.1</v>
      </c>
      <c r="P2125" s="16">
        <f t="shared" si="199"/>
        <v>10</v>
      </c>
      <c r="Q2125" t="str">
        <f t="shared" si="202"/>
        <v>games</v>
      </c>
      <c r="R2125" t="str">
        <f t="shared" si="203"/>
        <v>video games</v>
      </c>
      <c r="S2125" s="4">
        <f t="shared" si="200"/>
        <v>40198.424849537041</v>
      </c>
      <c r="T2125" s="4">
        <f t="shared" si="201"/>
        <v>40252.290972222225</v>
      </c>
      <c r="U2125" s="5">
        <f>VLOOKUP(currency,Tables!$A$1:$C$14,3,FALSE)*pledged</f>
        <v>50</v>
      </c>
    </row>
    <row r="2126" spans="1:21" ht="43.2" x14ac:dyDescent="0.55000000000000004">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16">
        <f t="shared" si="199"/>
        <v>23</v>
      </c>
      <c r="Q2126" t="str">
        <f t="shared" si="202"/>
        <v>games</v>
      </c>
      <c r="R2126" t="str">
        <f t="shared" si="203"/>
        <v>video games</v>
      </c>
      <c r="S2126" s="4">
        <f t="shared" si="200"/>
        <v>40464.028182870366</v>
      </c>
      <c r="T2126" s="4">
        <f t="shared" si="201"/>
        <v>40512.208333333336</v>
      </c>
      <c r="U2126" s="5">
        <f>VLOOKUP(currency,Tables!$A$1:$C$14,3,FALSE)*pledged</f>
        <v>115</v>
      </c>
    </row>
    <row r="2127" spans="1:21" ht="43.2" x14ac:dyDescent="0.55000000000000004">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16">
        <f t="shared" si="199"/>
        <v>31.555555555555557</v>
      </c>
      <c r="Q2127" t="str">
        <f t="shared" si="202"/>
        <v>games</v>
      </c>
      <c r="R2127" t="str">
        <f t="shared" si="203"/>
        <v>video games</v>
      </c>
      <c r="S2127" s="4">
        <f t="shared" si="200"/>
        <v>42191.023530092592</v>
      </c>
      <c r="T2127" s="4">
        <f t="shared" si="201"/>
        <v>42221.023530092592</v>
      </c>
      <c r="U2127" s="5">
        <f>VLOOKUP(currency,Tables!$A$1:$C$14,3,FALSE)*pledged</f>
        <v>852</v>
      </c>
    </row>
    <row r="2128" spans="1:21" ht="43.2" x14ac:dyDescent="0.55000000000000004">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16">
        <f t="shared" si="199"/>
        <v>5</v>
      </c>
      <c r="Q2128" t="str">
        <f t="shared" si="202"/>
        <v>games</v>
      </c>
      <c r="R2128" t="str">
        <f t="shared" si="203"/>
        <v>video games</v>
      </c>
      <c r="S2128" s="4">
        <f t="shared" si="200"/>
        <v>41951.973229166666</v>
      </c>
      <c r="T2128" s="4">
        <f t="shared" si="201"/>
        <v>41981.973229166666</v>
      </c>
      <c r="U2128" s="5">
        <f>VLOOKUP(currency,Tables!$A$1:$C$14,3,FALSE)*pledged</f>
        <v>10</v>
      </c>
    </row>
    <row r="2129" spans="1:21" ht="28.8" x14ac:dyDescent="0.55000000000000004">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16">
        <f t="shared" si="199"/>
        <v>34.220338983050844</v>
      </c>
      <c r="Q2129" t="str">
        <f t="shared" si="202"/>
        <v>games</v>
      </c>
      <c r="R2129" t="str">
        <f t="shared" si="203"/>
        <v>video games</v>
      </c>
      <c r="S2129" s="4">
        <f t="shared" si="200"/>
        <v>42045.50535879629</v>
      </c>
      <c r="T2129" s="4">
        <f t="shared" si="201"/>
        <v>42075.463692129633</v>
      </c>
      <c r="U2129" s="5">
        <f>VLOOKUP(currency,Tables!$A$1:$C$14,3,FALSE)*pledged</f>
        <v>10660.32</v>
      </c>
    </row>
    <row r="2130" spans="1:21" ht="43.2" x14ac:dyDescent="0.55000000000000004">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16">
        <f t="shared" si="199"/>
        <v>25</v>
      </c>
      <c r="Q2130" t="str">
        <f t="shared" si="202"/>
        <v>games</v>
      </c>
      <c r="R2130" t="str">
        <f t="shared" si="203"/>
        <v>video games</v>
      </c>
      <c r="S2130" s="4">
        <f t="shared" si="200"/>
        <v>41843.772789351853</v>
      </c>
      <c r="T2130" s="4">
        <f t="shared" si="201"/>
        <v>41903.772789351853</v>
      </c>
      <c r="U2130" s="5">
        <f>VLOOKUP(currency,Tables!$A$1:$C$14,3,FALSE)*pledged</f>
        <v>19</v>
      </c>
    </row>
    <row r="2131" spans="1:21" ht="43.2" x14ac:dyDescent="0.55000000000000004">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16">
        <f t="shared" si="199"/>
        <v>19.666666666666668</v>
      </c>
      <c r="Q2131" t="str">
        <f t="shared" si="202"/>
        <v>games</v>
      </c>
      <c r="R2131" t="str">
        <f t="shared" si="203"/>
        <v>video games</v>
      </c>
      <c r="S2131" s="4">
        <f t="shared" si="200"/>
        <v>42409.024305555555</v>
      </c>
      <c r="T2131" s="4">
        <f t="shared" si="201"/>
        <v>42439.024305555555</v>
      </c>
      <c r="U2131" s="5">
        <f>VLOOKUP(currency,Tables!$A$1:$C$14,3,FALSE)*pledged</f>
        <v>236</v>
      </c>
    </row>
    <row r="2132" spans="1:21" ht="28.8" x14ac:dyDescent="0.55000000000000004">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16">
        <f t="shared" si="199"/>
        <v>21.25</v>
      </c>
      <c r="Q2132" t="str">
        <f t="shared" si="202"/>
        <v>games</v>
      </c>
      <c r="R2132" t="str">
        <f t="shared" si="203"/>
        <v>video games</v>
      </c>
      <c r="S2132" s="4">
        <f t="shared" si="200"/>
        <v>41832.086377314816</v>
      </c>
      <c r="T2132" s="4">
        <f t="shared" si="201"/>
        <v>41867.086377314816</v>
      </c>
      <c r="U2132" s="5">
        <f>VLOOKUP(currency,Tables!$A$1:$C$14,3,FALSE)*pledged</f>
        <v>85</v>
      </c>
    </row>
    <row r="2133" spans="1:21" ht="43.2" x14ac:dyDescent="0.55000000000000004">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98"/>
        <v>0.05</v>
      </c>
      <c r="P2133" s="16">
        <f t="shared" si="199"/>
        <v>8.3333333333333339</v>
      </c>
      <c r="Q2133" t="str">
        <f t="shared" si="202"/>
        <v>games</v>
      </c>
      <c r="R2133" t="str">
        <f t="shared" si="203"/>
        <v>video games</v>
      </c>
      <c r="S2133" s="4">
        <f t="shared" si="200"/>
        <v>42167.207071759258</v>
      </c>
      <c r="T2133" s="4">
        <f t="shared" si="201"/>
        <v>42197.207071759258</v>
      </c>
      <c r="U2133" s="5">
        <f>VLOOKUP(currency,Tables!$A$1:$C$14,3,FALSE)*pledged</f>
        <v>25</v>
      </c>
    </row>
    <row r="2134" spans="1:21" ht="43.2" x14ac:dyDescent="0.55000000000000004">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16">
        <f t="shared" si="199"/>
        <v>21.34333333333333</v>
      </c>
      <c r="Q2134" t="str">
        <f t="shared" si="202"/>
        <v>games</v>
      </c>
      <c r="R2134" t="str">
        <f t="shared" si="203"/>
        <v>video games</v>
      </c>
      <c r="S2134" s="4">
        <f t="shared" si="200"/>
        <v>41643.487175925926</v>
      </c>
      <c r="T2134" s="4">
        <f t="shared" si="201"/>
        <v>41673.487175925926</v>
      </c>
      <c r="U2134" s="5">
        <f>VLOOKUP(currency,Tables!$A$1:$C$14,3,FALSE)*pledged</f>
        <v>2112.9899999999998</v>
      </c>
    </row>
    <row r="2135" spans="1:21" ht="43.2" x14ac:dyDescent="0.55000000000000004">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98"/>
        <v>1.6E-2</v>
      </c>
      <c r="P2135" s="16">
        <f t="shared" si="199"/>
        <v>5.333333333333333</v>
      </c>
      <c r="Q2135" t="str">
        <f t="shared" si="202"/>
        <v>games</v>
      </c>
      <c r="R2135" t="str">
        <f t="shared" si="203"/>
        <v>video games</v>
      </c>
      <c r="S2135" s="4">
        <f t="shared" si="200"/>
        <v>40619.097210648149</v>
      </c>
      <c r="T2135" s="4">
        <f t="shared" si="201"/>
        <v>40657.290972222225</v>
      </c>
      <c r="U2135" s="5">
        <f>VLOOKUP(currency,Tables!$A$1:$C$14,3,FALSE)*pledged</f>
        <v>16</v>
      </c>
    </row>
    <row r="2136" spans="1:21" ht="43.2" x14ac:dyDescent="0.55000000000000004">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16">
        <f t="shared" si="199"/>
        <v>34.666666666666664</v>
      </c>
      <c r="Q2136" t="str">
        <f t="shared" si="202"/>
        <v>games</v>
      </c>
      <c r="R2136" t="str">
        <f t="shared" si="203"/>
        <v>video games</v>
      </c>
      <c r="S2136" s="4">
        <f t="shared" si="200"/>
        <v>41361.886469907404</v>
      </c>
      <c r="T2136" s="4">
        <f t="shared" si="201"/>
        <v>41391.886469907404</v>
      </c>
      <c r="U2136" s="5">
        <f>VLOOKUP(currency,Tables!$A$1:$C$14,3,FALSE)*pledged</f>
        <v>104</v>
      </c>
    </row>
    <row r="2137" spans="1:21" ht="43.2" x14ac:dyDescent="0.55000000000000004">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16">
        <f t="shared" si="199"/>
        <v>21.727272727272727</v>
      </c>
      <c r="Q2137" t="str">
        <f t="shared" si="202"/>
        <v>games</v>
      </c>
      <c r="R2137" t="str">
        <f t="shared" si="203"/>
        <v>video games</v>
      </c>
      <c r="S2137" s="4">
        <f t="shared" si="200"/>
        <v>41156.963344907403</v>
      </c>
      <c r="T2137" s="4">
        <f t="shared" si="201"/>
        <v>41186.963344907403</v>
      </c>
      <c r="U2137" s="5">
        <f>VLOOKUP(currency,Tables!$A$1:$C$14,3,FALSE)*pledged</f>
        <v>478</v>
      </c>
    </row>
    <row r="2138" spans="1:21" ht="43.2" x14ac:dyDescent="0.55000000000000004">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16">
        <f t="shared" si="199"/>
        <v>11.922499999999999</v>
      </c>
      <c r="Q2138" t="str">
        <f t="shared" si="202"/>
        <v>games</v>
      </c>
      <c r="R2138" t="str">
        <f t="shared" si="203"/>
        <v>video games</v>
      </c>
      <c r="S2138" s="4">
        <f t="shared" si="200"/>
        <v>41536.509097222224</v>
      </c>
      <c r="T2138" s="4">
        <f t="shared" si="201"/>
        <v>41566.509097222224</v>
      </c>
      <c r="U2138" s="5">
        <f>VLOOKUP(currency,Tables!$A$1:$C$14,3,FALSE)*pledged</f>
        <v>47.69</v>
      </c>
    </row>
    <row r="2139" spans="1:21" ht="43.2" x14ac:dyDescent="0.55000000000000004">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16">
        <f t="shared" si="199"/>
        <v>26.59737827715356</v>
      </c>
      <c r="Q2139" t="str">
        <f t="shared" si="202"/>
        <v>games</v>
      </c>
      <c r="R2139" t="str">
        <f t="shared" si="203"/>
        <v>video games</v>
      </c>
      <c r="S2139" s="4">
        <f t="shared" si="200"/>
        <v>41948.771168981482</v>
      </c>
      <c r="T2139" s="4">
        <f t="shared" si="201"/>
        <v>41978.771168981482</v>
      </c>
      <c r="U2139" s="5">
        <f>VLOOKUP(currency,Tables!$A$1:$C$14,3,FALSE)*pledged</f>
        <v>10794.28</v>
      </c>
    </row>
    <row r="2140" spans="1:21" ht="28.8" x14ac:dyDescent="0.55000000000000004">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98"/>
        <v>0.128</v>
      </c>
      <c r="P2140" s="16">
        <f t="shared" si="199"/>
        <v>10.666666666666666</v>
      </c>
      <c r="Q2140" t="str">
        <f t="shared" si="202"/>
        <v>games</v>
      </c>
      <c r="R2140" t="str">
        <f t="shared" si="203"/>
        <v>video games</v>
      </c>
      <c r="S2140" s="4">
        <f t="shared" si="200"/>
        <v>41557.013182870374</v>
      </c>
      <c r="T2140" s="4">
        <f t="shared" si="201"/>
        <v>41587.054849537039</v>
      </c>
      <c r="U2140" s="5">
        <f>VLOOKUP(currency,Tables!$A$1:$C$14,3,FALSE)*pledged</f>
        <v>168.96</v>
      </c>
    </row>
    <row r="2141" spans="1:21" ht="43.2" x14ac:dyDescent="0.55000000000000004">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16">
        <f t="shared" si="199"/>
        <v>29.035714285714285</v>
      </c>
      <c r="Q2141" t="str">
        <f t="shared" si="202"/>
        <v>games</v>
      </c>
      <c r="R2141" t="str">
        <f t="shared" si="203"/>
        <v>video games</v>
      </c>
      <c r="S2141" s="4">
        <f t="shared" si="200"/>
        <v>42647.750092592592</v>
      </c>
      <c r="T2141" s="4">
        <f t="shared" si="201"/>
        <v>42677.750092592592</v>
      </c>
      <c r="U2141" s="5">
        <f>VLOOKUP(currency,Tables!$A$1:$C$14,3,FALSE)*pledged</f>
        <v>1626</v>
      </c>
    </row>
    <row r="2142" spans="1:21" ht="43.2" x14ac:dyDescent="0.55000000000000004">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16">
        <f t="shared" si="199"/>
        <v>50.909090909090907</v>
      </c>
      <c r="Q2142" t="str">
        <f t="shared" si="202"/>
        <v>games</v>
      </c>
      <c r="R2142" t="str">
        <f t="shared" si="203"/>
        <v>video games</v>
      </c>
      <c r="S2142" s="4">
        <f t="shared" si="200"/>
        <v>41255.833611111113</v>
      </c>
      <c r="T2142" s="4">
        <f t="shared" si="201"/>
        <v>41285.833611111113</v>
      </c>
      <c r="U2142" s="5">
        <f>VLOOKUP(currency,Tables!$A$1:$C$14,3,FALSE)*pledged</f>
        <v>560</v>
      </c>
    </row>
    <row r="2143" spans="1:21" ht="43.2" x14ac:dyDescent="0.55000000000000004">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98"/>
        <v>0</v>
      </c>
      <c r="P2143" s="16">
        <f t="shared" si="199"/>
        <v>0</v>
      </c>
      <c r="Q2143" t="str">
        <f t="shared" si="202"/>
        <v>games</v>
      </c>
      <c r="R2143" t="str">
        <f t="shared" si="203"/>
        <v>video games</v>
      </c>
      <c r="S2143" s="4">
        <f t="shared" si="200"/>
        <v>41927.235636574071</v>
      </c>
      <c r="T2143" s="4">
        <f t="shared" si="201"/>
        <v>41957.277303240742</v>
      </c>
      <c r="U2143" s="5">
        <f>VLOOKUP(currency,Tables!$A$1:$C$14,3,FALSE)*pledged</f>
        <v>0</v>
      </c>
    </row>
    <row r="2144" spans="1:21" ht="43.2" x14ac:dyDescent="0.55000000000000004">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16">
        <f t="shared" si="199"/>
        <v>50.083333333333336</v>
      </c>
      <c r="Q2144" t="str">
        <f t="shared" si="202"/>
        <v>games</v>
      </c>
      <c r="R2144" t="str">
        <f t="shared" si="203"/>
        <v>video games</v>
      </c>
      <c r="S2144" s="4">
        <f t="shared" si="200"/>
        <v>42340.701504629629</v>
      </c>
      <c r="T2144" s="4">
        <f t="shared" si="201"/>
        <v>42368.701504629629</v>
      </c>
      <c r="U2144" s="5">
        <f>VLOOKUP(currency,Tables!$A$1:$C$14,3,FALSE)*pledged</f>
        <v>709.18</v>
      </c>
    </row>
    <row r="2145" spans="1:21" ht="43.2" x14ac:dyDescent="0.55000000000000004">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98"/>
        <v>0.1125</v>
      </c>
      <c r="P2145" s="16">
        <f t="shared" si="199"/>
        <v>45</v>
      </c>
      <c r="Q2145" t="str">
        <f t="shared" si="202"/>
        <v>games</v>
      </c>
      <c r="R2145" t="str">
        <f t="shared" si="203"/>
        <v>video games</v>
      </c>
      <c r="S2145" s="4">
        <f t="shared" si="200"/>
        <v>40332.886712962965</v>
      </c>
      <c r="T2145" s="4">
        <f t="shared" si="201"/>
        <v>40380.791666666664</v>
      </c>
      <c r="U2145" s="5">
        <f>VLOOKUP(currency,Tables!$A$1:$C$14,3,FALSE)*pledged</f>
        <v>225</v>
      </c>
    </row>
    <row r="2146" spans="1:21" ht="28.8" x14ac:dyDescent="0.55000000000000004">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16">
        <f t="shared" si="199"/>
        <v>25.291666666666668</v>
      </c>
      <c r="Q2146" t="str">
        <f t="shared" si="202"/>
        <v>games</v>
      </c>
      <c r="R2146" t="str">
        <f t="shared" si="203"/>
        <v>video games</v>
      </c>
      <c r="S2146" s="4">
        <f t="shared" si="200"/>
        <v>41499.546759259261</v>
      </c>
      <c r="T2146" s="4">
        <f t="shared" si="201"/>
        <v>41531.546759259261</v>
      </c>
      <c r="U2146" s="5">
        <f>VLOOKUP(currency,Tables!$A$1:$C$14,3,FALSE)*pledged</f>
        <v>607</v>
      </c>
    </row>
    <row r="2147" spans="1:21" ht="43.2" x14ac:dyDescent="0.55000000000000004">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16">
        <f t="shared" si="199"/>
        <v>51.292134831460672</v>
      </c>
      <c r="Q2147" t="str">
        <f t="shared" si="202"/>
        <v>games</v>
      </c>
      <c r="R2147" t="str">
        <f t="shared" si="203"/>
        <v>video games</v>
      </c>
      <c r="S2147" s="4">
        <f t="shared" si="200"/>
        <v>41575.237430555557</v>
      </c>
      <c r="T2147" s="4">
        <f t="shared" si="201"/>
        <v>41605.279097222221</v>
      </c>
      <c r="U2147" s="5">
        <f>VLOOKUP(currency,Tables!$A$1:$C$14,3,FALSE)*pledged</f>
        <v>4565</v>
      </c>
    </row>
    <row r="2148" spans="1:21" ht="43.2" x14ac:dyDescent="0.55000000000000004">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16">
        <f t="shared" si="199"/>
        <v>1</v>
      </c>
      <c r="Q2148" t="str">
        <f t="shared" si="202"/>
        <v>games</v>
      </c>
      <c r="R2148" t="str">
        <f t="shared" si="203"/>
        <v>video games</v>
      </c>
      <c r="S2148" s="4">
        <f t="shared" si="200"/>
        <v>42397.679513888885</v>
      </c>
      <c r="T2148" s="4">
        <f t="shared" si="201"/>
        <v>42411.679513888885</v>
      </c>
      <c r="U2148" s="5">
        <f>VLOOKUP(currency,Tables!$A$1:$C$14,3,FALSE)*pledged</f>
        <v>1</v>
      </c>
    </row>
    <row r="2149" spans="1:21" x14ac:dyDescent="0.55000000000000004">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16">
        <f t="shared" si="199"/>
        <v>49.381818181818183</v>
      </c>
      <c r="Q2149" t="str">
        <f t="shared" si="202"/>
        <v>games</v>
      </c>
      <c r="R2149" t="str">
        <f t="shared" si="203"/>
        <v>video games</v>
      </c>
      <c r="S2149" s="4">
        <f t="shared" si="200"/>
        <v>41927.295694444445</v>
      </c>
      <c r="T2149" s="4">
        <f t="shared" si="201"/>
        <v>41959.337361111116</v>
      </c>
      <c r="U2149" s="5">
        <f>VLOOKUP(currency,Tables!$A$1:$C$14,3,FALSE)*pledged</f>
        <v>2716</v>
      </c>
    </row>
    <row r="2150" spans="1:21" ht="43.2" x14ac:dyDescent="0.55000000000000004">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98"/>
        <v>0.02</v>
      </c>
      <c r="P2150" s="16">
        <f t="shared" si="199"/>
        <v>1</v>
      </c>
      <c r="Q2150" t="str">
        <f t="shared" si="202"/>
        <v>games</v>
      </c>
      <c r="R2150" t="str">
        <f t="shared" si="203"/>
        <v>video games</v>
      </c>
      <c r="S2150" s="4">
        <f t="shared" si="200"/>
        <v>42066.733587962968</v>
      </c>
      <c r="T2150" s="4">
        <f t="shared" si="201"/>
        <v>42096.691921296297</v>
      </c>
      <c r="U2150" s="5">
        <f>VLOOKUP(currency,Tables!$A$1:$C$14,3,FALSE)*pledged</f>
        <v>2.64</v>
      </c>
    </row>
    <row r="2151" spans="1:21" ht="43.2" x14ac:dyDescent="0.55000000000000004">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98"/>
        <v>0</v>
      </c>
      <c r="P2151" s="16">
        <f t="shared" si="199"/>
        <v>0</v>
      </c>
      <c r="Q2151" t="str">
        <f t="shared" si="202"/>
        <v>games</v>
      </c>
      <c r="R2151" t="str">
        <f t="shared" si="203"/>
        <v>video games</v>
      </c>
      <c r="S2151" s="4">
        <f t="shared" si="200"/>
        <v>40355.024953703702</v>
      </c>
      <c r="T2151" s="4">
        <f t="shared" si="201"/>
        <v>40390</v>
      </c>
      <c r="U2151" s="5">
        <f>VLOOKUP(currency,Tables!$A$1:$C$14,3,FALSE)*pledged</f>
        <v>0</v>
      </c>
    </row>
    <row r="2152" spans="1:21" x14ac:dyDescent="0.55000000000000004">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16">
        <f t="shared" si="199"/>
        <v>101.25</v>
      </c>
      <c r="Q2152" t="str">
        <f t="shared" si="202"/>
        <v>games</v>
      </c>
      <c r="R2152" t="str">
        <f t="shared" si="203"/>
        <v>video games</v>
      </c>
      <c r="S2152" s="4">
        <f t="shared" si="200"/>
        <v>42534.284710648149</v>
      </c>
      <c r="T2152" s="4">
        <f t="shared" si="201"/>
        <v>42564.284710648149</v>
      </c>
      <c r="U2152" s="5">
        <f>VLOOKUP(currency,Tables!$A$1:$C$14,3,FALSE)*pledged</f>
        <v>44.55</v>
      </c>
    </row>
    <row r="2153" spans="1:21" ht="43.2" x14ac:dyDescent="0.55000000000000004">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16">
        <f t="shared" si="199"/>
        <v>19.666666666666668</v>
      </c>
      <c r="Q2153" t="str">
        <f t="shared" si="202"/>
        <v>games</v>
      </c>
      <c r="R2153" t="str">
        <f t="shared" si="203"/>
        <v>video games</v>
      </c>
      <c r="S2153" s="4">
        <f t="shared" si="200"/>
        <v>42520.847384259265</v>
      </c>
      <c r="T2153" s="4">
        <f t="shared" si="201"/>
        <v>42550.847384259265</v>
      </c>
      <c r="U2153" s="5">
        <f>VLOOKUP(currency,Tables!$A$1:$C$14,3,FALSE)*pledged</f>
        <v>118</v>
      </c>
    </row>
    <row r="2154" spans="1:21" ht="43.2" x14ac:dyDescent="0.55000000000000004">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16">
        <f t="shared" si="199"/>
        <v>12.5</v>
      </c>
      <c r="Q2154" t="str">
        <f t="shared" si="202"/>
        <v>games</v>
      </c>
      <c r="R2154" t="str">
        <f t="shared" si="203"/>
        <v>video games</v>
      </c>
      <c r="S2154" s="4">
        <f t="shared" si="200"/>
        <v>41683.832280092596</v>
      </c>
      <c r="T2154" s="4">
        <f t="shared" si="201"/>
        <v>41713.790613425925</v>
      </c>
      <c r="U2154" s="5">
        <f>VLOOKUP(currency,Tables!$A$1:$C$14,3,FALSE)*pledged</f>
        <v>50</v>
      </c>
    </row>
    <row r="2155" spans="1:21" ht="43.2" x14ac:dyDescent="0.55000000000000004">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16">
        <f t="shared" si="199"/>
        <v>8.5</v>
      </c>
      <c r="Q2155" t="str">
        <f t="shared" si="202"/>
        <v>games</v>
      </c>
      <c r="R2155" t="str">
        <f t="shared" si="203"/>
        <v>video games</v>
      </c>
      <c r="S2155" s="4">
        <f t="shared" si="200"/>
        <v>41974.911087962959</v>
      </c>
      <c r="T2155" s="4">
        <f t="shared" si="201"/>
        <v>42014.332638888889</v>
      </c>
      <c r="U2155" s="5">
        <f>VLOOKUP(currency,Tables!$A$1:$C$14,3,FALSE)*pledged</f>
        <v>34</v>
      </c>
    </row>
    <row r="2156" spans="1:21" ht="28.8" x14ac:dyDescent="0.55000000000000004">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16">
        <f t="shared" si="199"/>
        <v>1</v>
      </c>
      <c r="Q2156" t="str">
        <f t="shared" si="202"/>
        <v>games</v>
      </c>
      <c r="R2156" t="str">
        <f t="shared" si="203"/>
        <v>video games</v>
      </c>
      <c r="S2156" s="4">
        <f t="shared" si="200"/>
        <v>41647.632256944446</v>
      </c>
      <c r="T2156" s="4">
        <f t="shared" si="201"/>
        <v>41667.632256944446</v>
      </c>
      <c r="U2156" s="5">
        <f>VLOOKUP(currency,Tables!$A$1:$C$14,3,FALSE)*pledged</f>
        <v>2</v>
      </c>
    </row>
    <row r="2157" spans="1:21" ht="43.2" x14ac:dyDescent="0.55000000000000004">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98"/>
        <v>2.3E-2</v>
      </c>
      <c r="P2157" s="16">
        <f t="shared" si="199"/>
        <v>23</v>
      </c>
      <c r="Q2157" t="str">
        <f t="shared" si="202"/>
        <v>games</v>
      </c>
      <c r="R2157" t="str">
        <f t="shared" si="203"/>
        <v>video games</v>
      </c>
      <c r="S2157" s="4">
        <f t="shared" si="200"/>
        <v>42430.747511574074</v>
      </c>
      <c r="T2157" s="4">
        <f t="shared" si="201"/>
        <v>42460.70584490741</v>
      </c>
      <c r="U2157" s="5">
        <f>VLOOKUP(currency,Tables!$A$1:$C$14,3,FALSE)*pledged</f>
        <v>151.80000000000001</v>
      </c>
    </row>
    <row r="2158" spans="1:21" ht="43.2" x14ac:dyDescent="0.55000000000000004">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16">
        <f t="shared" si="199"/>
        <v>17.987951807228917</v>
      </c>
      <c r="Q2158" t="str">
        <f t="shared" si="202"/>
        <v>games</v>
      </c>
      <c r="R2158" t="str">
        <f t="shared" si="203"/>
        <v>video games</v>
      </c>
      <c r="S2158" s="4">
        <f t="shared" si="200"/>
        <v>41488.85423611111</v>
      </c>
      <c r="T2158" s="4">
        <f t="shared" si="201"/>
        <v>41533.85423611111</v>
      </c>
      <c r="U2158" s="5">
        <f>VLOOKUP(currency,Tables!$A$1:$C$14,3,FALSE)*pledged</f>
        <v>1493</v>
      </c>
    </row>
    <row r="2159" spans="1:21" ht="28.8" x14ac:dyDescent="0.55000000000000004">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16">
        <f t="shared" si="199"/>
        <v>370.94736842105266</v>
      </c>
      <c r="Q2159" t="str">
        <f t="shared" si="202"/>
        <v>games</v>
      </c>
      <c r="R2159" t="str">
        <f t="shared" si="203"/>
        <v>video games</v>
      </c>
      <c r="S2159" s="4">
        <f t="shared" si="200"/>
        <v>42694.98128472222</v>
      </c>
      <c r="T2159" s="4">
        <f t="shared" si="201"/>
        <v>42727.332638888889</v>
      </c>
      <c r="U2159" s="5">
        <f>VLOOKUP(currency,Tables!$A$1:$C$14,3,FALSE)*pledged</f>
        <v>21144</v>
      </c>
    </row>
    <row r="2160" spans="1:21" ht="43.2" x14ac:dyDescent="0.55000000000000004">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16">
        <f t="shared" si="199"/>
        <v>63.569485530546629</v>
      </c>
      <c r="Q2160" t="str">
        <f t="shared" si="202"/>
        <v>games</v>
      </c>
      <c r="R2160" t="str">
        <f t="shared" si="203"/>
        <v>video games</v>
      </c>
      <c r="S2160" s="4">
        <f t="shared" si="200"/>
        <v>41264.853865740741</v>
      </c>
      <c r="T2160" s="4">
        <f t="shared" si="201"/>
        <v>41309.853865740741</v>
      </c>
      <c r="U2160" s="5">
        <f>VLOOKUP(currency,Tables!$A$1:$C$14,3,FALSE)*pledged</f>
        <v>19770.11</v>
      </c>
    </row>
    <row r="2161" spans="1:21" ht="57.6" x14ac:dyDescent="0.55000000000000004">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16">
        <f t="shared" si="199"/>
        <v>13</v>
      </c>
      <c r="Q2161" t="str">
        <f t="shared" si="202"/>
        <v>games</v>
      </c>
      <c r="R2161" t="str">
        <f t="shared" si="203"/>
        <v>video games</v>
      </c>
      <c r="S2161" s="4">
        <f t="shared" si="200"/>
        <v>40710.731180555551</v>
      </c>
      <c r="T2161" s="4">
        <f t="shared" si="201"/>
        <v>40740.731180555551</v>
      </c>
      <c r="U2161" s="5">
        <f>VLOOKUP(currency,Tables!$A$1:$C$14,3,FALSE)*pledged</f>
        <v>26</v>
      </c>
    </row>
    <row r="2162" spans="1:21" ht="43.2" x14ac:dyDescent="0.55000000000000004">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16">
        <f t="shared" si="199"/>
        <v>5.3125</v>
      </c>
      <c r="Q2162" t="str">
        <f t="shared" si="202"/>
        <v>games</v>
      </c>
      <c r="R2162" t="str">
        <f t="shared" si="203"/>
        <v>video games</v>
      </c>
      <c r="S2162" s="4">
        <f t="shared" si="200"/>
        <v>41018.711863425924</v>
      </c>
      <c r="T2162" s="4">
        <f t="shared" si="201"/>
        <v>41048.711863425924</v>
      </c>
      <c r="U2162" s="5">
        <f>VLOOKUP(currency,Tables!$A$1:$C$14,3,FALSE)*pledged</f>
        <v>85</v>
      </c>
    </row>
    <row r="2163" spans="1:21" ht="28.8" x14ac:dyDescent="0.55000000000000004">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98"/>
        <v>1.1575</v>
      </c>
      <c r="P2163" s="16">
        <f t="shared" si="199"/>
        <v>35.615384615384613</v>
      </c>
      <c r="Q2163" t="str">
        <f t="shared" si="202"/>
        <v>music</v>
      </c>
      <c r="R2163" t="str">
        <f t="shared" si="203"/>
        <v>rock</v>
      </c>
      <c r="S2163" s="4">
        <f t="shared" si="200"/>
        <v>42240.852534722217</v>
      </c>
      <c r="T2163" s="4">
        <f t="shared" si="201"/>
        <v>42270.852534722217</v>
      </c>
      <c r="U2163" s="5">
        <f>VLOOKUP(currency,Tables!$A$1:$C$14,3,FALSE)*pledged</f>
        <v>463</v>
      </c>
    </row>
    <row r="2164" spans="1:21" ht="43.2" x14ac:dyDescent="0.55000000000000004">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16">
        <f t="shared" si="199"/>
        <v>87.103448275862064</v>
      </c>
      <c r="Q2164" t="str">
        <f t="shared" si="202"/>
        <v>music</v>
      </c>
      <c r="R2164" t="str">
        <f t="shared" si="203"/>
        <v>rock</v>
      </c>
      <c r="S2164" s="4">
        <f t="shared" si="200"/>
        <v>41813.766099537039</v>
      </c>
      <c r="T2164" s="4">
        <f t="shared" si="201"/>
        <v>41844.766099537039</v>
      </c>
      <c r="U2164" s="5">
        <f>VLOOKUP(currency,Tables!$A$1:$C$14,3,FALSE)*pledged</f>
        <v>5052</v>
      </c>
    </row>
    <row r="2165" spans="1:21" ht="43.2" x14ac:dyDescent="0.55000000000000004">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16">
        <f t="shared" si="199"/>
        <v>75.11363636363636</v>
      </c>
      <c r="Q2165" t="str">
        <f t="shared" si="202"/>
        <v>music</v>
      </c>
      <c r="R2165" t="str">
        <f t="shared" si="203"/>
        <v>rock</v>
      </c>
      <c r="S2165" s="4">
        <f t="shared" si="200"/>
        <v>42111.899537037039</v>
      </c>
      <c r="T2165" s="4">
        <f t="shared" si="201"/>
        <v>42163.159722222219</v>
      </c>
      <c r="U2165" s="5">
        <f>VLOOKUP(currency,Tables!$A$1:$C$14,3,FALSE)*pledged</f>
        <v>3305</v>
      </c>
    </row>
    <row r="2166" spans="1:21" ht="28.8" x14ac:dyDescent="0.55000000000000004">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16">
        <f t="shared" si="199"/>
        <v>68.01204819277109</v>
      </c>
      <c r="Q2166" t="str">
        <f t="shared" si="202"/>
        <v>music</v>
      </c>
      <c r="R2166" t="str">
        <f t="shared" si="203"/>
        <v>rock</v>
      </c>
      <c r="S2166" s="4">
        <f t="shared" si="200"/>
        <v>42515.71775462963</v>
      </c>
      <c r="T2166" s="4">
        <f t="shared" si="201"/>
        <v>42546.165972222225</v>
      </c>
      <c r="U2166" s="5">
        <f>VLOOKUP(currency,Tables!$A$1:$C$14,3,FALSE)*pledged</f>
        <v>5645</v>
      </c>
    </row>
    <row r="2167" spans="1:21" ht="43.2" x14ac:dyDescent="0.55000000000000004">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16">
        <f t="shared" si="199"/>
        <v>29.623931623931625</v>
      </c>
      <c r="Q2167" t="str">
        <f t="shared" si="202"/>
        <v>music</v>
      </c>
      <c r="R2167" t="str">
        <f t="shared" si="203"/>
        <v>rock</v>
      </c>
      <c r="S2167" s="4">
        <f t="shared" si="200"/>
        <v>42438.667071759264</v>
      </c>
      <c r="T2167" s="4">
        <f t="shared" si="201"/>
        <v>42468.625405092593</v>
      </c>
      <c r="U2167" s="5">
        <f>VLOOKUP(currency,Tables!$A$1:$C$14,3,FALSE)*pledged</f>
        <v>4089.8799999999997</v>
      </c>
    </row>
    <row r="2168" spans="1:21" ht="57.6" x14ac:dyDescent="0.55000000000000004">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16">
        <f t="shared" si="199"/>
        <v>91.625</v>
      </c>
      <c r="Q2168" t="str">
        <f t="shared" si="202"/>
        <v>music</v>
      </c>
      <c r="R2168" t="str">
        <f t="shared" si="203"/>
        <v>rock</v>
      </c>
      <c r="S2168" s="4">
        <f t="shared" si="200"/>
        <v>41933.838171296295</v>
      </c>
      <c r="T2168" s="4">
        <f t="shared" si="201"/>
        <v>41978.879837962959</v>
      </c>
      <c r="U2168" s="5">
        <f>VLOOKUP(currency,Tables!$A$1:$C$14,3,FALSE)*pledged</f>
        <v>2932</v>
      </c>
    </row>
    <row r="2169" spans="1:21" ht="28.8" x14ac:dyDescent="0.55000000000000004">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98"/>
        <v>1.2</v>
      </c>
      <c r="P2169" s="16">
        <f t="shared" si="199"/>
        <v>22.5</v>
      </c>
      <c r="Q2169" t="str">
        <f t="shared" si="202"/>
        <v>music</v>
      </c>
      <c r="R2169" t="str">
        <f t="shared" si="203"/>
        <v>rock</v>
      </c>
      <c r="S2169" s="4">
        <f t="shared" si="200"/>
        <v>41153.066400462965</v>
      </c>
      <c r="T2169" s="4">
        <f t="shared" si="201"/>
        <v>41167.066400462965</v>
      </c>
      <c r="U2169" s="5">
        <f>VLOOKUP(currency,Tables!$A$1:$C$14,3,FALSE)*pledged</f>
        <v>180</v>
      </c>
    </row>
    <row r="2170" spans="1:21" ht="28.8" x14ac:dyDescent="0.55000000000000004">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16">
        <f t="shared" si="199"/>
        <v>64.366735294117646</v>
      </c>
      <c r="Q2170" t="str">
        <f t="shared" si="202"/>
        <v>music</v>
      </c>
      <c r="R2170" t="str">
        <f t="shared" si="203"/>
        <v>rock</v>
      </c>
      <c r="S2170" s="4">
        <f t="shared" si="200"/>
        <v>42745.600243055553</v>
      </c>
      <c r="T2170" s="4">
        <f t="shared" si="201"/>
        <v>42776.208333333328</v>
      </c>
      <c r="U2170" s="5">
        <f>VLOOKUP(currency,Tables!$A$1:$C$14,3,FALSE)*pledged</f>
        <v>21884.69</v>
      </c>
    </row>
    <row r="2171" spans="1:21" ht="43.2" x14ac:dyDescent="0.55000000000000004">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98"/>
        <v>1</v>
      </c>
      <c r="P2171" s="16">
        <f t="shared" si="199"/>
        <v>21.857142857142858</v>
      </c>
      <c r="Q2171" t="str">
        <f t="shared" si="202"/>
        <v>music</v>
      </c>
      <c r="R2171" t="str">
        <f t="shared" si="203"/>
        <v>rock</v>
      </c>
      <c r="S2171" s="4">
        <f t="shared" si="200"/>
        <v>42793.700821759259</v>
      </c>
      <c r="T2171" s="4">
        <f t="shared" si="201"/>
        <v>42796.700821759259</v>
      </c>
      <c r="U2171" s="5">
        <f>VLOOKUP(currency,Tables!$A$1:$C$14,3,FALSE)*pledged</f>
        <v>153</v>
      </c>
    </row>
    <row r="2172" spans="1:21" ht="43.2" x14ac:dyDescent="0.55000000000000004">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16">
        <f t="shared" si="199"/>
        <v>33.315789473684212</v>
      </c>
      <c r="Q2172" t="str">
        <f t="shared" si="202"/>
        <v>music</v>
      </c>
      <c r="R2172" t="str">
        <f t="shared" si="203"/>
        <v>rock</v>
      </c>
      <c r="S2172" s="4">
        <f t="shared" si="200"/>
        <v>42198.750254629631</v>
      </c>
      <c r="T2172" s="4">
        <f t="shared" si="201"/>
        <v>42238.750254629631</v>
      </c>
      <c r="U2172" s="5">
        <f>VLOOKUP(currency,Tables!$A$1:$C$14,3,FALSE)*pledged</f>
        <v>633</v>
      </c>
    </row>
    <row r="2173" spans="1:21" ht="43.2" x14ac:dyDescent="0.55000000000000004">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16">
        <f t="shared" si="199"/>
        <v>90.276595744680847</v>
      </c>
      <c r="Q2173" t="str">
        <f t="shared" si="202"/>
        <v>music</v>
      </c>
      <c r="R2173" t="str">
        <f t="shared" si="203"/>
        <v>rock</v>
      </c>
      <c r="S2173" s="4">
        <f t="shared" si="200"/>
        <v>42141.95711805555</v>
      </c>
      <c r="T2173" s="4">
        <f t="shared" si="201"/>
        <v>42177.208333333328</v>
      </c>
      <c r="U2173" s="5">
        <f>VLOOKUP(currency,Tables!$A$1:$C$14,3,FALSE)*pledged</f>
        <v>4243</v>
      </c>
    </row>
    <row r="2174" spans="1:21" ht="43.2" x14ac:dyDescent="0.55000000000000004">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98"/>
        <v>1</v>
      </c>
      <c r="P2174" s="16">
        <f t="shared" si="199"/>
        <v>76.92307692307692</v>
      </c>
      <c r="Q2174" t="str">
        <f t="shared" si="202"/>
        <v>music</v>
      </c>
      <c r="R2174" t="str">
        <f t="shared" si="203"/>
        <v>rock</v>
      </c>
      <c r="S2174" s="4">
        <f t="shared" si="200"/>
        <v>42082.580092592587</v>
      </c>
      <c r="T2174" s="4">
        <f t="shared" si="201"/>
        <v>42112.580092592587</v>
      </c>
      <c r="U2174" s="5">
        <f>VLOOKUP(currency,Tables!$A$1:$C$14,3,FALSE)*pledged</f>
        <v>1000</v>
      </c>
    </row>
    <row r="2175" spans="1:21" ht="43.2" x14ac:dyDescent="0.55000000000000004">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16">
        <f t="shared" si="199"/>
        <v>59.233333333333334</v>
      </c>
      <c r="Q2175" t="str">
        <f t="shared" si="202"/>
        <v>music</v>
      </c>
      <c r="R2175" t="str">
        <f t="shared" si="203"/>
        <v>rock</v>
      </c>
      <c r="S2175" s="4">
        <f t="shared" si="200"/>
        <v>41495.692627314813</v>
      </c>
      <c r="T2175" s="4">
        <f t="shared" si="201"/>
        <v>41527.165972222225</v>
      </c>
      <c r="U2175" s="5">
        <f>VLOOKUP(currency,Tables!$A$1:$C$14,3,FALSE)*pledged</f>
        <v>5331</v>
      </c>
    </row>
    <row r="2176" spans="1:21" ht="43.2" x14ac:dyDescent="0.55000000000000004">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16">
        <f t="shared" si="199"/>
        <v>65.38095238095238</v>
      </c>
      <c r="Q2176" t="str">
        <f t="shared" si="202"/>
        <v>music</v>
      </c>
      <c r="R2176" t="str">
        <f t="shared" si="203"/>
        <v>rock</v>
      </c>
      <c r="S2176" s="4">
        <f t="shared" si="200"/>
        <v>42465.542905092589</v>
      </c>
      <c r="T2176" s="4">
        <f t="shared" si="201"/>
        <v>42495.542905092589</v>
      </c>
      <c r="U2176" s="5">
        <f>VLOOKUP(currency,Tables!$A$1:$C$14,3,FALSE)*pledged</f>
        <v>5437.08</v>
      </c>
    </row>
    <row r="2177" spans="1:21" ht="43.2" x14ac:dyDescent="0.55000000000000004">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98"/>
        <v>2.5</v>
      </c>
      <c r="P2177" s="16">
        <f t="shared" si="199"/>
        <v>67.307692307692307</v>
      </c>
      <c r="Q2177" t="str">
        <f t="shared" si="202"/>
        <v>music</v>
      </c>
      <c r="R2177" t="str">
        <f t="shared" si="203"/>
        <v>rock</v>
      </c>
      <c r="S2177" s="4">
        <f t="shared" si="200"/>
        <v>42565.009097222224</v>
      </c>
      <c r="T2177" s="4">
        <f t="shared" si="201"/>
        <v>42572.009097222224</v>
      </c>
      <c r="U2177" s="5">
        <f>VLOOKUP(currency,Tables!$A$1:$C$14,3,FALSE)*pledged</f>
        <v>1750</v>
      </c>
    </row>
    <row r="2178" spans="1:21" ht="43.2" x14ac:dyDescent="0.55000000000000004">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ref="O2178:O2241" si="204">pledged/goal</f>
        <v>1.2602</v>
      </c>
      <c r="P2178" s="16">
        <f t="shared" ref="P2178:P2241" si="205">IF(pledged=0,0,pledged/backers_count)</f>
        <v>88.74647887323944</v>
      </c>
      <c r="Q2178" t="str">
        <f t="shared" si="202"/>
        <v>music</v>
      </c>
      <c r="R2178" t="str">
        <f t="shared" si="203"/>
        <v>rock</v>
      </c>
      <c r="S2178" s="4">
        <f t="shared" ref="S2178:S2241" si="206">(((Unix_launched_date/60)/60)/24)+DATE(1970,1,1)</f>
        <v>42096.633206018523</v>
      </c>
      <c r="T2178" s="4">
        <f t="shared" ref="T2178:T2241" si="207">(((Unix_deadline/60)/60)/24)+DATE(1970,1,1)</f>
        <v>42126.633206018523</v>
      </c>
      <c r="U2178" s="5">
        <f>VLOOKUP(currency,Tables!$A$1:$C$14,3,FALSE)*pledged</f>
        <v>6301</v>
      </c>
    </row>
    <row r="2179" spans="1:21" ht="57.6" x14ac:dyDescent="0.55000000000000004">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si="204"/>
        <v>1.0012000000000001</v>
      </c>
      <c r="P2179" s="16">
        <f t="shared" si="205"/>
        <v>65.868421052631575</v>
      </c>
      <c r="Q2179" t="str">
        <f t="shared" ref="Q2179:Q2242" si="208">LEFT(N2179,FIND("/",N2179,1)-1)</f>
        <v>music</v>
      </c>
      <c r="R2179" t="str">
        <f t="shared" ref="R2179:R2242" si="209">RIGHT(N2179,(LEN(N2179)-FIND("/",N2179,1)))</f>
        <v>rock</v>
      </c>
      <c r="S2179" s="4">
        <f t="shared" si="206"/>
        <v>42502.250775462962</v>
      </c>
      <c r="T2179" s="4">
        <f t="shared" si="207"/>
        <v>42527.250775462962</v>
      </c>
      <c r="U2179" s="5">
        <f>VLOOKUP(currency,Tables!$A$1:$C$14,3,FALSE)*pledged</f>
        <v>2503</v>
      </c>
    </row>
    <row r="2180" spans="1:21" ht="43.2" x14ac:dyDescent="0.55000000000000004">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16">
        <f t="shared" si="205"/>
        <v>40.349243306169967</v>
      </c>
      <c r="Q2180" t="str">
        <f t="shared" si="208"/>
        <v>music</v>
      </c>
      <c r="R2180" t="str">
        <f t="shared" si="209"/>
        <v>rock</v>
      </c>
      <c r="S2180" s="4">
        <f t="shared" si="206"/>
        <v>42723.63653935185</v>
      </c>
      <c r="T2180" s="4">
        <f t="shared" si="207"/>
        <v>42753.63653935185</v>
      </c>
      <c r="U2180" s="5">
        <f>VLOOKUP(currency,Tables!$A$1:$C$14,3,FALSE)*pledged</f>
        <v>34660</v>
      </c>
    </row>
    <row r="2181" spans="1:21" ht="28.8" x14ac:dyDescent="0.55000000000000004">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16">
        <f t="shared" si="205"/>
        <v>76.857142857142861</v>
      </c>
      <c r="Q2181" t="str">
        <f t="shared" si="208"/>
        <v>music</v>
      </c>
      <c r="R2181" t="str">
        <f t="shared" si="209"/>
        <v>rock</v>
      </c>
      <c r="S2181" s="4">
        <f t="shared" si="206"/>
        <v>42075.171203703707</v>
      </c>
      <c r="T2181" s="4">
        <f t="shared" si="207"/>
        <v>42105.171203703707</v>
      </c>
      <c r="U2181" s="5">
        <f>VLOOKUP(currency,Tables!$A$1:$C$14,3,FALSE)*pledged</f>
        <v>1614</v>
      </c>
    </row>
    <row r="2182" spans="1:21" ht="28.8" x14ac:dyDescent="0.55000000000000004">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16">
        <f t="shared" si="205"/>
        <v>68.707820512820518</v>
      </c>
      <c r="Q2182" t="str">
        <f t="shared" si="208"/>
        <v>music</v>
      </c>
      <c r="R2182" t="str">
        <f t="shared" si="209"/>
        <v>rock</v>
      </c>
      <c r="S2182" s="4">
        <f t="shared" si="206"/>
        <v>42279.669768518521</v>
      </c>
      <c r="T2182" s="4">
        <f t="shared" si="207"/>
        <v>42321.711435185185</v>
      </c>
      <c r="U2182" s="5">
        <f>VLOOKUP(currency,Tables!$A$1:$C$14,3,FALSE)*pledged</f>
        <v>5359.21</v>
      </c>
    </row>
    <row r="2183" spans="1:21" ht="43.2" x14ac:dyDescent="0.55000000000000004">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16">
        <f t="shared" si="205"/>
        <v>57.773584905660378</v>
      </c>
      <c r="Q2183" t="str">
        <f t="shared" si="208"/>
        <v>games</v>
      </c>
      <c r="R2183" t="str">
        <f t="shared" si="209"/>
        <v>tabletop games</v>
      </c>
      <c r="S2183" s="4">
        <f t="shared" si="206"/>
        <v>42773.005243055552</v>
      </c>
      <c r="T2183" s="4">
        <f t="shared" si="207"/>
        <v>42787.005243055552</v>
      </c>
      <c r="U2183" s="5">
        <f>VLOOKUP(currency,Tables!$A$1:$C$14,3,FALSE)*pledged</f>
        <v>3062</v>
      </c>
    </row>
    <row r="2184" spans="1:21" ht="43.2" x14ac:dyDescent="0.55000000000000004">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16">
        <f t="shared" si="205"/>
        <v>44.171348314606739</v>
      </c>
      <c r="Q2184" t="str">
        <f t="shared" si="208"/>
        <v>games</v>
      </c>
      <c r="R2184" t="str">
        <f t="shared" si="209"/>
        <v>tabletop games</v>
      </c>
      <c r="S2184" s="4">
        <f t="shared" si="206"/>
        <v>41879.900752314818</v>
      </c>
      <c r="T2184" s="4">
        <f t="shared" si="207"/>
        <v>41914.900752314818</v>
      </c>
      <c r="U2184" s="5">
        <f>VLOOKUP(currency,Tables!$A$1:$C$14,3,FALSE)*pledged</f>
        <v>11951</v>
      </c>
    </row>
    <row r="2185" spans="1:21" ht="43.2" x14ac:dyDescent="0.55000000000000004">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16">
        <f t="shared" si="205"/>
        <v>31.566308243727597</v>
      </c>
      <c r="Q2185" t="str">
        <f t="shared" si="208"/>
        <v>games</v>
      </c>
      <c r="R2185" t="str">
        <f t="shared" si="209"/>
        <v>tabletop games</v>
      </c>
      <c r="S2185" s="4">
        <f t="shared" si="206"/>
        <v>42745.365474537044</v>
      </c>
      <c r="T2185" s="4">
        <f t="shared" si="207"/>
        <v>42775.208333333328</v>
      </c>
      <c r="U2185" s="5">
        <f>VLOOKUP(currency,Tables!$A$1:$C$14,3,FALSE)*pledged</f>
        <v>8807</v>
      </c>
    </row>
    <row r="2186" spans="1:21" ht="43.2" x14ac:dyDescent="0.55000000000000004">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16">
        <f t="shared" si="205"/>
        <v>107.04511278195488</v>
      </c>
      <c r="Q2186" t="str">
        <f t="shared" si="208"/>
        <v>games</v>
      </c>
      <c r="R2186" t="str">
        <f t="shared" si="209"/>
        <v>tabletop games</v>
      </c>
      <c r="S2186" s="4">
        <f t="shared" si="206"/>
        <v>42380.690289351856</v>
      </c>
      <c r="T2186" s="4">
        <f t="shared" si="207"/>
        <v>42394.666666666672</v>
      </c>
      <c r="U2186" s="5">
        <f>VLOOKUP(currency,Tables!$A$1:$C$14,3,FALSE)*pledged</f>
        <v>28474</v>
      </c>
    </row>
    <row r="2187" spans="1:21" ht="43.2" x14ac:dyDescent="0.55000000000000004">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16">
        <f t="shared" si="205"/>
        <v>149.03451043338683</v>
      </c>
      <c r="Q2187" t="str">
        <f t="shared" si="208"/>
        <v>games</v>
      </c>
      <c r="R2187" t="str">
        <f t="shared" si="209"/>
        <v>tabletop games</v>
      </c>
      <c r="S2187" s="4">
        <f t="shared" si="206"/>
        <v>41319.349988425929</v>
      </c>
      <c r="T2187" s="4">
        <f t="shared" si="207"/>
        <v>41359.349988425929</v>
      </c>
      <c r="U2187" s="5">
        <f>VLOOKUP(currency,Tables!$A$1:$C$14,3,FALSE)*pledged</f>
        <v>122560.02</v>
      </c>
    </row>
    <row r="2188" spans="1:21" ht="28.8" x14ac:dyDescent="0.55000000000000004">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16">
        <f t="shared" si="205"/>
        <v>55.956632653061227</v>
      </c>
      <c r="Q2188" t="str">
        <f t="shared" si="208"/>
        <v>games</v>
      </c>
      <c r="R2188" t="str">
        <f t="shared" si="209"/>
        <v>tabletop games</v>
      </c>
      <c r="S2188" s="4">
        <f t="shared" si="206"/>
        <v>42583.615081018521</v>
      </c>
      <c r="T2188" s="4">
        <f t="shared" si="207"/>
        <v>42620.083333333328</v>
      </c>
      <c r="U2188" s="5">
        <f>VLOOKUP(currency,Tables!$A$1:$C$14,3,FALSE)*pledged</f>
        <v>21935</v>
      </c>
    </row>
    <row r="2189" spans="1:21" ht="43.2" x14ac:dyDescent="0.55000000000000004">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16">
        <f t="shared" si="205"/>
        <v>56.970381807973048</v>
      </c>
      <c r="Q2189" t="str">
        <f t="shared" si="208"/>
        <v>games</v>
      </c>
      <c r="R2189" t="str">
        <f t="shared" si="209"/>
        <v>tabletop games</v>
      </c>
      <c r="S2189" s="4">
        <f t="shared" si="206"/>
        <v>42068.209097222221</v>
      </c>
      <c r="T2189" s="4">
        <f t="shared" si="207"/>
        <v>42097.165972222225</v>
      </c>
      <c r="U2189" s="5">
        <f>VLOOKUP(currency,Tables!$A$1:$C$14,3,FALSE)*pledged</f>
        <v>202928.5</v>
      </c>
    </row>
    <row r="2190" spans="1:21" ht="43.2" x14ac:dyDescent="0.55000000000000004">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16">
        <f t="shared" si="205"/>
        <v>44.056420233463037</v>
      </c>
      <c r="Q2190" t="str">
        <f t="shared" si="208"/>
        <v>games</v>
      </c>
      <c r="R2190" t="str">
        <f t="shared" si="209"/>
        <v>tabletop games</v>
      </c>
      <c r="S2190" s="4">
        <f t="shared" si="206"/>
        <v>42633.586122685185</v>
      </c>
      <c r="T2190" s="4">
        <f t="shared" si="207"/>
        <v>42668.708333333328</v>
      </c>
      <c r="U2190" s="5">
        <f>VLOOKUP(currency,Tables!$A$1:$C$14,3,FALSE)*pledged</f>
        <v>16530.849999999999</v>
      </c>
    </row>
    <row r="2191" spans="1:21" ht="43.2" x14ac:dyDescent="0.55000000000000004">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16">
        <f t="shared" si="205"/>
        <v>68.625</v>
      </c>
      <c r="Q2191" t="str">
        <f t="shared" si="208"/>
        <v>games</v>
      </c>
      <c r="R2191" t="str">
        <f t="shared" si="209"/>
        <v>tabletop games</v>
      </c>
      <c r="S2191" s="4">
        <f t="shared" si="206"/>
        <v>42467.788194444445</v>
      </c>
      <c r="T2191" s="4">
        <f t="shared" si="207"/>
        <v>42481.916666666672</v>
      </c>
      <c r="U2191" s="5">
        <f>VLOOKUP(currency,Tables!$A$1:$C$14,3,FALSE)*pledged</f>
        <v>7971.4800000000005</v>
      </c>
    </row>
    <row r="2192" spans="1:21" ht="43.2" x14ac:dyDescent="0.55000000000000004">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16">
        <f t="shared" si="205"/>
        <v>65.318435754189949</v>
      </c>
      <c r="Q2192" t="str">
        <f t="shared" si="208"/>
        <v>games</v>
      </c>
      <c r="R2192" t="str">
        <f t="shared" si="209"/>
        <v>tabletop games</v>
      </c>
      <c r="S2192" s="4">
        <f t="shared" si="206"/>
        <v>42417.625046296293</v>
      </c>
      <c r="T2192" s="4">
        <f t="shared" si="207"/>
        <v>42452.290972222225</v>
      </c>
      <c r="U2192" s="5">
        <f>VLOOKUP(currency,Tables!$A$1:$C$14,3,FALSE)*pledged</f>
        <v>35076</v>
      </c>
    </row>
    <row r="2193" spans="1:21" ht="43.2" x14ac:dyDescent="0.55000000000000004">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16">
        <f t="shared" si="205"/>
        <v>35.92</v>
      </c>
      <c r="Q2193" t="str">
        <f t="shared" si="208"/>
        <v>games</v>
      </c>
      <c r="R2193" t="str">
        <f t="shared" si="209"/>
        <v>tabletop games</v>
      </c>
      <c r="S2193" s="4">
        <f t="shared" si="206"/>
        <v>42768.833645833336</v>
      </c>
      <c r="T2193" s="4">
        <f t="shared" si="207"/>
        <v>42780.833645833336</v>
      </c>
      <c r="U2193" s="5">
        <f>VLOOKUP(currency,Tables!$A$1:$C$14,3,FALSE)*pledged</f>
        <v>1185.3600000000001</v>
      </c>
    </row>
    <row r="2194" spans="1:21" ht="43.2" x14ac:dyDescent="0.55000000000000004">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16">
        <f t="shared" si="205"/>
        <v>40.070667078443485</v>
      </c>
      <c r="Q2194" t="str">
        <f t="shared" si="208"/>
        <v>games</v>
      </c>
      <c r="R2194" t="str">
        <f t="shared" si="209"/>
        <v>tabletop games</v>
      </c>
      <c r="S2194" s="4">
        <f t="shared" si="206"/>
        <v>42691.8512037037</v>
      </c>
      <c r="T2194" s="4">
        <f t="shared" si="207"/>
        <v>42719.958333333328</v>
      </c>
      <c r="U2194" s="5">
        <f>VLOOKUP(currency,Tables!$A$1:$C$14,3,FALSE)*pledged</f>
        <v>171268.44240000003</v>
      </c>
    </row>
    <row r="2195" spans="1:21" ht="43.2" x14ac:dyDescent="0.55000000000000004">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16">
        <f t="shared" si="205"/>
        <v>75.647714604236342</v>
      </c>
      <c r="Q2195" t="str">
        <f t="shared" si="208"/>
        <v>games</v>
      </c>
      <c r="R2195" t="str">
        <f t="shared" si="209"/>
        <v>tabletop games</v>
      </c>
      <c r="S2195" s="4">
        <f t="shared" si="206"/>
        <v>42664.405925925923</v>
      </c>
      <c r="T2195" s="4">
        <f t="shared" si="207"/>
        <v>42695.207638888889</v>
      </c>
      <c r="U2195" s="5">
        <f>VLOOKUP(currency,Tables!$A$1:$C$14,3,FALSE)*pledged</f>
        <v>67856</v>
      </c>
    </row>
    <row r="2196" spans="1:21" ht="43.2" x14ac:dyDescent="0.55000000000000004">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16">
        <f t="shared" si="205"/>
        <v>61.203872437357631</v>
      </c>
      <c r="Q2196" t="str">
        <f t="shared" si="208"/>
        <v>games</v>
      </c>
      <c r="R2196" t="str">
        <f t="shared" si="209"/>
        <v>tabletop games</v>
      </c>
      <c r="S2196" s="4">
        <f t="shared" si="206"/>
        <v>42425.757986111115</v>
      </c>
      <c r="T2196" s="4">
        <f t="shared" si="207"/>
        <v>42455.716319444444</v>
      </c>
      <c r="U2196" s="5">
        <f>VLOOKUP(currency,Tables!$A$1:$C$14,3,FALSE)*pledged</f>
        <v>53737</v>
      </c>
    </row>
    <row r="2197" spans="1:21" ht="28.8" x14ac:dyDescent="0.55000000000000004">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16">
        <f t="shared" si="205"/>
        <v>48.130434782608695</v>
      </c>
      <c r="Q2197" t="str">
        <f t="shared" si="208"/>
        <v>games</v>
      </c>
      <c r="R2197" t="str">
        <f t="shared" si="209"/>
        <v>tabletop games</v>
      </c>
      <c r="S2197" s="4">
        <f t="shared" si="206"/>
        <v>42197.771990740745</v>
      </c>
      <c r="T2197" s="4">
        <f t="shared" si="207"/>
        <v>42227.771990740745</v>
      </c>
      <c r="U2197" s="5">
        <f>VLOOKUP(currency,Tables!$A$1:$C$14,3,FALSE)*pledged</f>
        <v>5535</v>
      </c>
    </row>
    <row r="2198" spans="1:21" ht="28.8" x14ac:dyDescent="0.55000000000000004">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16">
        <f t="shared" si="205"/>
        <v>68.106837606837601</v>
      </c>
      <c r="Q2198" t="str">
        <f t="shared" si="208"/>
        <v>games</v>
      </c>
      <c r="R2198" t="str">
        <f t="shared" si="209"/>
        <v>tabletop games</v>
      </c>
      <c r="S2198" s="4">
        <f t="shared" si="206"/>
        <v>42675.487291666665</v>
      </c>
      <c r="T2198" s="4">
        <f t="shared" si="207"/>
        <v>42706.291666666672</v>
      </c>
      <c r="U2198" s="5">
        <f>VLOOKUP(currency,Tables!$A$1:$C$14,3,FALSE)*pledged</f>
        <v>15937</v>
      </c>
    </row>
    <row r="2199" spans="1:21" ht="43.2" x14ac:dyDescent="0.55000000000000004">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16">
        <f t="shared" si="205"/>
        <v>65.891300230946882</v>
      </c>
      <c r="Q2199" t="str">
        <f t="shared" si="208"/>
        <v>games</v>
      </c>
      <c r="R2199" t="str">
        <f t="shared" si="209"/>
        <v>tabletop games</v>
      </c>
      <c r="S2199" s="4">
        <f t="shared" si="206"/>
        <v>42033.584016203706</v>
      </c>
      <c r="T2199" s="4">
        <f t="shared" si="207"/>
        <v>42063.584016203706</v>
      </c>
      <c r="U2199" s="5">
        <f>VLOOKUP(currency,Tables!$A$1:$C$14,3,FALSE)*pledged</f>
        <v>285309.33</v>
      </c>
    </row>
    <row r="2200" spans="1:21" ht="43.2" x14ac:dyDescent="0.55000000000000004">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16">
        <f t="shared" si="205"/>
        <v>81.654377880184327</v>
      </c>
      <c r="Q2200" t="str">
        <f t="shared" si="208"/>
        <v>games</v>
      </c>
      <c r="R2200" t="str">
        <f t="shared" si="209"/>
        <v>tabletop games</v>
      </c>
      <c r="S2200" s="4">
        <f t="shared" si="206"/>
        <v>42292.513888888891</v>
      </c>
      <c r="T2200" s="4">
        <f t="shared" si="207"/>
        <v>42322.555555555555</v>
      </c>
      <c r="U2200" s="5">
        <f>VLOOKUP(currency,Tables!$A$1:$C$14,3,FALSE)*pledged</f>
        <v>53157</v>
      </c>
    </row>
    <row r="2201" spans="1:21" ht="28.8" x14ac:dyDescent="0.55000000000000004">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16">
        <f t="shared" si="205"/>
        <v>52.701195219123505</v>
      </c>
      <c r="Q2201" t="str">
        <f t="shared" si="208"/>
        <v>games</v>
      </c>
      <c r="R2201" t="str">
        <f t="shared" si="209"/>
        <v>tabletop games</v>
      </c>
      <c r="S2201" s="4">
        <f t="shared" si="206"/>
        <v>42262.416643518518</v>
      </c>
      <c r="T2201" s="4">
        <f t="shared" si="207"/>
        <v>42292.416643518518</v>
      </c>
      <c r="U2201" s="5">
        <f>VLOOKUP(currency,Tables!$A$1:$C$14,3,FALSE)*pledged</f>
        <v>15609.039999999999</v>
      </c>
    </row>
    <row r="2202" spans="1:21" ht="43.2" x14ac:dyDescent="0.55000000000000004">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16">
        <f t="shared" si="205"/>
        <v>41.228136882129277</v>
      </c>
      <c r="Q2202" t="str">
        <f t="shared" si="208"/>
        <v>games</v>
      </c>
      <c r="R2202" t="str">
        <f t="shared" si="209"/>
        <v>tabletop games</v>
      </c>
      <c r="S2202" s="4">
        <f t="shared" si="206"/>
        <v>42163.625787037032</v>
      </c>
      <c r="T2202" s="4">
        <f t="shared" si="207"/>
        <v>42191.125</v>
      </c>
      <c r="U2202" s="5">
        <f>VLOOKUP(currency,Tables!$A$1:$C$14,3,FALSE)*pledged</f>
        <v>14312.76</v>
      </c>
    </row>
    <row r="2203" spans="1:21" ht="43.2" x14ac:dyDescent="0.55000000000000004">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16">
        <f t="shared" si="205"/>
        <v>15.035357142857142</v>
      </c>
      <c r="Q2203" t="str">
        <f t="shared" si="208"/>
        <v>music</v>
      </c>
      <c r="R2203" t="str">
        <f t="shared" si="209"/>
        <v>electronic music</v>
      </c>
      <c r="S2203" s="4">
        <f t="shared" si="206"/>
        <v>41276.846817129634</v>
      </c>
      <c r="T2203" s="4">
        <f t="shared" si="207"/>
        <v>41290.846817129634</v>
      </c>
      <c r="U2203" s="5">
        <f>VLOOKUP(currency,Tables!$A$1:$C$14,3,FALSE)*pledged</f>
        <v>555.70680000000004</v>
      </c>
    </row>
    <row r="2204" spans="1:21" ht="28.8" x14ac:dyDescent="0.55000000000000004">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16">
        <f t="shared" si="205"/>
        <v>39.066920943134534</v>
      </c>
      <c r="Q2204" t="str">
        <f t="shared" si="208"/>
        <v>music</v>
      </c>
      <c r="R2204" t="str">
        <f t="shared" si="209"/>
        <v>electronic music</v>
      </c>
      <c r="S2204" s="4">
        <f t="shared" si="206"/>
        <v>41184.849166666667</v>
      </c>
      <c r="T2204" s="4">
        <f t="shared" si="207"/>
        <v>41214.849166666667</v>
      </c>
      <c r="U2204" s="5">
        <f>VLOOKUP(currency,Tables!$A$1:$C$14,3,FALSE)*pledged</f>
        <v>28167.25</v>
      </c>
    </row>
    <row r="2205" spans="1:21" ht="43.2" x14ac:dyDescent="0.55000000000000004">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16">
        <f t="shared" si="205"/>
        <v>43.82</v>
      </c>
      <c r="Q2205" t="str">
        <f t="shared" si="208"/>
        <v>music</v>
      </c>
      <c r="R2205" t="str">
        <f t="shared" si="209"/>
        <v>electronic music</v>
      </c>
      <c r="S2205" s="4">
        <f t="shared" si="206"/>
        <v>42241.85974537037</v>
      </c>
      <c r="T2205" s="4">
        <f t="shared" si="207"/>
        <v>42271.85974537037</v>
      </c>
      <c r="U2205" s="5">
        <f>VLOOKUP(currency,Tables!$A$1:$C$14,3,FALSE)*pledged</f>
        <v>1665.16</v>
      </c>
    </row>
    <row r="2206" spans="1:21" ht="43.2" x14ac:dyDescent="0.55000000000000004">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16">
        <f t="shared" si="205"/>
        <v>27.301369863013697</v>
      </c>
      <c r="Q2206" t="str">
        <f t="shared" si="208"/>
        <v>music</v>
      </c>
      <c r="R2206" t="str">
        <f t="shared" si="209"/>
        <v>electronic music</v>
      </c>
      <c r="S2206" s="4">
        <f t="shared" si="206"/>
        <v>41312.311562499999</v>
      </c>
      <c r="T2206" s="4">
        <f t="shared" si="207"/>
        <v>41342.311562499999</v>
      </c>
      <c r="U2206" s="5">
        <f>VLOOKUP(currency,Tables!$A$1:$C$14,3,FALSE)*pledged</f>
        <v>1993</v>
      </c>
    </row>
    <row r="2207" spans="1:21" ht="43.2" x14ac:dyDescent="0.55000000000000004">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204"/>
        <v>1.52</v>
      </c>
      <c r="P2207" s="16">
        <f t="shared" si="205"/>
        <v>42.222222222222221</v>
      </c>
      <c r="Q2207" t="str">
        <f t="shared" si="208"/>
        <v>music</v>
      </c>
      <c r="R2207" t="str">
        <f t="shared" si="209"/>
        <v>electronic music</v>
      </c>
      <c r="S2207" s="4">
        <f t="shared" si="206"/>
        <v>41031.82163194444</v>
      </c>
      <c r="T2207" s="4">
        <f t="shared" si="207"/>
        <v>41061.82163194444</v>
      </c>
      <c r="U2207" s="5">
        <f>VLOOKUP(currency,Tables!$A$1:$C$14,3,FALSE)*pledged</f>
        <v>1140</v>
      </c>
    </row>
    <row r="2208" spans="1:21" ht="43.2" x14ac:dyDescent="0.55000000000000004">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16">
        <f t="shared" si="205"/>
        <v>33.235294117647058</v>
      </c>
      <c r="Q2208" t="str">
        <f t="shared" si="208"/>
        <v>music</v>
      </c>
      <c r="R2208" t="str">
        <f t="shared" si="209"/>
        <v>electronic music</v>
      </c>
      <c r="S2208" s="4">
        <f t="shared" si="206"/>
        <v>40997.257222222222</v>
      </c>
      <c r="T2208" s="4">
        <f t="shared" si="207"/>
        <v>41015.257222222222</v>
      </c>
      <c r="U2208" s="5">
        <f>VLOOKUP(currency,Tables!$A$1:$C$14,3,FALSE)*pledged</f>
        <v>1130</v>
      </c>
    </row>
    <row r="2209" spans="1:21" ht="43.2" x14ac:dyDescent="0.55000000000000004">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204"/>
        <v>1</v>
      </c>
      <c r="P2209" s="16">
        <f t="shared" si="205"/>
        <v>285.71428571428572</v>
      </c>
      <c r="Q2209" t="str">
        <f t="shared" si="208"/>
        <v>music</v>
      </c>
      <c r="R2209" t="str">
        <f t="shared" si="209"/>
        <v>electronic music</v>
      </c>
      <c r="S2209" s="4">
        <f t="shared" si="206"/>
        <v>41564.194131944445</v>
      </c>
      <c r="T2209" s="4">
        <f t="shared" si="207"/>
        <v>41594.235798611109</v>
      </c>
      <c r="U2209" s="5">
        <f>VLOOKUP(currency,Tables!$A$1:$C$14,3,FALSE)*pledged</f>
        <v>2000</v>
      </c>
    </row>
    <row r="2210" spans="1:21" ht="43.2" x14ac:dyDescent="0.55000000000000004">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16">
        <f t="shared" si="205"/>
        <v>42.333333333333336</v>
      </c>
      <c r="Q2210" t="str">
        <f t="shared" si="208"/>
        <v>music</v>
      </c>
      <c r="R2210" t="str">
        <f t="shared" si="209"/>
        <v>electronic music</v>
      </c>
      <c r="S2210" s="4">
        <f t="shared" si="206"/>
        <v>40946.882245370369</v>
      </c>
      <c r="T2210" s="4">
        <f t="shared" si="207"/>
        <v>41006.166666666664</v>
      </c>
      <c r="U2210" s="5">
        <f>VLOOKUP(currency,Tables!$A$1:$C$14,3,FALSE)*pledged</f>
        <v>1016</v>
      </c>
    </row>
    <row r="2211" spans="1:21" ht="28.8" x14ac:dyDescent="0.55000000000000004">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204"/>
        <v>1.508</v>
      </c>
      <c r="P2211" s="16">
        <f t="shared" si="205"/>
        <v>50.266666666666666</v>
      </c>
      <c r="Q2211" t="str">
        <f t="shared" si="208"/>
        <v>music</v>
      </c>
      <c r="R2211" t="str">
        <f t="shared" si="209"/>
        <v>electronic music</v>
      </c>
      <c r="S2211" s="4">
        <f t="shared" si="206"/>
        <v>41732.479675925926</v>
      </c>
      <c r="T2211" s="4">
        <f t="shared" si="207"/>
        <v>41743.958333333336</v>
      </c>
      <c r="U2211" s="5">
        <f>VLOOKUP(currency,Tables!$A$1:$C$14,3,FALSE)*pledged</f>
        <v>995.28000000000009</v>
      </c>
    </row>
    <row r="2212" spans="1:21" ht="43.2" x14ac:dyDescent="0.55000000000000004">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16">
        <f t="shared" si="205"/>
        <v>61.902777777777779</v>
      </c>
      <c r="Q2212" t="str">
        <f t="shared" si="208"/>
        <v>music</v>
      </c>
      <c r="R2212" t="str">
        <f t="shared" si="209"/>
        <v>electronic music</v>
      </c>
      <c r="S2212" s="4">
        <f t="shared" si="206"/>
        <v>40956.066087962965</v>
      </c>
      <c r="T2212" s="4">
        <f t="shared" si="207"/>
        <v>41013.73333333333</v>
      </c>
      <c r="U2212" s="5">
        <f>VLOOKUP(currency,Tables!$A$1:$C$14,3,FALSE)*pledged</f>
        <v>4457</v>
      </c>
    </row>
    <row r="2213" spans="1:21" ht="43.2" x14ac:dyDescent="0.55000000000000004">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16">
        <f t="shared" si="205"/>
        <v>40.75</v>
      </c>
      <c r="Q2213" t="str">
        <f t="shared" si="208"/>
        <v>music</v>
      </c>
      <c r="R2213" t="str">
        <f t="shared" si="209"/>
        <v>electronic music</v>
      </c>
      <c r="S2213" s="4">
        <f t="shared" si="206"/>
        <v>41716.785011574073</v>
      </c>
      <c r="T2213" s="4">
        <f t="shared" si="207"/>
        <v>41739.290972222225</v>
      </c>
      <c r="U2213" s="5">
        <f>VLOOKUP(currency,Tables!$A$1:$C$14,3,FALSE)*pledged</f>
        <v>4890</v>
      </c>
    </row>
    <row r="2214" spans="1:21" ht="43.2" x14ac:dyDescent="0.55000000000000004">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16">
        <f t="shared" si="205"/>
        <v>55.796747967479675</v>
      </c>
      <c r="Q2214" t="str">
        <f t="shared" si="208"/>
        <v>music</v>
      </c>
      <c r="R2214" t="str">
        <f t="shared" si="209"/>
        <v>electronic music</v>
      </c>
      <c r="S2214" s="4">
        <f t="shared" si="206"/>
        <v>41548.747418981482</v>
      </c>
      <c r="T2214" s="4">
        <f t="shared" si="207"/>
        <v>41582.041666666664</v>
      </c>
      <c r="U2214" s="5">
        <f>VLOOKUP(currency,Tables!$A$1:$C$14,3,FALSE)*pledged</f>
        <v>6863</v>
      </c>
    </row>
    <row r="2215" spans="1:21" ht="57.6" x14ac:dyDescent="0.55000000000000004">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204"/>
        <v>2</v>
      </c>
      <c r="P2215" s="16">
        <f t="shared" si="205"/>
        <v>10</v>
      </c>
      <c r="Q2215" t="str">
        <f t="shared" si="208"/>
        <v>music</v>
      </c>
      <c r="R2215" t="str">
        <f t="shared" si="209"/>
        <v>electronic music</v>
      </c>
      <c r="S2215" s="4">
        <f t="shared" si="206"/>
        <v>42109.826145833329</v>
      </c>
      <c r="T2215" s="4">
        <f t="shared" si="207"/>
        <v>42139.826145833329</v>
      </c>
      <c r="U2215" s="5">
        <f>VLOOKUP(currency,Tables!$A$1:$C$14,3,FALSE)*pledged</f>
        <v>10</v>
      </c>
    </row>
    <row r="2216" spans="1:21" ht="43.2" x14ac:dyDescent="0.55000000000000004">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16">
        <f t="shared" si="205"/>
        <v>73.125416666666666</v>
      </c>
      <c r="Q2216" t="str">
        <f t="shared" si="208"/>
        <v>music</v>
      </c>
      <c r="R2216" t="str">
        <f t="shared" si="209"/>
        <v>electronic music</v>
      </c>
      <c r="S2216" s="4">
        <f t="shared" si="206"/>
        <v>41646.792222222226</v>
      </c>
      <c r="T2216" s="4">
        <f t="shared" si="207"/>
        <v>41676.792222222226</v>
      </c>
      <c r="U2216" s="5">
        <f>VLOOKUP(currency,Tables!$A$1:$C$14,3,FALSE)*pledged</f>
        <v>1755.01</v>
      </c>
    </row>
    <row r="2217" spans="1:21" ht="28.8" x14ac:dyDescent="0.55000000000000004">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16">
        <f t="shared" si="205"/>
        <v>26.060606060606062</v>
      </c>
      <c r="Q2217" t="str">
        <f t="shared" si="208"/>
        <v>music</v>
      </c>
      <c r="R2217" t="str">
        <f t="shared" si="209"/>
        <v>electronic music</v>
      </c>
      <c r="S2217" s="4">
        <f t="shared" si="206"/>
        <v>40958.717268518521</v>
      </c>
      <c r="T2217" s="4">
        <f t="shared" si="207"/>
        <v>40981.290972222225</v>
      </c>
      <c r="U2217" s="5">
        <f>VLOOKUP(currency,Tables!$A$1:$C$14,3,FALSE)*pledged</f>
        <v>860</v>
      </c>
    </row>
    <row r="2218" spans="1:21" ht="43.2" x14ac:dyDescent="0.55000000000000004">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16">
        <f t="shared" si="205"/>
        <v>22.642857142857142</v>
      </c>
      <c r="Q2218" t="str">
        <f t="shared" si="208"/>
        <v>music</v>
      </c>
      <c r="R2218" t="str">
        <f t="shared" si="209"/>
        <v>electronic music</v>
      </c>
      <c r="S2218" s="4">
        <f t="shared" si="206"/>
        <v>42194.751678240747</v>
      </c>
      <c r="T2218" s="4">
        <f t="shared" si="207"/>
        <v>42208.751678240747</v>
      </c>
      <c r="U2218" s="5">
        <f>VLOOKUP(currency,Tables!$A$1:$C$14,3,FALSE)*pledged</f>
        <v>317</v>
      </c>
    </row>
    <row r="2219" spans="1:21" ht="43.2" x14ac:dyDescent="0.55000000000000004">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16">
        <f t="shared" si="205"/>
        <v>47.222222222222221</v>
      </c>
      <c r="Q2219" t="str">
        <f t="shared" si="208"/>
        <v>music</v>
      </c>
      <c r="R2219" t="str">
        <f t="shared" si="209"/>
        <v>electronic music</v>
      </c>
      <c r="S2219" s="4">
        <f t="shared" si="206"/>
        <v>42299.776770833334</v>
      </c>
      <c r="T2219" s="4">
        <f t="shared" si="207"/>
        <v>42310.333333333328</v>
      </c>
      <c r="U2219" s="5">
        <f>VLOOKUP(currency,Tables!$A$1:$C$14,3,FALSE)*pledged</f>
        <v>425</v>
      </c>
    </row>
    <row r="2220" spans="1:21" ht="43.2" x14ac:dyDescent="0.55000000000000004">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16">
        <f t="shared" si="205"/>
        <v>32.324473684210524</v>
      </c>
      <c r="Q2220" t="str">
        <f t="shared" si="208"/>
        <v>music</v>
      </c>
      <c r="R2220" t="str">
        <f t="shared" si="209"/>
        <v>electronic music</v>
      </c>
      <c r="S2220" s="4">
        <f t="shared" si="206"/>
        <v>41127.812303240738</v>
      </c>
      <c r="T2220" s="4">
        <f t="shared" si="207"/>
        <v>41150</v>
      </c>
      <c r="U2220" s="5">
        <f>VLOOKUP(currency,Tables!$A$1:$C$14,3,FALSE)*pledged</f>
        <v>2456.66</v>
      </c>
    </row>
    <row r="2221" spans="1:21" ht="43.2" x14ac:dyDescent="0.55000000000000004">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16">
        <f t="shared" si="205"/>
        <v>53.421052631578945</v>
      </c>
      <c r="Q2221" t="str">
        <f t="shared" si="208"/>
        <v>music</v>
      </c>
      <c r="R2221" t="str">
        <f t="shared" si="209"/>
        <v>electronic music</v>
      </c>
      <c r="S2221" s="4">
        <f t="shared" si="206"/>
        <v>42205.718888888892</v>
      </c>
      <c r="T2221" s="4">
        <f t="shared" si="207"/>
        <v>42235.718888888892</v>
      </c>
      <c r="U2221" s="5">
        <f>VLOOKUP(currency,Tables!$A$1:$C$14,3,FALSE)*pledged</f>
        <v>1015</v>
      </c>
    </row>
    <row r="2222" spans="1:21" ht="43.2" x14ac:dyDescent="0.55000000000000004">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16">
        <f t="shared" si="205"/>
        <v>51.304347826086953</v>
      </c>
      <c r="Q2222" t="str">
        <f t="shared" si="208"/>
        <v>music</v>
      </c>
      <c r="R2222" t="str">
        <f t="shared" si="209"/>
        <v>electronic music</v>
      </c>
      <c r="S2222" s="4">
        <f t="shared" si="206"/>
        <v>41452.060601851852</v>
      </c>
      <c r="T2222" s="4">
        <f t="shared" si="207"/>
        <v>41482.060601851852</v>
      </c>
      <c r="U2222" s="5">
        <f>VLOOKUP(currency,Tables!$A$1:$C$14,3,FALSE)*pledged</f>
        <v>3540</v>
      </c>
    </row>
    <row r="2223" spans="1:21" ht="43.2" x14ac:dyDescent="0.55000000000000004">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16">
        <f t="shared" si="205"/>
        <v>37.197247706422019</v>
      </c>
      <c r="Q2223" t="str">
        <f t="shared" si="208"/>
        <v>games</v>
      </c>
      <c r="R2223" t="str">
        <f t="shared" si="209"/>
        <v>tabletop games</v>
      </c>
      <c r="S2223" s="4">
        <f t="shared" si="206"/>
        <v>42452.666770833333</v>
      </c>
      <c r="T2223" s="4">
        <f t="shared" si="207"/>
        <v>42483</v>
      </c>
      <c r="U2223" s="5">
        <f>VLOOKUP(currency,Tables!$A$1:$C$14,3,FALSE)*pledged</f>
        <v>8109</v>
      </c>
    </row>
    <row r="2224" spans="1:21" ht="43.2" x14ac:dyDescent="0.55000000000000004">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16">
        <f t="shared" si="205"/>
        <v>27.1</v>
      </c>
      <c r="Q2224" t="str">
        <f t="shared" si="208"/>
        <v>games</v>
      </c>
      <c r="R2224" t="str">
        <f t="shared" si="209"/>
        <v>tabletop games</v>
      </c>
      <c r="S2224" s="4">
        <f t="shared" si="206"/>
        <v>40906.787581018521</v>
      </c>
      <c r="T2224" s="4">
        <f t="shared" si="207"/>
        <v>40936.787581018521</v>
      </c>
      <c r="U2224" s="5">
        <f>VLOOKUP(currency,Tables!$A$1:$C$14,3,FALSE)*pledged</f>
        <v>813</v>
      </c>
    </row>
    <row r="2225" spans="1:21" ht="43.2" x14ac:dyDescent="0.55000000000000004">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16">
        <f t="shared" si="205"/>
        <v>206.31</v>
      </c>
      <c r="Q2225" t="str">
        <f t="shared" si="208"/>
        <v>games</v>
      </c>
      <c r="R2225" t="str">
        <f t="shared" si="209"/>
        <v>tabletop games</v>
      </c>
      <c r="S2225" s="4">
        <f t="shared" si="206"/>
        <v>42152.640833333338</v>
      </c>
      <c r="T2225" s="4">
        <f t="shared" si="207"/>
        <v>42182.640833333338</v>
      </c>
      <c r="U2225" s="5">
        <f>VLOOKUP(currency,Tables!$A$1:$C$14,3,FALSE)*pledged</f>
        <v>15679.56</v>
      </c>
    </row>
    <row r="2226" spans="1:21" ht="43.2" x14ac:dyDescent="0.55000000000000004">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16">
        <f t="shared" si="205"/>
        <v>82.145270270270274</v>
      </c>
      <c r="Q2226" t="str">
        <f t="shared" si="208"/>
        <v>games</v>
      </c>
      <c r="R2226" t="str">
        <f t="shared" si="209"/>
        <v>tabletop games</v>
      </c>
      <c r="S2226" s="4">
        <f t="shared" si="206"/>
        <v>42644.667534722219</v>
      </c>
      <c r="T2226" s="4">
        <f t="shared" si="207"/>
        <v>42672.791666666672</v>
      </c>
      <c r="U2226" s="5">
        <f>VLOOKUP(currency,Tables!$A$1:$C$14,3,FALSE)*pledged</f>
        <v>24315</v>
      </c>
    </row>
    <row r="2227" spans="1:21" ht="43.2" x14ac:dyDescent="0.55000000000000004">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16">
        <f t="shared" si="205"/>
        <v>164.79651993355483</v>
      </c>
      <c r="Q2227" t="str">
        <f t="shared" si="208"/>
        <v>games</v>
      </c>
      <c r="R2227" t="str">
        <f t="shared" si="209"/>
        <v>tabletop games</v>
      </c>
      <c r="S2227" s="4">
        <f t="shared" si="206"/>
        <v>41873.79184027778</v>
      </c>
      <c r="T2227" s="4">
        <f t="shared" si="207"/>
        <v>41903.79184027778</v>
      </c>
      <c r="U2227" s="5">
        <f>VLOOKUP(currency,Tables!$A$1:$C$14,3,FALSE)*pledged</f>
        <v>261907.81320000003</v>
      </c>
    </row>
    <row r="2228" spans="1:21" ht="43.2" x14ac:dyDescent="0.55000000000000004">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16">
        <f t="shared" si="205"/>
        <v>60.820280373831778</v>
      </c>
      <c r="Q2228" t="str">
        <f t="shared" si="208"/>
        <v>games</v>
      </c>
      <c r="R2228" t="str">
        <f t="shared" si="209"/>
        <v>tabletop games</v>
      </c>
      <c r="S2228" s="4">
        <f t="shared" si="206"/>
        <v>42381.79886574074</v>
      </c>
      <c r="T2228" s="4">
        <f t="shared" si="207"/>
        <v>42412.207638888889</v>
      </c>
      <c r="U2228" s="5">
        <f>VLOOKUP(currency,Tables!$A$1:$C$14,3,FALSE)*pledged</f>
        <v>19523.310000000001</v>
      </c>
    </row>
    <row r="2229" spans="1:21" ht="43.2" x14ac:dyDescent="0.55000000000000004">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16">
        <f t="shared" si="205"/>
        <v>67.970099667774093</v>
      </c>
      <c r="Q2229" t="str">
        <f t="shared" si="208"/>
        <v>games</v>
      </c>
      <c r="R2229" t="str">
        <f t="shared" si="209"/>
        <v>tabletop games</v>
      </c>
      <c r="S2229" s="4">
        <f t="shared" si="206"/>
        <v>41561.807349537034</v>
      </c>
      <c r="T2229" s="4">
        <f t="shared" si="207"/>
        <v>41591.849016203705</v>
      </c>
      <c r="U2229" s="5">
        <f>VLOOKUP(currency,Tables!$A$1:$C$14,3,FALSE)*pledged</f>
        <v>27005.88</v>
      </c>
    </row>
    <row r="2230" spans="1:21" ht="43.2" x14ac:dyDescent="0.55000000000000004">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16">
        <f t="shared" si="205"/>
        <v>81.561805555555551</v>
      </c>
      <c r="Q2230" t="str">
        <f t="shared" si="208"/>
        <v>games</v>
      </c>
      <c r="R2230" t="str">
        <f t="shared" si="209"/>
        <v>tabletop games</v>
      </c>
      <c r="S2230" s="4">
        <f t="shared" si="206"/>
        <v>42202.278194444443</v>
      </c>
      <c r="T2230" s="4">
        <f t="shared" si="207"/>
        <v>42232.278194444443</v>
      </c>
      <c r="U2230" s="5">
        <f>VLOOKUP(currency,Tables!$A$1:$C$14,3,FALSE)*pledged</f>
        <v>13858.981999999998</v>
      </c>
    </row>
    <row r="2231" spans="1:21" ht="43.2" x14ac:dyDescent="0.55000000000000004">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16">
        <f t="shared" si="205"/>
        <v>25.42547309833024</v>
      </c>
      <c r="Q2231" t="str">
        <f t="shared" si="208"/>
        <v>games</v>
      </c>
      <c r="R2231" t="str">
        <f t="shared" si="209"/>
        <v>tabletop games</v>
      </c>
      <c r="S2231" s="4">
        <f t="shared" si="206"/>
        <v>41484.664247685185</v>
      </c>
      <c r="T2231" s="4">
        <f t="shared" si="207"/>
        <v>41520.166666666664</v>
      </c>
      <c r="U2231" s="5">
        <f>VLOOKUP(currency,Tables!$A$1:$C$14,3,FALSE)*pledged</f>
        <v>13704.33</v>
      </c>
    </row>
    <row r="2232" spans="1:21" ht="43.2" x14ac:dyDescent="0.55000000000000004">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16">
        <f t="shared" si="205"/>
        <v>21.497991967871485</v>
      </c>
      <c r="Q2232" t="str">
        <f t="shared" si="208"/>
        <v>games</v>
      </c>
      <c r="R2232" t="str">
        <f t="shared" si="209"/>
        <v>tabletop games</v>
      </c>
      <c r="S2232" s="4">
        <f t="shared" si="206"/>
        <v>41724.881099537037</v>
      </c>
      <c r="T2232" s="4">
        <f t="shared" si="207"/>
        <v>41754.881099537037</v>
      </c>
      <c r="U2232" s="5">
        <f>VLOOKUP(currency,Tables!$A$1:$C$14,3,FALSE)*pledged</f>
        <v>10706</v>
      </c>
    </row>
    <row r="2233" spans="1:21" ht="43.2" x14ac:dyDescent="0.55000000000000004">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16">
        <f t="shared" si="205"/>
        <v>27.226630727762803</v>
      </c>
      <c r="Q2233" t="str">
        <f t="shared" si="208"/>
        <v>games</v>
      </c>
      <c r="R2233" t="str">
        <f t="shared" si="209"/>
        <v>tabletop games</v>
      </c>
      <c r="S2233" s="4">
        <f t="shared" si="206"/>
        <v>41423.910891203705</v>
      </c>
      <c r="T2233" s="4">
        <f t="shared" si="207"/>
        <v>41450.208333333336</v>
      </c>
      <c r="U2233" s="5">
        <f>VLOOKUP(currency,Tables!$A$1:$C$14,3,FALSE)*pledged</f>
        <v>30303.24</v>
      </c>
    </row>
    <row r="2234" spans="1:21" ht="43.2" x14ac:dyDescent="0.55000000000000004">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16">
        <f t="shared" si="205"/>
        <v>25.091093117408906</v>
      </c>
      <c r="Q2234" t="str">
        <f t="shared" si="208"/>
        <v>games</v>
      </c>
      <c r="R2234" t="str">
        <f t="shared" si="209"/>
        <v>tabletop games</v>
      </c>
      <c r="S2234" s="4">
        <f t="shared" si="206"/>
        <v>41806.794074074074</v>
      </c>
      <c r="T2234" s="4">
        <f t="shared" si="207"/>
        <v>41839.125</v>
      </c>
      <c r="U2234" s="5">
        <f>VLOOKUP(currency,Tables!$A$1:$C$14,3,FALSE)*pledged</f>
        <v>24790</v>
      </c>
    </row>
    <row r="2235" spans="1:21" ht="43.2" x14ac:dyDescent="0.55000000000000004">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16">
        <f t="shared" si="205"/>
        <v>21.230179028132991</v>
      </c>
      <c r="Q2235" t="str">
        <f t="shared" si="208"/>
        <v>games</v>
      </c>
      <c r="R2235" t="str">
        <f t="shared" si="209"/>
        <v>tabletop games</v>
      </c>
      <c r="S2235" s="4">
        <f t="shared" si="206"/>
        <v>42331.378923611104</v>
      </c>
      <c r="T2235" s="4">
        <f t="shared" si="207"/>
        <v>42352</v>
      </c>
      <c r="U2235" s="5">
        <f>VLOOKUP(currency,Tables!$A$1:$C$14,3,FALSE)*pledged</f>
        <v>10957.32</v>
      </c>
    </row>
    <row r="2236" spans="1:21" ht="43.2" x14ac:dyDescent="0.55000000000000004">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204"/>
        <v>11.65</v>
      </c>
      <c r="P2236" s="16">
        <f t="shared" si="205"/>
        <v>41.607142857142854</v>
      </c>
      <c r="Q2236" t="str">
        <f t="shared" si="208"/>
        <v>games</v>
      </c>
      <c r="R2236" t="str">
        <f t="shared" si="209"/>
        <v>tabletop games</v>
      </c>
      <c r="S2236" s="4">
        <f t="shared" si="206"/>
        <v>42710.824618055558</v>
      </c>
      <c r="T2236" s="4">
        <f t="shared" si="207"/>
        <v>42740.824618055558</v>
      </c>
      <c r="U2236" s="5">
        <f>VLOOKUP(currency,Tables!$A$1:$C$14,3,FALSE)*pledged</f>
        <v>1165</v>
      </c>
    </row>
    <row r="2237" spans="1:21" ht="28.8" x14ac:dyDescent="0.55000000000000004">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16">
        <f t="shared" si="205"/>
        <v>135.58503401360545</v>
      </c>
      <c r="Q2237" t="str">
        <f t="shared" si="208"/>
        <v>games</v>
      </c>
      <c r="R2237" t="str">
        <f t="shared" si="209"/>
        <v>tabletop games</v>
      </c>
      <c r="S2237" s="4">
        <f t="shared" si="206"/>
        <v>42062.022118055553</v>
      </c>
      <c r="T2237" s="4">
        <f t="shared" si="207"/>
        <v>42091.980451388896</v>
      </c>
      <c r="U2237" s="5">
        <f>VLOOKUP(currency,Tables!$A$1:$C$14,3,FALSE)*pledged</f>
        <v>15147.56</v>
      </c>
    </row>
    <row r="2238" spans="1:21" ht="43.2" x14ac:dyDescent="0.55000000000000004">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16">
        <f t="shared" si="205"/>
        <v>22.116176470588236</v>
      </c>
      <c r="Q2238" t="str">
        <f t="shared" si="208"/>
        <v>games</v>
      </c>
      <c r="R2238" t="str">
        <f t="shared" si="209"/>
        <v>tabletop games</v>
      </c>
      <c r="S2238" s="4">
        <f t="shared" si="206"/>
        <v>42371.617164351846</v>
      </c>
      <c r="T2238" s="4">
        <f t="shared" si="207"/>
        <v>42401.617164351846</v>
      </c>
      <c r="U2238" s="5">
        <f>VLOOKUP(currency,Tables!$A$1:$C$14,3,FALSE)*pledged</f>
        <v>15039</v>
      </c>
    </row>
    <row r="2239" spans="1:21" ht="43.2" x14ac:dyDescent="0.55000000000000004">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16">
        <f t="shared" si="205"/>
        <v>64.625635808748726</v>
      </c>
      <c r="Q2239" t="str">
        <f t="shared" si="208"/>
        <v>games</v>
      </c>
      <c r="R2239" t="str">
        <f t="shared" si="209"/>
        <v>tabletop games</v>
      </c>
      <c r="S2239" s="4">
        <f t="shared" si="206"/>
        <v>41915.003275462965</v>
      </c>
      <c r="T2239" s="4">
        <f t="shared" si="207"/>
        <v>41955.332638888889</v>
      </c>
      <c r="U2239" s="5">
        <f>VLOOKUP(currency,Tables!$A$1:$C$14,3,FALSE)*pledged</f>
        <v>63527</v>
      </c>
    </row>
    <row r="2240" spans="1:21" ht="28.8" x14ac:dyDescent="0.55000000000000004">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16">
        <f t="shared" si="205"/>
        <v>69.569620253164558</v>
      </c>
      <c r="Q2240" t="str">
        <f t="shared" si="208"/>
        <v>games</v>
      </c>
      <c r="R2240" t="str">
        <f t="shared" si="209"/>
        <v>tabletop games</v>
      </c>
      <c r="S2240" s="4">
        <f t="shared" si="206"/>
        <v>42774.621712962966</v>
      </c>
      <c r="T2240" s="4">
        <f t="shared" si="207"/>
        <v>42804.621712962966</v>
      </c>
      <c r="U2240" s="5">
        <f>VLOOKUP(currency,Tables!$A$1:$C$14,3,FALSE)*pledged</f>
        <v>6485.28</v>
      </c>
    </row>
    <row r="2241" spans="1:21" ht="28.8" x14ac:dyDescent="0.55000000000000004">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16">
        <f t="shared" si="205"/>
        <v>75.133028169014082</v>
      </c>
      <c r="Q2241" t="str">
        <f t="shared" si="208"/>
        <v>games</v>
      </c>
      <c r="R2241" t="str">
        <f t="shared" si="209"/>
        <v>tabletop games</v>
      </c>
      <c r="S2241" s="4">
        <f t="shared" si="206"/>
        <v>41572.958495370374</v>
      </c>
      <c r="T2241" s="4">
        <f t="shared" si="207"/>
        <v>41609.168055555558</v>
      </c>
      <c r="U2241" s="5">
        <f>VLOOKUP(currency,Tables!$A$1:$C$14,3,FALSE)*pledged</f>
        <v>32006.67</v>
      </c>
    </row>
    <row r="2242" spans="1:21" ht="43.2" x14ac:dyDescent="0.55000000000000004">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ref="O2242:O2305" si="210">pledged/goal</f>
        <v>2.7067999999999999</v>
      </c>
      <c r="P2242" s="16">
        <f t="shared" ref="P2242:P2305" si="211">IF(pledged=0,0,pledged/backers_count)</f>
        <v>140.97916666666666</v>
      </c>
      <c r="Q2242" t="str">
        <f t="shared" si="208"/>
        <v>games</v>
      </c>
      <c r="R2242" t="str">
        <f t="shared" si="209"/>
        <v>tabletop games</v>
      </c>
      <c r="S2242" s="4">
        <f t="shared" ref="S2242:S2305" si="212">(((Unix_launched_date/60)/60)/24)+DATE(1970,1,1)</f>
        <v>42452.825740740736</v>
      </c>
      <c r="T2242" s="4">
        <f t="shared" ref="T2242:T2305" si="213">(((Unix_deadline/60)/60)/24)+DATE(1970,1,1)</f>
        <v>42482.825740740736</v>
      </c>
      <c r="U2242" s="5">
        <f>VLOOKUP(currency,Tables!$A$1:$C$14,3,FALSE)*pledged</f>
        <v>13534</v>
      </c>
    </row>
    <row r="2243" spans="1:21" ht="43.2" x14ac:dyDescent="0.55000000000000004">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si="210"/>
        <v>8.0640000000000001</v>
      </c>
      <c r="P2243" s="16">
        <f t="shared" si="211"/>
        <v>49.472392638036808</v>
      </c>
      <c r="Q2243" t="str">
        <f t="shared" ref="Q2243:Q2306" si="214">LEFT(N2243,FIND("/",N2243,1)-1)</f>
        <v>games</v>
      </c>
      <c r="R2243" t="str">
        <f t="shared" ref="R2243:R2306" si="215">RIGHT(N2243,(LEN(N2243)-FIND("/",N2243,1)))</f>
        <v>tabletop games</v>
      </c>
      <c r="S2243" s="4">
        <f t="shared" si="212"/>
        <v>42766.827546296292</v>
      </c>
      <c r="T2243" s="4">
        <f t="shared" si="213"/>
        <v>42796.827546296292</v>
      </c>
      <c r="U2243" s="5">
        <f>VLOOKUP(currency,Tables!$A$1:$C$14,3,FALSE)*pledged</f>
        <v>10644.480000000001</v>
      </c>
    </row>
    <row r="2244" spans="1:21" ht="28.8" x14ac:dyDescent="0.55000000000000004">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16">
        <f t="shared" si="211"/>
        <v>53.865251485148519</v>
      </c>
      <c r="Q2244" t="str">
        <f t="shared" si="214"/>
        <v>games</v>
      </c>
      <c r="R2244" t="str">
        <f t="shared" si="215"/>
        <v>tabletop games</v>
      </c>
      <c r="S2244" s="4">
        <f t="shared" si="212"/>
        <v>41569.575613425928</v>
      </c>
      <c r="T2244" s="4">
        <f t="shared" si="213"/>
        <v>41605.126388888886</v>
      </c>
      <c r="U2244" s="5">
        <f>VLOOKUP(currency,Tables!$A$1:$C$14,3,FALSE)*pledged</f>
        <v>136009.76</v>
      </c>
    </row>
    <row r="2245" spans="1:21" ht="43.2" x14ac:dyDescent="0.55000000000000004">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16">
        <f t="shared" si="211"/>
        <v>4.5712530712530715</v>
      </c>
      <c r="Q2245" t="str">
        <f t="shared" si="214"/>
        <v>games</v>
      </c>
      <c r="R2245" t="str">
        <f t="shared" si="215"/>
        <v>tabletop games</v>
      </c>
      <c r="S2245" s="4">
        <f t="shared" si="212"/>
        <v>42800.751041666663</v>
      </c>
      <c r="T2245" s="4">
        <f t="shared" si="213"/>
        <v>42807.125</v>
      </c>
      <c r="U2245" s="5">
        <f>VLOOKUP(currency,Tables!$A$1:$C$14,3,FALSE)*pledged</f>
        <v>9302.5</v>
      </c>
    </row>
    <row r="2246" spans="1:21" ht="43.2" x14ac:dyDescent="0.55000000000000004">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16">
        <f t="shared" si="211"/>
        <v>65.00344827586207</v>
      </c>
      <c r="Q2246" t="str">
        <f t="shared" si="214"/>
        <v>games</v>
      </c>
      <c r="R2246" t="str">
        <f t="shared" si="215"/>
        <v>tabletop games</v>
      </c>
      <c r="S2246" s="4">
        <f t="shared" si="212"/>
        <v>42647.818819444445</v>
      </c>
      <c r="T2246" s="4">
        <f t="shared" si="213"/>
        <v>42659.854166666672</v>
      </c>
      <c r="U2246" s="5">
        <f>VLOOKUP(currency,Tables!$A$1:$C$14,3,FALSE)*pledged</f>
        <v>18851</v>
      </c>
    </row>
    <row r="2247" spans="1:21" ht="43.2" x14ac:dyDescent="0.55000000000000004">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16">
        <f t="shared" si="211"/>
        <v>53.475252525252522</v>
      </c>
      <c r="Q2247" t="str">
        <f t="shared" si="214"/>
        <v>games</v>
      </c>
      <c r="R2247" t="str">
        <f t="shared" si="215"/>
        <v>tabletop games</v>
      </c>
      <c r="S2247" s="4">
        <f t="shared" si="212"/>
        <v>41660.708530092597</v>
      </c>
      <c r="T2247" s="4">
        <f t="shared" si="213"/>
        <v>41691.75</v>
      </c>
      <c r="U2247" s="5">
        <f>VLOOKUP(currency,Tables!$A$1:$C$14,3,FALSE)*pledged</f>
        <v>105881</v>
      </c>
    </row>
    <row r="2248" spans="1:21" ht="43.2" x14ac:dyDescent="0.55000000000000004">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16">
        <f t="shared" si="211"/>
        <v>43.912280701754383</v>
      </c>
      <c r="Q2248" t="str">
        <f t="shared" si="214"/>
        <v>games</v>
      </c>
      <c r="R2248" t="str">
        <f t="shared" si="215"/>
        <v>tabletop games</v>
      </c>
      <c r="S2248" s="4">
        <f t="shared" si="212"/>
        <v>42221.79178240741</v>
      </c>
      <c r="T2248" s="4">
        <f t="shared" si="213"/>
        <v>42251.79178240741</v>
      </c>
      <c r="U2248" s="5">
        <f>VLOOKUP(currency,Tables!$A$1:$C$14,3,FALSE)*pledged</f>
        <v>3303.96</v>
      </c>
    </row>
    <row r="2249" spans="1:21" ht="28.8" x14ac:dyDescent="0.55000000000000004">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16">
        <f t="shared" si="211"/>
        <v>50.852631578947367</v>
      </c>
      <c r="Q2249" t="str">
        <f t="shared" si="214"/>
        <v>games</v>
      </c>
      <c r="R2249" t="str">
        <f t="shared" si="215"/>
        <v>tabletop games</v>
      </c>
      <c r="S2249" s="4">
        <f t="shared" si="212"/>
        <v>42200.666261574079</v>
      </c>
      <c r="T2249" s="4">
        <f t="shared" si="213"/>
        <v>42214.666261574079</v>
      </c>
      <c r="U2249" s="5">
        <f>VLOOKUP(currency,Tables!$A$1:$C$14,3,FALSE)*pledged</f>
        <v>19324</v>
      </c>
    </row>
    <row r="2250" spans="1:21" ht="43.2" x14ac:dyDescent="0.55000000000000004">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16">
        <f t="shared" si="211"/>
        <v>58.6328125</v>
      </c>
      <c r="Q2250" t="str">
        <f t="shared" si="214"/>
        <v>games</v>
      </c>
      <c r="R2250" t="str">
        <f t="shared" si="215"/>
        <v>tabletop games</v>
      </c>
      <c r="S2250" s="4">
        <f t="shared" si="212"/>
        <v>42688.875902777778</v>
      </c>
      <c r="T2250" s="4">
        <f t="shared" si="213"/>
        <v>42718.875902777778</v>
      </c>
      <c r="U2250" s="5">
        <f>VLOOKUP(currency,Tables!$A$1:$C$14,3,FALSE)*pledged</f>
        <v>9906.6</v>
      </c>
    </row>
    <row r="2251" spans="1:21" ht="43.2" x14ac:dyDescent="0.55000000000000004">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16">
        <f t="shared" si="211"/>
        <v>32.81666666666667</v>
      </c>
      <c r="Q2251" t="str">
        <f t="shared" si="214"/>
        <v>games</v>
      </c>
      <c r="R2251" t="str">
        <f t="shared" si="215"/>
        <v>tabletop games</v>
      </c>
      <c r="S2251" s="4">
        <f t="shared" si="212"/>
        <v>41336.703298611108</v>
      </c>
      <c r="T2251" s="4">
        <f t="shared" si="213"/>
        <v>41366.661631944444</v>
      </c>
      <c r="U2251" s="5">
        <f>VLOOKUP(currency,Tables!$A$1:$C$14,3,FALSE)*pledged</f>
        <v>5907</v>
      </c>
    </row>
    <row r="2252" spans="1:21" ht="43.2" x14ac:dyDescent="0.55000000000000004">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16">
        <f t="shared" si="211"/>
        <v>426.93169877408059</v>
      </c>
      <c r="Q2252" t="str">
        <f t="shared" si="214"/>
        <v>games</v>
      </c>
      <c r="R2252" t="str">
        <f t="shared" si="215"/>
        <v>tabletop games</v>
      </c>
      <c r="S2252" s="4">
        <f t="shared" si="212"/>
        <v>42677.005474537036</v>
      </c>
      <c r="T2252" s="4">
        <f t="shared" si="213"/>
        <v>42707.0471412037</v>
      </c>
      <c r="U2252" s="5">
        <f>VLOOKUP(currency,Tables!$A$1:$C$14,3,FALSE)*pledged</f>
        <v>243778</v>
      </c>
    </row>
    <row r="2253" spans="1:21" ht="43.2" x14ac:dyDescent="0.55000000000000004">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16">
        <f t="shared" si="211"/>
        <v>23.808729166666669</v>
      </c>
      <c r="Q2253" t="str">
        <f t="shared" si="214"/>
        <v>games</v>
      </c>
      <c r="R2253" t="str">
        <f t="shared" si="215"/>
        <v>tabletop games</v>
      </c>
      <c r="S2253" s="4">
        <f t="shared" si="212"/>
        <v>41846.34579861111</v>
      </c>
      <c r="T2253" s="4">
        <f t="shared" si="213"/>
        <v>41867.34579861111</v>
      </c>
      <c r="U2253" s="5">
        <f>VLOOKUP(currency,Tables!$A$1:$C$14,3,FALSE)*pledged</f>
        <v>11428.19</v>
      </c>
    </row>
    <row r="2254" spans="1:21" ht="43.2" x14ac:dyDescent="0.55000000000000004">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16">
        <f t="shared" si="211"/>
        <v>98.413654618473899</v>
      </c>
      <c r="Q2254" t="str">
        <f t="shared" si="214"/>
        <v>games</v>
      </c>
      <c r="R2254" t="str">
        <f t="shared" si="215"/>
        <v>tabletop games</v>
      </c>
      <c r="S2254" s="4">
        <f t="shared" si="212"/>
        <v>42573.327986111108</v>
      </c>
      <c r="T2254" s="4">
        <f t="shared" si="213"/>
        <v>42588.327986111108</v>
      </c>
      <c r="U2254" s="5">
        <f>VLOOKUP(currency,Tables!$A$1:$C$14,3,FALSE)*pledged</f>
        <v>28915.899999999998</v>
      </c>
    </row>
    <row r="2255" spans="1:21" ht="43.2" x14ac:dyDescent="0.55000000000000004">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16">
        <f t="shared" si="211"/>
        <v>107.32142857142857</v>
      </c>
      <c r="Q2255" t="str">
        <f t="shared" si="214"/>
        <v>games</v>
      </c>
      <c r="R2255" t="str">
        <f t="shared" si="215"/>
        <v>tabletop games</v>
      </c>
      <c r="S2255" s="4">
        <f t="shared" si="212"/>
        <v>42296.631331018521</v>
      </c>
      <c r="T2255" s="4">
        <f t="shared" si="213"/>
        <v>42326.672997685186</v>
      </c>
      <c r="U2255" s="5">
        <f>VLOOKUP(currency,Tables!$A$1:$C$14,3,FALSE)*pledged</f>
        <v>9015</v>
      </c>
    </row>
    <row r="2256" spans="1:21" ht="28.8" x14ac:dyDescent="0.55000000000000004">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16">
        <f t="shared" si="211"/>
        <v>11.67005076142132</v>
      </c>
      <c r="Q2256" t="str">
        <f t="shared" si="214"/>
        <v>games</v>
      </c>
      <c r="R2256" t="str">
        <f t="shared" si="215"/>
        <v>tabletop games</v>
      </c>
      <c r="S2256" s="4">
        <f t="shared" si="212"/>
        <v>42752.647777777776</v>
      </c>
      <c r="T2256" s="4">
        <f t="shared" si="213"/>
        <v>42759.647777777776</v>
      </c>
      <c r="U2256" s="5">
        <f>VLOOKUP(currency,Tables!$A$1:$C$14,3,FALSE)*pledged</f>
        <v>2299</v>
      </c>
    </row>
    <row r="2257" spans="1:21" ht="28.8" x14ac:dyDescent="0.55000000000000004">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16">
        <f t="shared" si="211"/>
        <v>41.782287822878232</v>
      </c>
      <c r="Q2257" t="str">
        <f t="shared" si="214"/>
        <v>games</v>
      </c>
      <c r="R2257" t="str">
        <f t="shared" si="215"/>
        <v>tabletop games</v>
      </c>
      <c r="S2257" s="4">
        <f t="shared" si="212"/>
        <v>42467.951979166668</v>
      </c>
      <c r="T2257" s="4">
        <f t="shared" si="213"/>
        <v>42497.951979166668</v>
      </c>
      <c r="U2257" s="5">
        <f>VLOOKUP(currency,Tables!$A$1:$C$14,3,FALSE)*pledged</f>
        <v>11323</v>
      </c>
    </row>
    <row r="2258" spans="1:21" ht="43.2" x14ac:dyDescent="0.55000000000000004">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16">
        <f t="shared" si="211"/>
        <v>21.38</v>
      </c>
      <c r="Q2258" t="str">
        <f t="shared" si="214"/>
        <v>games</v>
      </c>
      <c r="R2258" t="str">
        <f t="shared" si="215"/>
        <v>tabletop games</v>
      </c>
      <c r="S2258" s="4">
        <f t="shared" si="212"/>
        <v>42682.451921296291</v>
      </c>
      <c r="T2258" s="4">
        <f t="shared" si="213"/>
        <v>42696.451921296291</v>
      </c>
      <c r="U2258" s="5">
        <f>VLOOKUP(currency,Tables!$A$1:$C$14,3,FALSE)*pledged</f>
        <v>1411.0800000000002</v>
      </c>
    </row>
    <row r="2259" spans="1:21" ht="43.2" x14ac:dyDescent="0.55000000000000004">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16">
        <f t="shared" si="211"/>
        <v>94.103550295857985</v>
      </c>
      <c r="Q2259" t="str">
        <f t="shared" si="214"/>
        <v>games</v>
      </c>
      <c r="R2259" t="str">
        <f t="shared" si="215"/>
        <v>tabletop games</v>
      </c>
      <c r="S2259" s="4">
        <f t="shared" si="212"/>
        <v>42505.936678240745</v>
      </c>
      <c r="T2259" s="4">
        <f t="shared" si="213"/>
        <v>42540.958333333328</v>
      </c>
      <c r="U2259" s="5">
        <f>VLOOKUP(currency,Tables!$A$1:$C$14,3,FALSE)*pledged</f>
        <v>20992.620000000003</v>
      </c>
    </row>
    <row r="2260" spans="1:21" ht="28.8" x14ac:dyDescent="0.55000000000000004">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16">
        <f t="shared" si="211"/>
        <v>15.721951219512196</v>
      </c>
      <c r="Q2260" t="str">
        <f t="shared" si="214"/>
        <v>games</v>
      </c>
      <c r="R2260" t="str">
        <f t="shared" si="215"/>
        <v>tabletop games</v>
      </c>
      <c r="S2260" s="4">
        <f t="shared" si="212"/>
        <v>42136.75100694444</v>
      </c>
      <c r="T2260" s="4">
        <f t="shared" si="213"/>
        <v>42166.75100694444</v>
      </c>
      <c r="U2260" s="5">
        <f>VLOOKUP(currency,Tables!$A$1:$C$14,3,FALSE)*pledged</f>
        <v>3223</v>
      </c>
    </row>
    <row r="2261" spans="1:21" ht="43.2" x14ac:dyDescent="0.55000000000000004">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16">
        <f t="shared" si="211"/>
        <v>90.635922330097088</v>
      </c>
      <c r="Q2261" t="str">
        <f t="shared" si="214"/>
        <v>games</v>
      </c>
      <c r="R2261" t="str">
        <f t="shared" si="215"/>
        <v>tabletop games</v>
      </c>
      <c r="S2261" s="4">
        <f t="shared" si="212"/>
        <v>42702.804814814815</v>
      </c>
      <c r="T2261" s="4">
        <f t="shared" si="213"/>
        <v>42712.804814814815</v>
      </c>
      <c r="U2261" s="5">
        <f>VLOOKUP(currency,Tables!$A$1:$C$14,3,FALSE)*pledged</f>
        <v>24645.72</v>
      </c>
    </row>
    <row r="2262" spans="1:21" ht="43.2" x14ac:dyDescent="0.55000000000000004">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16">
        <f t="shared" si="211"/>
        <v>97.297619047619051</v>
      </c>
      <c r="Q2262" t="str">
        <f t="shared" si="214"/>
        <v>games</v>
      </c>
      <c r="R2262" t="str">
        <f t="shared" si="215"/>
        <v>tabletop games</v>
      </c>
      <c r="S2262" s="4">
        <f t="shared" si="212"/>
        <v>41695.016782407409</v>
      </c>
      <c r="T2262" s="4">
        <f t="shared" si="213"/>
        <v>41724.975115740745</v>
      </c>
      <c r="U2262" s="5">
        <f>VLOOKUP(currency,Tables!$A$1:$C$14,3,FALSE)*pledged</f>
        <v>8173</v>
      </c>
    </row>
    <row r="2263" spans="1:21" ht="43.2" x14ac:dyDescent="0.55000000000000004">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16">
        <f t="shared" si="211"/>
        <v>37.11904761904762</v>
      </c>
      <c r="Q2263" t="str">
        <f t="shared" si="214"/>
        <v>games</v>
      </c>
      <c r="R2263" t="str">
        <f t="shared" si="215"/>
        <v>tabletop games</v>
      </c>
      <c r="S2263" s="4">
        <f t="shared" si="212"/>
        <v>42759.724768518514</v>
      </c>
      <c r="T2263" s="4">
        <f t="shared" si="213"/>
        <v>42780.724768518514</v>
      </c>
      <c r="U2263" s="5">
        <f>VLOOKUP(currency,Tables!$A$1:$C$14,3,FALSE)*pledged</f>
        <v>5690.3499999999995</v>
      </c>
    </row>
    <row r="2264" spans="1:21" ht="28.8" x14ac:dyDescent="0.55000000000000004">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16">
        <f t="shared" si="211"/>
        <v>28.104972375690608</v>
      </c>
      <c r="Q2264" t="str">
        <f t="shared" si="214"/>
        <v>games</v>
      </c>
      <c r="R2264" t="str">
        <f t="shared" si="215"/>
        <v>tabletop games</v>
      </c>
      <c r="S2264" s="4">
        <f t="shared" si="212"/>
        <v>41926.585162037038</v>
      </c>
      <c r="T2264" s="4">
        <f t="shared" si="213"/>
        <v>41961</v>
      </c>
      <c r="U2264" s="5">
        <f>VLOOKUP(currency,Tables!$A$1:$C$14,3,FALSE)*pledged</f>
        <v>5087</v>
      </c>
    </row>
    <row r="2265" spans="1:21" ht="43.2" x14ac:dyDescent="0.55000000000000004">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16">
        <f t="shared" si="211"/>
        <v>144.43333333333334</v>
      </c>
      <c r="Q2265" t="str">
        <f t="shared" si="214"/>
        <v>games</v>
      </c>
      <c r="R2265" t="str">
        <f t="shared" si="215"/>
        <v>tabletop games</v>
      </c>
      <c r="S2265" s="4">
        <f t="shared" si="212"/>
        <v>42014.832326388889</v>
      </c>
      <c r="T2265" s="4">
        <f t="shared" si="213"/>
        <v>42035.832326388889</v>
      </c>
      <c r="U2265" s="5">
        <f>VLOOKUP(currency,Tables!$A$1:$C$14,3,FALSE)*pledged</f>
        <v>953.26</v>
      </c>
    </row>
    <row r="2266" spans="1:21" ht="43.2" x14ac:dyDescent="0.55000000000000004">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16">
        <f t="shared" si="211"/>
        <v>24.274157303370785</v>
      </c>
      <c r="Q2266" t="str">
        <f t="shared" si="214"/>
        <v>games</v>
      </c>
      <c r="R2266" t="str">
        <f t="shared" si="215"/>
        <v>tabletop games</v>
      </c>
      <c r="S2266" s="4">
        <f t="shared" si="212"/>
        <v>42496.582337962958</v>
      </c>
      <c r="T2266" s="4">
        <f t="shared" si="213"/>
        <v>42513.125</v>
      </c>
      <c r="U2266" s="5">
        <f>VLOOKUP(currency,Tables!$A$1:$C$14,3,FALSE)*pledged</f>
        <v>10802</v>
      </c>
    </row>
    <row r="2267" spans="1:21" ht="43.2" x14ac:dyDescent="0.55000000000000004">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16">
        <f t="shared" si="211"/>
        <v>35.117647058823529</v>
      </c>
      <c r="Q2267" t="str">
        <f t="shared" si="214"/>
        <v>games</v>
      </c>
      <c r="R2267" t="str">
        <f t="shared" si="215"/>
        <v>tabletop games</v>
      </c>
      <c r="S2267" s="4">
        <f t="shared" si="212"/>
        <v>42689.853090277778</v>
      </c>
      <c r="T2267" s="4">
        <f t="shared" si="213"/>
        <v>42696.853090277778</v>
      </c>
      <c r="U2267" s="5">
        <f>VLOOKUP(currency,Tables!$A$1:$C$14,3,FALSE)*pledged</f>
        <v>788.04000000000008</v>
      </c>
    </row>
    <row r="2268" spans="1:21" ht="43.2" x14ac:dyDescent="0.55000000000000004">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16">
        <f t="shared" si="211"/>
        <v>24.762886597938145</v>
      </c>
      <c r="Q2268" t="str">
        <f t="shared" si="214"/>
        <v>games</v>
      </c>
      <c r="R2268" t="str">
        <f t="shared" si="215"/>
        <v>tabletop games</v>
      </c>
      <c r="S2268" s="4">
        <f t="shared" si="212"/>
        <v>42469.874907407408</v>
      </c>
      <c r="T2268" s="4">
        <f t="shared" si="213"/>
        <v>42487.083333333328</v>
      </c>
      <c r="U2268" s="5">
        <f>VLOOKUP(currency,Tables!$A$1:$C$14,3,FALSE)*pledged</f>
        <v>4804</v>
      </c>
    </row>
    <row r="2269" spans="1:21" ht="43.2" x14ac:dyDescent="0.55000000000000004">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16">
        <f t="shared" si="211"/>
        <v>188.37871287128712</v>
      </c>
      <c r="Q2269" t="str">
        <f t="shared" si="214"/>
        <v>games</v>
      </c>
      <c r="R2269" t="str">
        <f t="shared" si="215"/>
        <v>tabletop games</v>
      </c>
      <c r="S2269" s="4">
        <f t="shared" si="212"/>
        <v>41968.829826388886</v>
      </c>
      <c r="T2269" s="4">
        <f t="shared" si="213"/>
        <v>41994.041666666672</v>
      </c>
      <c r="U2269" s="5">
        <f>VLOOKUP(currency,Tables!$A$1:$C$14,3,FALSE)*pledged</f>
        <v>76105</v>
      </c>
    </row>
    <row r="2270" spans="1:21" ht="43.2" x14ac:dyDescent="0.55000000000000004">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16">
        <f t="shared" si="211"/>
        <v>148.08247422680412</v>
      </c>
      <c r="Q2270" t="str">
        <f t="shared" si="214"/>
        <v>games</v>
      </c>
      <c r="R2270" t="str">
        <f t="shared" si="215"/>
        <v>tabletop games</v>
      </c>
      <c r="S2270" s="4">
        <f t="shared" si="212"/>
        <v>42776.082349537035</v>
      </c>
      <c r="T2270" s="4">
        <f t="shared" si="213"/>
        <v>42806.082349537035</v>
      </c>
      <c r="U2270" s="5">
        <f>VLOOKUP(currency,Tables!$A$1:$C$14,3,FALSE)*pledged</f>
        <v>28728</v>
      </c>
    </row>
    <row r="2271" spans="1:21" ht="43.2" x14ac:dyDescent="0.55000000000000004">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16">
        <f t="shared" si="211"/>
        <v>49.934589800443462</v>
      </c>
      <c r="Q2271" t="str">
        <f t="shared" si="214"/>
        <v>games</v>
      </c>
      <c r="R2271" t="str">
        <f t="shared" si="215"/>
        <v>tabletop games</v>
      </c>
      <c r="S2271" s="4">
        <f t="shared" si="212"/>
        <v>42776.704432870371</v>
      </c>
      <c r="T2271" s="4">
        <f t="shared" si="213"/>
        <v>42801.208333333328</v>
      </c>
      <c r="U2271" s="5">
        <f>VLOOKUP(currency,Tables!$A$1:$C$14,3,FALSE)*pledged</f>
        <v>45041</v>
      </c>
    </row>
    <row r="2272" spans="1:21" ht="43.2" x14ac:dyDescent="0.55000000000000004">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16">
        <f t="shared" si="211"/>
        <v>107.82155688622754</v>
      </c>
      <c r="Q2272" t="str">
        <f t="shared" si="214"/>
        <v>games</v>
      </c>
      <c r="R2272" t="str">
        <f t="shared" si="215"/>
        <v>tabletop games</v>
      </c>
      <c r="S2272" s="4">
        <f t="shared" si="212"/>
        <v>42725.869363425925</v>
      </c>
      <c r="T2272" s="4">
        <f t="shared" si="213"/>
        <v>42745.915972222225</v>
      </c>
      <c r="U2272" s="5">
        <f>VLOOKUP(currency,Tables!$A$1:$C$14,3,FALSE)*pledged</f>
        <v>180062</v>
      </c>
    </row>
    <row r="2273" spans="1:21" ht="43.2" x14ac:dyDescent="0.55000000000000004">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16">
        <f t="shared" si="211"/>
        <v>42.63403614457831</v>
      </c>
      <c r="Q2273" t="str">
        <f t="shared" si="214"/>
        <v>games</v>
      </c>
      <c r="R2273" t="str">
        <f t="shared" si="215"/>
        <v>tabletop games</v>
      </c>
      <c r="S2273" s="4">
        <f t="shared" si="212"/>
        <v>42684.000046296293</v>
      </c>
      <c r="T2273" s="4">
        <f t="shared" si="213"/>
        <v>42714.000046296293</v>
      </c>
      <c r="U2273" s="5">
        <f>VLOOKUP(currency,Tables!$A$1:$C$14,3,FALSE)*pledged</f>
        <v>56618</v>
      </c>
    </row>
    <row r="2274" spans="1:21" ht="43.2" x14ac:dyDescent="0.55000000000000004">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16">
        <f t="shared" si="211"/>
        <v>14.370762711864407</v>
      </c>
      <c r="Q2274" t="str">
        <f t="shared" si="214"/>
        <v>games</v>
      </c>
      <c r="R2274" t="str">
        <f t="shared" si="215"/>
        <v>tabletop games</v>
      </c>
      <c r="S2274" s="4">
        <f t="shared" si="212"/>
        <v>42315.699490740735</v>
      </c>
      <c r="T2274" s="4">
        <f t="shared" si="213"/>
        <v>42345.699490740735</v>
      </c>
      <c r="U2274" s="5">
        <f>VLOOKUP(currency,Tables!$A$1:$C$14,3,FALSE)*pledged</f>
        <v>13566</v>
      </c>
    </row>
    <row r="2275" spans="1:21" ht="43.2" x14ac:dyDescent="0.55000000000000004">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16">
        <f t="shared" si="211"/>
        <v>37.476190476190474</v>
      </c>
      <c r="Q2275" t="str">
        <f t="shared" si="214"/>
        <v>games</v>
      </c>
      <c r="R2275" t="str">
        <f t="shared" si="215"/>
        <v>tabletop games</v>
      </c>
      <c r="S2275" s="4">
        <f t="shared" si="212"/>
        <v>42781.549097222218</v>
      </c>
      <c r="T2275" s="4">
        <f t="shared" si="213"/>
        <v>42806.507430555561</v>
      </c>
      <c r="U2275" s="5">
        <f>VLOOKUP(currency,Tables!$A$1:$C$14,3,FALSE)*pledged</f>
        <v>4186.84</v>
      </c>
    </row>
    <row r="2276" spans="1:21" ht="57.6" x14ac:dyDescent="0.55000000000000004">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16">
        <f t="shared" si="211"/>
        <v>30.202020202020201</v>
      </c>
      <c r="Q2276" t="str">
        <f t="shared" si="214"/>
        <v>games</v>
      </c>
      <c r="R2276" t="str">
        <f t="shared" si="215"/>
        <v>tabletop games</v>
      </c>
      <c r="S2276" s="4">
        <f t="shared" si="212"/>
        <v>41663.500659722224</v>
      </c>
      <c r="T2276" s="4">
        <f t="shared" si="213"/>
        <v>41693.500659722224</v>
      </c>
      <c r="U2276" s="5">
        <f>VLOOKUP(currency,Tables!$A$1:$C$14,3,FALSE)*pledged</f>
        <v>2990</v>
      </c>
    </row>
    <row r="2277" spans="1:21" ht="43.2" x14ac:dyDescent="0.55000000000000004">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16">
        <f t="shared" si="211"/>
        <v>33.550632911392405</v>
      </c>
      <c r="Q2277" t="str">
        <f t="shared" si="214"/>
        <v>games</v>
      </c>
      <c r="R2277" t="str">
        <f t="shared" si="215"/>
        <v>tabletop games</v>
      </c>
      <c r="S2277" s="4">
        <f t="shared" si="212"/>
        <v>41965.616655092599</v>
      </c>
      <c r="T2277" s="4">
        <f t="shared" si="213"/>
        <v>41995.616655092599</v>
      </c>
      <c r="U2277" s="5">
        <f>VLOOKUP(currency,Tables!$A$1:$C$14,3,FALSE)*pledged</f>
        <v>3498.6600000000003</v>
      </c>
    </row>
    <row r="2278" spans="1:21" ht="43.2" x14ac:dyDescent="0.55000000000000004">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16">
        <f t="shared" si="211"/>
        <v>64.74666666666667</v>
      </c>
      <c r="Q2278" t="str">
        <f t="shared" si="214"/>
        <v>games</v>
      </c>
      <c r="R2278" t="str">
        <f t="shared" si="215"/>
        <v>tabletop games</v>
      </c>
      <c r="S2278" s="4">
        <f t="shared" si="212"/>
        <v>41614.651493055557</v>
      </c>
      <c r="T2278" s="4">
        <f t="shared" si="213"/>
        <v>41644.651493055557</v>
      </c>
      <c r="U2278" s="5">
        <f>VLOOKUP(currency,Tables!$A$1:$C$14,3,FALSE)*pledged</f>
        <v>4856</v>
      </c>
    </row>
    <row r="2279" spans="1:21" ht="43.2" x14ac:dyDescent="0.55000000000000004">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16">
        <f t="shared" si="211"/>
        <v>57.932367149758456</v>
      </c>
      <c r="Q2279" t="str">
        <f t="shared" si="214"/>
        <v>games</v>
      </c>
      <c r="R2279" t="str">
        <f t="shared" si="215"/>
        <v>tabletop games</v>
      </c>
      <c r="S2279" s="4">
        <f t="shared" si="212"/>
        <v>40936.678506944445</v>
      </c>
      <c r="T2279" s="4">
        <f t="shared" si="213"/>
        <v>40966.678506944445</v>
      </c>
      <c r="U2279" s="5">
        <f>VLOOKUP(currency,Tables!$A$1:$C$14,3,FALSE)*pledged</f>
        <v>11992</v>
      </c>
    </row>
    <row r="2280" spans="1:21" ht="28.8" x14ac:dyDescent="0.55000000000000004">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16">
        <f t="shared" si="211"/>
        <v>53.078431372549019</v>
      </c>
      <c r="Q2280" t="str">
        <f t="shared" si="214"/>
        <v>games</v>
      </c>
      <c r="R2280" t="str">
        <f t="shared" si="215"/>
        <v>tabletop games</v>
      </c>
      <c r="S2280" s="4">
        <f t="shared" si="212"/>
        <v>42338.709108796291</v>
      </c>
      <c r="T2280" s="4">
        <f t="shared" si="213"/>
        <v>42372.957638888889</v>
      </c>
      <c r="U2280" s="5">
        <f>VLOOKUP(currency,Tables!$A$1:$C$14,3,FALSE)*pledged</f>
        <v>6388.5199999999995</v>
      </c>
    </row>
    <row r="2281" spans="1:21" ht="43.2" x14ac:dyDescent="0.55000000000000004">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16">
        <f t="shared" si="211"/>
        <v>48.0625</v>
      </c>
      <c r="Q2281" t="str">
        <f t="shared" si="214"/>
        <v>games</v>
      </c>
      <c r="R2281" t="str">
        <f t="shared" si="215"/>
        <v>tabletop games</v>
      </c>
      <c r="S2281" s="4">
        <f t="shared" si="212"/>
        <v>42020.806701388887</v>
      </c>
      <c r="T2281" s="4">
        <f t="shared" si="213"/>
        <v>42039.166666666672</v>
      </c>
      <c r="U2281" s="5">
        <f>VLOOKUP(currency,Tables!$A$1:$C$14,3,FALSE)*pledged</f>
        <v>1538</v>
      </c>
    </row>
    <row r="2282" spans="1:21" ht="57.6" x14ac:dyDescent="0.55000000000000004">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16">
        <f t="shared" si="211"/>
        <v>82.396874999999994</v>
      </c>
      <c r="Q2282" t="str">
        <f t="shared" si="214"/>
        <v>games</v>
      </c>
      <c r="R2282" t="str">
        <f t="shared" si="215"/>
        <v>tabletop games</v>
      </c>
      <c r="S2282" s="4">
        <f t="shared" si="212"/>
        <v>42234.624895833331</v>
      </c>
      <c r="T2282" s="4">
        <f t="shared" si="213"/>
        <v>42264.624895833331</v>
      </c>
      <c r="U2282" s="5">
        <f>VLOOKUP(currency,Tables!$A$1:$C$14,3,FALSE)*pledged</f>
        <v>39550.5</v>
      </c>
    </row>
    <row r="2283" spans="1:21" ht="43.2" x14ac:dyDescent="0.55000000000000004">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210"/>
        <v>1.85</v>
      </c>
      <c r="P2283" s="16">
        <f t="shared" si="211"/>
        <v>50.454545454545453</v>
      </c>
      <c r="Q2283" t="str">
        <f t="shared" si="214"/>
        <v>music</v>
      </c>
      <c r="R2283" t="str">
        <f t="shared" si="215"/>
        <v>rock</v>
      </c>
      <c r="S2283" s="4">
        <f t="shared" si="212"/>
        <v>40687.285844907405</v>
      </c>
      <c r="T2283" s="4">
        <f t="shared" si="213"/>
        <v>40749.284722222219</v>
      </c>
      <c r="U2283" s="5">
        <f>VLOOKUP(currency,Tables!$A$1:$C$14,3,FALSE)*pledged</f>
        <v>555</v>
      </c>
    </row>
    <row r="2284" spans="1:21" ht="28.8" x14ac:dyDescent="0.55000000000000004">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16">
        <f t="shared" si="211"/>
        <v>115.83333333333333</v>
      </c>
      <c r="Q2284" t="str">
        <f t="shared" si="214"/>
        <v>music</v>
      </c>
      <c r="R2284" t="str">
        <f t="shared" si="215"/>
        <v>rock</v>
      </c>
      <c r="S2284" s="4">
        <f t="shared" si="212"/>
        <v>42323.17460648148</v>
      </c>
      <c r="T2284" s="4">
        <f t="shared" si="213"/>
        <v>42383.17460648148</v>
      </c>
      <c r="U2284" s="5">
        <f>VLOOKUP(currency,Tables!$A$1:$C$14,3,FALSE)*pledged</f>
        <v>1390</v>
      </c>
    </row>
    <row r="2285" spans="1:21" ht="43.2" x14ac:dyDescent="0.55000000000000004">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16">
        <f t="shared" si="211"/>
        <v>63.03458333333333</v>
      </c>
      <c r="Q2285" t="str">
        <f t="shared" si="214"/>
        <v>music</v>
      </c>
      <c r="R2285" t="str">
        <f t="shared" si="215"/>
        <v>rock</v>
      </c>
      <c r="S2285" s="4">
        <f t="shared" si="212"/>
        <v>40978.125046296293</v>
      </c>
      <c r="T2285" s="4">
        <f t="shared" si="213"/>
        <v>41038.083379629628</v>
      </c>
      <c r="U2285" s="5">
        <f>VLOOKUP(currency,Tables!$A$1:$C$14,3,FALSE)*pledged</f>
        <v>3025.66</v>
      </c>
    </row>
    <row r="2286" spans="1:21" ht="28.8" x14ac:dyDescent="0.55000000000000004">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16">
        <f t="shared" si="211"/>
        <v>108.02152542372882</v>
      </c>
      <c r="Q2286" t="str">
        <f t="shared" si="214"/>
        <v>music</v>
      </c>
      <c r="R2286" t="str">
        <f t="shared" si="215"/>
        <v>rock</v>
      </c>
      <c r="S2286" s="4">
        <f t="shared" si="212"/>
        <v>40585.796817129631</v>
      </c>
      <c r="T2286" s="4">
        <f t="shared" si="213"/>
        <v>40614.166666666664</v>
      </c>
      <c r="U2286" s="5">
        <f>VLOOKUP(currency,Tables!$A$1:$C$14,3,FALSE)*pledged</f>
        <v>6373.27</v>
      </c>
    </row>
    <row r="2287" spans="1:21" ht="43.2" x14ac:dyDescent="0.55000000000000004">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16">
        <f t="shared" si="211"/>
        <v>46.088607594936711</v>
      </c>
      <c r="Q2287" t="str">
        <f t="shared" si="214"/>
        <v>music</v>
      </c>
      <c r="R2287" t="str">
        <f t="shared" si="215"/>
        <v>rock</v>
      </c>
      <c r="S2287" s="4">
        <f t="shared" si="212"/>
        <v>41059.185682870368</v>
      </c>
      <c r="T2287" s="4">
        <f t="shared" si="213"/>
        <v>41089.185682870368</v>
      </c>
      <c r="U2287" s="5">
        <f>VLOOKUP(currency,Tables!$A$1:$C$14,3,FALSE)*pledged</f>
        <v>3641</v>
      </c>
    </row>
    <row r="2288" spans="1:21" ht="43.2" x14ac:dyDescent="0.55000000000000004">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16">
        <f t="shared" si="211"/>
        <v>107.21428571428571</v>
      </c>
      <c r="Q2288" t="str">
        <f t="shared" si="214"/>
        <v>music</v>
      </c>
      <c r="R2288" t="str">
        <f t="shared" si="215"/>
        <v>rock</v>
      </c>
      <c r="S2288" s="4">
        <f t="shared" si="212"/>
        <v>41494.963587962964</v>
      </c>
      <c r="T2288" s="4">
        <f t="shared" si="213"/>
        <v>41523.165972222225</v>
      </c>
      <c r="U2288" s="5">
        <f>VLOOKUP(currency,Tables!$A$1:$C$14,3,FALSE)*pledged</f>
        <v>1501</v>
      </c>
    </row>
    <row r="2289" spans="1:21" ht="43.2" x14ac:dyDescent="0.55000000000000004">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16">
        <f t="shared" si="211"/>
        <v>50.9338679245283</v>
      </c>
      <c r="Q2289" t="str">
        <f t="shared" si="214"/>
        <v>music</v>
      </c>
      <c r="R2289" t="str">
        <f t="shared" si="215"/>
        <v>rock</v>
      </c>
      <c r="S2289" s="4">
        <f t="shared" si="212"/>
        <v>41792.667361111111</v>
      </c>
      <c r="T2289" s="4">
        <f t="shared" si="213"/>
        <v>41813.667361111111</v>
      </c>
      <c r="U2289" s="5">
        <f>VLOOKUP(currency,Tables!$A$1:$C$14,3,FALSE)*pledged</f>
        <v>5398.99</v>
      </c>
    </row>
    <row r="2290" spans="1:21" ht="43.2" x14ac:dyDescent="0.55000000000000004">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16">
        <f t="shared" si="211"/>
        <v>40.04</v>
      </c>
      <c r="Q2290" t="str">
        <f t="shared" si="214"/>
        <v>music</v>
      </c>
      <c r="R2290" t="str">
        <f t="shared" si="215"/>
        <v>rock</v>
      </c>
      <c r="S2290" s="4">
        <f t="shared" si="212"/>
        <v>41067.827418981484</v>
      </c>
      <c r="T2290" s="4">
        <f t="shared" si="213"/>
        <v>41086.75</v>
      </c>
      <c r="U2290" s="5">
        <f>VLOOKUP(currency,Tables!$A$1:$C$14,3,FALSE)*pledged</f>
        <v>1001</v>
      </c>
    </row>
    <row r="2291" spans="1:21" ht="43.2" x14ac:dyDescent="0.55000000000000004">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16">
        <f t="shared" si="211"/>
        <v>64.44</v>
      </c>
      <c r="Q2291" t="str">
        <f t="shared" si="214"/>
        <v>music</v>
      </c>
      <c r="R2291" t="str">
        <f t="shared" si="215"/>
        <v>rock</v>
      </c>
      <c r="S2291" s="4">
        <f t="shared" si="212"/>
        <v>41571.998379629629</v>
      </c>
      <c r="T2291" s="4">
        <f t="shared" si="213"/>
        <v>41614.973611111112</v>
      </c>
      <c r="U2291" s="5">
        <f>VLOOKUP(currency,Tables!$A$1:$C$14,3,FALSE)*pledged</f>
        <v>1611</v>
      </c>
    </row>
    <row r="2292" spans="1:21" ht="43.2" x14ac:dyDescent="0.55000000000000004">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16">
        <f t="shared" si="211"/>
        <v>53.827586206896555</v>
      </c>
      <c r="Q2292" t="str">
        <f t="shared" si="214"/>
        <v>music</v>
      </c>
      <c r="R2292" t="str">
        <f t="shared" si="215"/>
        <v>rock</v>
      </c>
      <c r="S2292" s="4">
        <f t="shared" si="212"/>
        <v>40070.253819444442</v>
      </c>
      <c r="T2292" s="4">
        <f t="shared" si="213"/>
        <v>40148.708333333336</v>
      </c>
      <c r="U2292" s="5">
        <f>VLOOKUP(currency,Tables!$A$1:$C$14,3,FALSE)*pledged</f>
        <v>1561</v>
      </c>
    </row>
    <row r="2293" spans="1:21" ht="43.2" x14ac:dyDescent="0.55000000000000004">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16">
        <f t="shared" si="211"/>
        <v>100.46511627906976</v>
      </c>
      <c r="Q2293" t="str">
        <f t="shared" si="214"/>
        <v>music</v>
      </c>
      <c r="R2293" t="str">
        <f t="shared" si="215"/>
        <v>rock</v>
      </c>
      <c r="S2293" s="4">
        <f t="shared" si="212"/>
        <v>40987.977060185185</v>
      </c>
      <c r="T2293" s="4">
        <f t="shared" si="213"/>
        <v>41022.166666666664</v>
      </c>
      <c r="U2293" s="5">
        <f>VLOOKUP(currency,Tables!$A$1:$C$14,3,FALSE)*pledged</f>
        <v>4320</v>
      </c>
    </row>
    <row r="2294" spans="1:21" ht="43.2" x14ac:dyDescent="0.55000000000000004">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16">
        <f t="shared" si="211"/>
        <v>46.630652173913049</v>
      </c>
      <c r="Q2294" t="str">
        <f t="shared" si="214"/>
        <v>music</v>
      </c>
      <c r="R2294" t="str">
        <f t="shared" si="215"/>
        <v>rock</v>
      </c>
      <c r="S2294" s="4">
        <f t="shared" si="212"/>
        <v>40987.697638888887</v>
      </c>
      <c r="T2294" s="4">
        <f t="shared" si="213"/>
        <v>41017.697638888887</v>
      </c>
      <c r="U2294" s="5">
        <f>VLOOKUP(currency,Tables!$A$1:$C$14,3,FALSE)*pledged</f>
        <v>2145.0100000000002</v>
      </c>
    </row>
    <row r="2295" spans="1:21" ht="28.8" x14ac:dyDescent="0.55000000000000004">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16">
        <f t="shared" si="211"/>
        <v>34.074074074074076</v>
      </c>
      <c r="Q2295" t="str">
        <f t="shared" si="214"/>
        <v>music</v>
      </c>
      <c r="R2295" t="str">
        <f t="shared" si="215"/>
        <v>rock</v>
      </c>
      <c r="S2295" s="4">
        <f t="shared" si="212"/>
        <v>41151.708321759259</v>
      </c>
      <c r="T2295" s="4">
        <f t="shared" si="213"/>
        <v>41177.165972222225</v>
      </c>
      <c r="U2295" s="5">
        <f>VLOOKUP(currency,Tables!$A$1:$C$14,3,FALSE)*pledged</f>
        <v>920</v>
      </c>
    </row>
    <row r="2296" spans="1:21" ht="43.2" x14ac:dyDescent="0.55000000000000004">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16">
        <f t="shared" si="211"/>
        <v>65.214642857142863</v>
      </c>
      <c r="Q2296" t="str">
        <f t="shared" si="214"/>
        <v>music</v>
      </c>
      <c r="R2296" t="str">
        <f t="shared" si="215"/>
        <v>rock</v>
      </c>
      <c r="S2296" s="4">
        <f t="shared" si="212"/>
        <v>41264.72314814815</v>
      </c>
      <c r="T2296" s="4">
        <f t="shared" si="213"/>
        <v>41294.72314814815</v>
      </c>
      <c r="U2296" s="5">
        <f>VLOOKUP(currency,Tables!$A$1:$C$14,3,FALSE)*pledged</f>
        <v>7304.04</v>
      </c>
    </row>
    <row r="2297" spans="1:21" ht="43.2" x14ac:dyDescent="0.55000000000000004">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16">
        <f t="shared" si="211"/>
        <v>44.205882352941174</v>
      </c>
      <c r="Q2297" t="str">
        <f t="shared" si="214"/>
        <v>music</v>
      </c>
      <c r="R2297" t="str">
        <f t="shared" si="215"/>
        <v>rock</v>
      </c>
      <c r="S2297" s="4">
        <f t="shared" si="212"/>
        <v>41270.954351851848</v>
      </c>
      <c r="T2297" s="4">
        <f t="shared" si="213"/>
        <v>41300.954351851848</v>
      </c>
      <c r="U2297" s="5">
        <f>VLOOKUP(currency,Tables!$A$1:$C$14,3,FALSE)*pledged</f>
        <v>1503</v>
      </c>
    </row>
    <row r="2298" spans="1:21" ht="43.2" x14ac:dyDescent="0.55000000000000004">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16">
        <f t="shared" si="211"/>
        <v>71.965517241379317</v>
      </c>
      <c r="Q2298" t="str">
        <f t="shared" si="214"/>
        <v>music</v>
      </c>
      <c r="R2298" t="str">
        <f t="shared" si="215"/>
        <v>rock</v>
      </c>
      <c r="S2298" s="4">
        <f t="shared" si="212"/>
        <v>40927.731782407405</v>
      </c>
      <c r="T2298" s="4">
        <f t="shared" si="213"/>
        <v>40962.731782407405</v>
      </c>
      <c r="U2298" s="5">
        <f>VLOOKUP(currency,Tables!$A$1:$C$14,3,FALSE)*pledged</f>
        <v>10435</v>
      </c>
    </row>
    <row r="2299" spans="1:21" ht="28.8" x14ac:dyDescent="0.55000000000000004">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16">
        <f t="shared" si="211"/>
        <v>52.94736842105263</v>
      </c>
      <c r="Q2299" t="str">
        <f t="shared" si="214"/>
        <v>music</v>
      </c>
      <c r="R2299" t="str">
        <f t="shared" si="215"/>
        <v>rock</v>
      </c>
      <c r="S2299" s="4">
        <f t="shared" si="212"/>
        <v>40948.042233796295</v>
      </c>
      <c r="T2299" s="4">
        <f t="shared" si="213"/>
        <v>40982.165972222225</v>
      </c>
      <c r="U2299" s="5">
        <f>VLOOKUP(currency,Tables!$A$1:$C$14,3,FALSE)*pledged</f>
        <v>1006</v>
      </c>
    </row>
    <row r="2300" spans="1:21" ht="43.2" x14ac:dyDescent="0.55000000000000004">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16">
        <f t="shared" si="211"/>
        <v>109.45138888888889</v>
      </c>
      <c r="Q2300" t="str">
        <f t="shared" si="214"/>
        <v>music</v>
      </c>
      <c r="R2300" t="str">
        <f t="shared" si="215"/>
        <v>rock</v>
      </c>
      <c r="S2300" s="4">
        <f t="shared" si="212"/>
        <v>41694.84065972222</v>
      </c>
      <c r="T2300" s="4">
        <f t="shared" si="213"/>
        <v>41724.798993055556</v>
      </c>
      <c r="U2300" s="5">
        <f>VLOOKUP(currency,Tables!$A$1:$C$14,3,FALSE)*pledged</f>
        <v>31522</v>
      </c>
    </row>
    <row r="2301" spans="1:21" ht="43.2" x14ac:dyDescent="0.55000000000000004">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16">
        <f t="shared" si="211"/>
        <v>75.035714285714292</v>
      </c>
      <c r="Q2301" t="str">
        <f t="shared" si="214"/>
        <v>music</v>
      </c>
      <c r="R2301" t="str">
        <f t="shared" si="215"/>
        <v>rock</v>
      </c>
      <c r="S2301" s="4">
        <f t="shared" si="212"/>
        <v>40565.032511574071</v>
      </c>
      <c r="T2301" s="4">
        <f t="shared" si="213"/>
        <v>40580.032511574071</v>
      </c>
      <c r="U2301" s="5">
        <f>VLOOKUP(currency,Tables!$A$1:$C$14,3,FALSE)*pledged</f>
        <v>1050.5</v>
      </c>
    </row>
    <row r="2302" spans="1:21" ht="43.2" x14ac:dyDescent="0.55000000000000004">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210"/>
        <v>1.0125</v>
      </c>
      <c r="P2302" s="16">
        <f t="shared" si="211"/>
        <v>115.71428571428571</v>
      </c>
      <c r="Q2302" t="str">
        <f t="shared" si="214"/>
        <v>music</v>
      </c>
      <c r="R2302" t="str">
        <f t="shared" si="215"/>
        <v>rock</v>
      </c>
      <c r="S2302" s="4">
        <f t="shared" si="212"/>
        <v>41074.727037037039</v>
      </c>
      <c r="T2302" s="4">
        <f t="shared" si="213"/>
        <v>41088.727037037039</v>
      </c>
      <c r="U2302" s="5">
        <f>VLOOKUP(currency,Tables!$A$1:$C$14,3,FALSE)*pledged</f>
        <v>810</v>
      </c>
    </row>
    <row r="2303" spans="1:21" ht="28.8" x14ac:dyDescent="0.55000000000000004">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16">
        <f t="shared" si="211"/>
        <v>31.659810426540286</v>
      </c>
      <c r="Q2303" t="str">
        <f t="shared" si="214"/>
        <v>music</v>
      </c>
      <c r="R2303" t="str">
        <f t="shared" si="215"/>
        <v>indie rock</v>
      </c>
      <c r="S2303" s="4">
        <f t="shared" si="212"/>
        <v>41416.146944444445</v>
      </c>
      <c r="T2303" s="4">
        <f t="shared" si="213"/>
        <v>41446.146944444445</v>
      </c>
      <c r="U2303" s="5">
        <f>VLOOKUP(currency,Tables!$A$1:$C$14,3,FALSE)*pledged</f>
        <v>6680.22</v>
      </c>
    </row>
    <row r="2304" spans="1:21" ht="43.2" x14ac:dyDescent="0.55000000000000004">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16">
        <f t="shared" si="211"/>
        <v>46.176470588235297</v>
      </c>
      <c r="Q2304" t="str">
        <f t="shared" si="214"/>
        <v>music</v>
      </c>
      <c r="R2304" t="str">
        <f t="shared" si="215"/>
        <v>indie rock</v>
      </c>
      <c r="S2304" s="4">
        <f t="shared" si="212"/>
        <v>41605.868449074071</v>
      </c>
      <c r="T2304" s="4">
        <f t="shared" si="213"/>
        <v>41639.291666666664</v>
      </c>
      <c r="U2304" s="5">
        <f>VLOOKUP(currency,Tables!$A$1:$C$14,3,FALSE)*pledged</f>
        <v>3925</v>
      </c>
    </row>
    <row r="2305" spans="1:21" ht="43.2" x14ac:dyDescent="0.55000000000000004">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16">
        <f t="shared" si="211"/>
        <v>68.481650485436887</v>
      </c>
      <c r="Q2305" t="str">
        <f t="shared" si="214"/>
        <v>music</v>
      </c>
      <c r="R2305" t="str">
        <f t="shared" si="215"/>
        <v>indie rock</v>
      </c>
      <c r="S2305" s="4">
        <f t="shared" si="212"/>
        <v>40850.111064814817</v>
      </c>
      <c r="T2305" s="4">
        <f t="shared" si="213"/>
        <v>40890.152731481481</v>
      </c>
      <c r="U2305" s="5">
        <f>VLOOKUP(currency,Tables!$A$1:$C$14,3,FALSE)*pledged</f>
        <v>7053.61</v>
      </c>
    </row>
    <row r="2306" spans="1:21" ht="43.2" x14ac:dyDescent="0.55000000000000004">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ref="O2306:O2369" si="216">pledged/goal</f>
        <v>1.0070033333333335</v>
      </c>
      <c r="P2306" s="16">
        <f t="shared" ref="P2306:P2369" si="217">IF(pledged=0,0,pledged/backers_count)</f>
        <v>53.469203539823013</v>
      </c>
      <c r="Q2306" t="str">
        <f t="shared" si="214"/>
        <v>music</v>
      </c>
      <c r="R2306" t="str">
        <f t="shared" si="215"/>
        <v>indie rock</v>
      </c>
      <c r="S2306" s="4">
        <f t="shared" ref="S2306:S2369" si="218">(((Unix_launched_date/60)/60)/24)+DATE(1970,1,1)</f>
        <v>40502.815868055557</v>
      </c>
      <c r="T2306" s="4">
        <f t="shared" ref="T2306:T2369" si="219">(((Unix_deadline/60)/60)/24)+DATE(1970,1,1)</f>
        <v>40544.207638888889</v>
      </c>
      <c r="U2306" s="5">
        <f>VLOOKUP(currency,Tables!$A$1:$C$14,3,FALSE)*pledged</f>
        <v>6042.02</v>
      </c>
    </row>
    <row r="2307" spans="1:21" ht="43.2" x14ac:dyDescent="0.55000000000000004">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si="216"/>
        <v>1.0122777777777778</v>
      </c>
      <c r="P2307" s="16">
        <f t="shared" si="217"/>
        <v>109.10778443113773</v>
      </c>
      <c r="Q2307" t="str">
        <f t="shared" ref="Q2307:Q2370" si="220">LEFT(N2307,FIND("/",N2307,1)-1)</f>
        <v>music</v>
      </c>
      <c r="R2307" t="str">
        <f t="shared" ref="R2307:R2370" si="221">RIGHT(N2307,(LEN(N2307)-FIND("/",N2307,1)))</f>
        <v>indie rock</v>
      </c>
      <c r="S2307" s="4">
        <f t="shared" si="218"/>
        <v>41834.695277777777</v>
      </c>
      <c r="T2307" s="4">
        <f t="shared" si="219"/>
        <v>41859.75</v>
      </c>
      <c r="U2307" s="5">
        <f>VLOOKUP(currency,Tables!$A$1:$C$14,3,FALSE)*pledged</f>
        <v>18221</v>
      </c>
    </row>
    <row r="2308" spans="1:21" ht="43.2" x14ac:dyDescent="0.55000000000000004">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16">
        <f t="shared" si="217"/>
        <v>51.185616438356163</v>
      </c>
      <c r="Q2308" t="str">
        <f t="shared" si="220"/>
        <v>music</v>
      </c>
      <c r="R2308" t="str">
        <f t="shared" si="221"/>
        <v>indie rock</v>
      </c>
      <c r="S2308" s="4">
        <f t="shared" si="218"/>
        <v>40948.16815972222</v>
      </c>
      <c r="T2308" s="4">
        <f t="shared" si="219"/>
        <v>40978.16815972222</v>
      </c>
      <c r="U2308" s="5">
        <f>VLOOKUP(currency,Tables!$A$1:$C$14,3,FALSE)*pledged</f>
        <v>3736.55</v>
      </c>
    </row>
    <row r="2309" spans="1:21" ht="43.2" x14ac:dyDescent="0.55000000000000004">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16">
        <f t="shared" si="217"/>
        <v>27.936800000000002</v>
      </c>
      <c r="Q2309" t="str">
        <f t="shared" si="220"/>
        <v>music</v>
      </c>
      <c r="R2309" t="str">
        <f t="shared" si="221"/>
        <v>indie rock</v>
      </c>
      <c r="S2309" s="4">
        <f t="shared" si="218"/>
        <v>41004.802465277775</v>
      </c>
      <c r="T2309" s="4">
        <f t="shared" si="219"/>
        <v>41034.802407407406</v>
      </c>
      <c r="U2309" s="5">
        <f>VLOOKUP(currency,Tables!$A$1:$C$14,3,FALSE)*pledged</f>
        <v>2095.2600000000002</v>
      </c>
    </row>
    <row r="2310" spans="1:21" ht="43.2" x14ac:dyDescent="0.55000000000000004">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16">
        <f t="shared" si="217"/>
        <v>82.496921824104234</v>
      </c>
      <c r="Q2310" t="str">
        <f t="shared" si="220"/>
        <v>music</v>
      </c>
      <c r="R2310" t="str">
        <f t="shared" si="221"/>
        <v>indie rock</v>
      </c>
      <c r="S2310" s="4">
        <f t="shared" si="218"/>
        <v>41851.962916666671</v>
      </c>
      <c r="T2310" s="4">
        <f t="shared" si="219"/>
        <v>41880.041666666664</v>
      </c>
      <c r="U2310" s="5">
        <f>VLOOKUP(currency,Tables!$A$1:$C$14,3,FALSE)*pledged</f>
        <v>50653.11</v>
      </c>
    </row>
    <row r="2311" spans="1:21" ht="43.2" x14ac:dyDescent="0.55000000000000004">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16">
        <f t="shared" si="217"/>
        <v>59.817476635514019</v>
      </c>
      <c r="Q2311" t="str">
        <f t="shared" si="220"/>
        <v>music</v>
      </c>
      <c r="R2311" t="str">
        <f t="shared" si="221"/>
        <v>indie rock</v>
      </c>
      <c r="S2311" s="4">
        <f t="shared" si="218"/>
        <v>41307.987696759257</v>
      </c>
      <c r="T2311" s="4">
        <f t="shared" si="219"/>
        <v>41342.987696759257</v>
      </c>
      <c r="U2311" s="5">
        <f>VLOOKUP(currency,Tables!$A$1:$C$14,3,FALSE)*pledged</f>
        <v>6400.47</v>
      </c>
    </row>
    <row r="2312" spans="1:21" ht="43.2" x14ac:dyDescent="0.55000000000000004">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16">
        <f t="shared" si="217"/>
        <v>64.816470588235291</v>
      </c>
      <c r="Q2312" t="str">
        <f t="shared" si="220"/>
        <v>music</v>
      </c>
      <c r="R2312" t="str">
        <f t="shared" si="221"/>
        <v>indie rock</v>
      </c>
      <c r="S2312" s="4">
        <f t="shared" si="218"/>
        <v>41324.79415509259</v>
      </c>
      <c r="T2312" s="4">
        <f t="shared" si="219"/>
        <v>41354.752488425926</v>
      </c>
      <c r="U2312" s="5">
        <f>VLOOKUP(currency,Tables!$A$1:$C$14,3,FALSE)*pledged</f>
        <v>79335.360000000001</v>
      </c>
    </row>
    <row r="2313" spans="1:21" ht="43.2" x14ac:dyDescent="0.55000000000000004">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16">
        <f t="shared" si="217"/>
        <v>90.09615384615384</v>
      </c>
      <c r="Q2313" t="str">
        <f t="shared" si="220"/>
        <v>music</v>
      </c>
      <c r="R2313" t="str">
        <f t="shared" si="221"/>
        <v>indie rock</v>
      </c>
      <c r="S2313" s="4">
        <f t="shared" si="218"/>
        <v>41736.004502314812</v>
      </c>
      <c r="T2313" s="4">
        <f t="shared" si="219"/>
        <v>41766.004502314812</v>
      </c>
      <c r="U2313" s="5">
        <f>VLOOKUP(currency,Tables!$A$1:$C$14,3,FALSE)*pledged</f>
        <v>9370</v>
      </c>
    </row>
    <row r="2314" spans="1:21" ht="43.2" x14ac:dyDescent="0.55000000000000004">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16">
        <f t="shared" si="217"/>
        <v>40.962025316455694</v>
      </c>
      <c r="Q2314" t="str">
        <f t="shared" si="220"/>
        <v>music</v>
      </c>
      <c r="R2314" t="str">
        <f t="shared" si="221"/>
        <v>indie rock</v>
      </c>
      <c r="S2314" s="4">
        <f t="shared" si="218"/>
        <v>41716.632847222223</v>
      </c>
      <c r="T2314" s="4">
        <f t="shared" si="219"/>
        <v>41747.958333333336</v>
      </c>
      <c r="U2314" s="5">
        <f>VLOOKUP(currency,Tables!$A$1:$C$14,3,FALSE)*pledged</f>
        <v>3236</v>
      </c>
    </row>
    <row r="2315" spans="1:21" ht="28.8" x14ac:dyDescent="0.55000000000000004">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16">
        <f t="shared" si="217"/>
        <v>56.000127388535034</v>
      </c>
      <c r="Q2315" t="str">
        <f t="shared" si="220"/>
        <v>music</v>
      </c>
      <c r="R2315" t="str">
        <f t="shared" si="221"/>
        <v>indie rock</v>
      </c>
      <c r="S2315" s="4">
        <f t="shared" si="218"/>
        <v>41002.958634259259</v>
      </c>
      <c r="T2315" s="4">
        <f t="shared" si="219"/>
        <v>41032.958634259259</v>
      </c>
      <c r="U2315" s="5">
        <f>VLOOKUP(currency,Tables!$A$1:$C$14,3,FALSE)*pledged</f>
        <v>8792.02</v>
      </c>
    </row>
    <row r="2316" spans="1:21" ht="43.2" x14ac:dyDescent="0.55000000000000004">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16">
        <f t="shared" si="217"/>
        <v>37.672800000000002</v>
      </c>
      <c r="Q2316" t="str">
        <f t="shared" si="220"/>
        <v>music</v>
      </c>
      <c r="R2316" t="str">
        <f t="shared" si="221"/>
        <v>indie rock</v>
      </c>
      <c r="S2316" s="4">
        <f t="shared" si="218"/>
        <v>41037.551585648151</v>
      </c>
      <c r="T2316" s="4">
        <f t="shared" si="219"/>
        <v>41067.551585648151</v>
      </c>
      <c r="U2316" s="5">
        <f>VLOOKUP(currency,Tables!$A$1:$C$14,3,FALSE)*pledged</f>
        <v>1883.64</v>
      </c>
    </row>
    <row r="2317" spans="1:21" ht="28.8" x14ac:dyDescent="0.55000000000000004">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16">
        <f t="shared" si="217"/>
        <v>40.078125</v>
      </c>
      <c r="Q2317" t="str">
        <f t="shared" si="220"/>
        <v>music</v>
      </c>
      <c r="R2317" t="str">
        <f t="shared" si="221"/>
        <v>indie rock</v>
      </c>
      <c r="S2317" s="4">
        <f t="shared" si="218"/>
        <v>41004.72619212963</v>
      </c>
      <c r="T2317" s="4">
        <f t="shared" si="219"/>
        <v>41034.72619212963</v>
      </c>
      <c r="U2317" s="5">
        <f>VLOOKUP(currency,Tables!$A$1:$C$14,3,FALSE)*pledged</f>
        <v>2565</v>
      </c>
    </row>
    <row r="2318" spans="1:21" ht="57.6" x14ac:dyDescent="0.55000000000000004">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16">
        <f t="shared" si="217"/>
        <v>78.031999999999996</v>
      </c>
      <c r="Q2318" t="str">
        <f t="shared" si="220"/>
        <v>music</v>
      </c>
      <c r="R2318" t="str">
        <f t="shared" si="221"/>
        <v>indie rock</v>
      </c>
      <c r="S2318" s="4">
        <f t="shared" si="218"/>
        <v>40079.725115740745</v>
      </c>
      <c r="T2318" s="4">
        <f t="shared" si="219"/>
        <v>40156.76666666667</v>
      </c>
      <c r="U2318" s="5">
        <f>VLOOKUP(currency,Tables!$A$1:$C$14,3,FALSE)*pledged</f>
        <v>15606.4</v>
      </c>
    </row>
    <row r="2319" spans="1:21" ht="43.2" x14ac:dyDescent="0.55000000000000004">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216"/>
        <v>1.04</v>
      </c>
      <c r="P2319" s="16">
        <f t="shared" si="217"/>
        <v>18.90909090909091</v>
      </c>
      <c r="Q2319" t="str">
        <f t="shared" si="220"/>
        <v>music</v>
      </c>
      <c r="R2319" t="str">
        <f t="shared" si="221"/>
        <v>indie rock</v>
      </c>
      <c r="S2319" s="4">
        <f t="shared" si="218"/>
        <v>40192.542233796295</v>
      </c>
      <c r="T2319" s="4">
        <f t="shared" si="219"/>
        <v>40224.208333333336</v>
      </c>
      <c r="U2319" s="5">
        <f>VLOOKUP(currency,Tables!$A$1:$C$14,3,FALSE)*pledged</f>
        <v>416</v>
      </c>
    </row>
    <row r="2320" spans="1:21" ht="57.6" x14ac:dyDescent="0.55000000000000004">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16">
        <f t="shared" si="217"/>
        <v>37.134969325153371</v>
      </c>
      <c r="Q2320" t="str">
        <f t="shared" si="220"/>
        <v>music</v>
      </c>
      <c r="R2320" t="str">
        <f t="shared" si="221"/>
        <v>indie rock</v>
      </c>
      <c r="S2320" s="4">
        <f t="shared" si="218"/>
        <v>40050.643680555557</v>
      </c>
      <c r="T2320" s="4">
        <f t="shared" si="219"/>
        <v>40082.165972222225</v>
      </c>
      <c r="U2320" s="5">
        <f>VLOOKUP(currency,Tables!$A$1:$C$14,3,FALSE)*pledged</f>
        <v>6053</v>
      </c>
    </row>
    <row r="2321" spans="1:21" ht="43.2" x14ac:dyDescent="0.55000000000000004">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16">
        <f t="shared" si="217"/>
        <v>41.961038961038959</v>
      </c>
      <c r="Q2321" t="str">
        <f t="shared" si="220"/>
        <v>music</v>
      </c>
      <c r="R2321" t="str">
        <f t="shared" si="221"/>
        <v>indie rock</v>
      </c>
      <c r="S2321" s="4">
        <f t="shared" si="218"/>
        <v>41593.082002314812</v>
      </c>
      <c r="T2321" s="4">
        <f t="shared" si="219"/>
        <v>41623.082002314812</v>
      </c>
      <c r="U2321" s="5">
        <f>VLOOKUP(currency,Tables!$A$1:$C$14,3,FALSE)*pledged</f>
        <v>3231</v>
      </c>
    </row>
    <row r="2322" spans="1:21" ht="43.2" x14ac:dyDescent="0.55000000000000004">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16">
        <f t="shared" si="217"/>
        <v>61.044943820224717</v>
      </c>
      <c r="Q2322" t="str">
        <f t="shared" si="220"/>
        <v>music</v>
      </c>
      <c r="R2322" t="str">
        <f t="shared" si="221"/>
        <v>indie rock</v>
      </c>
      <c r="S2322" s="4">
        <f t="shared" si="218"/>
        <v>41696.817129629628</v>
      </c>
      <c r="T2322" s="4">
        <f t="shared" si="219"/>
        <v>41731.775462962964</v>
      </c>
      <c r="U2322" s="5">
        <f>VLOOKUP(currency,Tables!$A$1:$C$14,3,FALSE)*pledged</f>
        <v>5433</v>
      </c>
    </row>
    <row r="2323" spans="1:21" ht="43.2" x14ac:dyDescent="0.55000000000000004">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16">
        <f t="shared" si="217"/>
        <v>64.53125</v>
      </c>
      <c r="Q2323" t="str">
        <f t="shared" si="220"/>
        <v>food</v>
      </c>
      <c r="R2323" t="str">
        <f t="shared" si="221"/>
        <v>small batch</v>
      </c>
      <c r="S2323" s="4">
        <f t="shared" si="218"/>
        <v>42799.260428240741</v>
      </c>
      <c r="T2323" s="4">
        <f t="shared" si="219"/>
        <v>42829.21876157407</v>
      </c>
      <c r="U2323" s="5">
        <f>VLOOKUP(currency,Tables!$A$1:$C$14,3,FALSE)*pledged</f>
        <v>4873.3999999999996</v>
      </c>
    </row>
    <row r="2324" spans="1:21" ht="43.2" x14ac:dyDescent="0.55000000000000004">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16">
        <f t="shared" si="217"/>
        <v>21.25</v>
      </c>
      <c r="Q2324" t="str">
        <f t="shared" si="220"/>
        <v>food</v>
      </c>
      <c r="R2324" t="str">
        <f t="shared" si="221"/>
        <v>small batch</v>
      </c>
      <c r="S2324" s="4">
        <f t="shared" si="218"/>
        <v>42804.895474537043</v>
      </c>
      <c r="T2324" s="4">
        <f t="shared" si="219"/>
        <v>42834.853807870371</v>
      </c>
      <c r="U2324" s="5">
        <f>VLOOKUP(currency,Tables!$A$1:$C$14,3,FALSE)*pledged</f>
        <v>85</v>
      </c>
    </row>
    <row r="2325" spans="1:21" ht="43.2" x14ac:dyDescent="0.55000000000000004">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216"/>
        <v>0.48</v>
      </c>
      <c r="P2325" s="16">
        <f t="shared" si="217"/>
        <v>30</v>
      </c>
      <c r="Q2325" t="str">
        <f t="shared" si="220"/>
        <v>food</v>
      </c>
      <c r="R2325" t="str">
        <f t="shared" si="221"/>
        <v>small batch</v>
      </c>
      <c r="S2325" s="4">
        <f t="shared" si="218"/>
        <v>42807.755173611105</v>
      </c>
      <c r="T2325" s="4">
        <f t="shared" si="219"/>
        <v>42814.755173611105</v>
      </c>
      <c r="U2325" s="5">
        <f>VLOOKUP(currency,Tables!$A$1:$C$14,3,FALSE)*pledged</f>
        <v>120</v>
      </c>
    </row>
    <row r="2326" spans="1:21" ht="28.8" x14ac:dyDescent="0.55000000000000004">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16">
        <f t="shared" si="217"/>
        <v>25.491803278688526</v>
      </c>
      <c r="Q2326" t="str">
        <f t="shared" si="220"/>
        <v>food</v>
      </c>
      <c r="R2326" t="str">
        <f t="shared" si="221"/>
        <v>small batch</v>
      </c>
      <c r="S2326" s="4">
        <f t="shared" si="218"/>
        <v>42790.885243055556</v>
      </c>
      <c r="T2326" s="4">
        <f t="shared" si="219"/>
        <v>42820.843576388885</v>
      </c>
      <c r="U2326" s="5">
        <f>VLOOKUP(currency,Tables!$A$1:$C$14,3,FALSE)*pledged</f>
        <v>2052.6</v>
      </c>
    </row>
    <row r="2327" spans="1:21" ht="43.2" x14ac:dyDescent="0.55000000000000004">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216"/>
        <v>0.08</v>
      </c>
      <c r="P2327" s="16">
        <f t="shared" si="217"/>
        <v>11.428571428571429</v>
      </c>
      <c r="Q2327" t="str">
        <f t="shared" si="220"/>
        <v>food</v>
      </c>
      <c r="R2327" t="str">
        <f t="shared" si="221"/>
        <v>small batch</v>
      </c>
      <c r="S2327" s="4">
        <f t="shared" si="218"/>
        <v>42794.022349537037</v>
      </c>
      <c r="T2327" s="4">
        <f t="shared" si="219"/>
        <v>42823.980682870373</v>
      </c>
      <c r="U2327" s="5">
        <f>VLOOKUP(currency,Tables!$A$1:$C$14,3,FALSE)*pledged</f>
        <v>80</v>
      </c>
    </row>
    <row r="2328" spans="1:21" ht="43.2" x14ac:dyDescent="0.55000000000000004">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16">
        <f t="shared" si="217"/>
        <v>108</v>
      </c>
      <c r="Q2328" t="str">
        <f t="shared" si="220"/>
        <v>food</v>
      </c>
      <c r="R2328" t="str">
        <f t="shared" si="221"/>
        <v>small batch</v>
      </c>
      <c r="S2328" s="4">
        <f t="shared" si="218"/>
        <v>42804.034120370372</v>
      </c>
      <c r="T2328" s="4">
        <f t="shared" si="219"/>
        <v>42855.708333333328</v>
      </c>
      <c r="U2328" s="5">
        <f>VLOOKUP(currency,Tables!$A$1:$C$14,3,FALSE)*pledged</f>
        <v>108</v>
      </c>
    </row>
    <row r="2329" spans="1:21" ht="28.8" x14ac:dyDescent="0.55000000000000004">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16">
        <f t="shared" si="217"/>
        <v>54.883162444113267</v>
      </c>
      <c r="Q2329" t="str">
        <f t="shared" si="220"/>
        <v>food</v>
      </c>
      <c r="R2329" t="str">
        <f t="shared" si="221"/>
        <v>small batch</v>
      </c>
      <c r="S2329" s="4">
        <f t="shared" si="218"/>
        <v>41842.917129629634</v>
      </c>
      <c r="T2329" s="4">
        <f t="shared" si="219"/>
        <v>41877.917129629634</v>
      </c>
      <c r="U2329" s="5">
        <f>VLOOKUP(currency,Tables!$A$1:$C$14,3,FALSE)*pledged</f>
        <v>184133.01</v>
      </c>
    </row>
    <row r="2330" spans="1:21" ht="57.6" x14ac:dyDescent="0.55000000000000004">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16">
        <f t="shared" si="217"/>
        <v>47.383612662942269</v>
      </c>
      <c r="Q2330" t="str">
        <f t="shared" si="220"/>
        <v>food</v>
      </c>
      <c r="R2330" t="str">
        <f t="shared" si="221"/>
        <v>small batch</v>
      </c>
      <c r="S2330" s="4">
        <f t="shared" si="218"/>
        <v>42139.781678240746</v>
      </c>
      <c r="T2330" s="4">
        <f t="shared" si="219"/>
        <v>42169.781678240746</v>
      </c>
      <c r="U2330" s="5">
        <f>VLOOKUP(currency,Tables!$A$1:$C$14,3,FALSE)*pledged</f>
        <v>25445</v>
      </c>
    </row>
    <row r="2331" spans="1:21" ht="43.2" x14ac:dyDescent="0.55000000000000004">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16">
        <f t="shared" si="217"/>
        <v>211.84</v>
      </c>
      <c r="Q2331" t="str">
        <f t="shared" si="220"/>
        <v>food</v>
      </c>
      <c r="R2331" t="str">
        <f t="shared" si="221"/>
        <v>small batch</v>
      </c>
      <c r="S2331" s="4">
        <f t="shared" si="218"/>
        <v>41807.624374999999</v>
      </c>
      <c r="T2331" s="4">
        <f t="shared" si="219"/>
        <v>41837.624374999999</v>
      </c>
      <c r="U2331" s="5">
        <f>VLOOKUP(currency,Tables!$A$1:$C$14,3,FALSE)*pledged</f>
        <v>26480</v>
      </c>
    </row>
    <row r="2332" spans="1:21" ht="43.2" x14ac:dyDescent="0.55000000000000004">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16">
        <f t="shared" si="217"/>
        <v>219.92638036809817</v>
      </c>
      <c r="Q2332" t="str">
        <f t="shared" si="220"/>
        <v>food</v>
      </c>
      <c r="R2332" t="str">
        <f t="shared" si="221"/>
        <v>small batch</v>
      </c>
      <c r="S2332" s="4">
        <f t="shared" si="218"/>
        <v>42332.89980324074</v>
      </c>
      <c r="T2332" s="4">
        <f t="shared" si="219"/>
        <v>42363</v>
      </c>
      <c r="U2332" s="5">
        <f>VLOOKUP(currency,Tables!$A$1:$C$14,3,FALSE)*pledged</f>
        <v>35848</v>
      </c>
    </row>
    <row r="2333" spans="1:21" ht="43.2" x14ac:dyDescent="0.55000000000000004">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16">
        <f t="shared" si="217"/>
        <v>40.795406360424032</v>
      </c>
      <c r="Q2333" t="str">
        <f t="shared" si="220"/>
        <v>food</v>
      </c>
      <c r="R2333" t="str">
        <f t="shared" si="221"/>
        <v>small batch</v>
      </c>
      <c r="S2333" s="4">
        <f t="shared" si="218"/>
        <v>41839.005671296298</v>
      </c>
      <c r="T2333" s="4">
        <f t="shared" si="219"/>
        <v>41869.005671296298</v>
      </c>
      <c r="U2333" s="5">
        <f>VLOOKUP(currency,Tables!$A$1:$C$14,3,FALSE)*pledged</f>
        <v>11545.1</v>
      </c>
    </row>
    <row r="2334" spans="1:21" ht="43.2" x14ac:dyDescent="0.55000000000000004">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16">
        <f t="shared" si="217"/>
        <v>75.502840909090907</v>
      </c>
      <c r="Q2334" t="str">
        <f t="shared" si="220"/>
        <v>food</v>
      </c>
      <c r="R2334" t="str">
        <f t="shared" si="221"/>
        <v>small batch</v>
      </c>
      <c r="S2334" s="4">
        <f t="shared" si="218"/>
        <v>42011.628136574072</v>
      </c>
      <c r="T2334" s="4">
        <f t="shared" si="219"/>
        <v>42041.628136574072</v>
      </c>
      <c r="U2334" s="5">
        <f>VLOOKUP(currency,Tables!$A$1:$C$14,3,FALSE)*pledged</f>
        <v>26577</v>
      </c>
    </row>
    <row r="2335" spans="1:21" ht="43.2" x14ac:dyDescent="0.55000000000000004">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16">
        <f t="shared" si="217"/>
        <v>13.542553191489361</v>
      </c>
      <c r="Q2335" t="str">
        <f t="shared" si="220"/>
        <v>food</v>
      </c>
      <c r="R2335" t="str">
        <f t="shared" si="221"/>
        <v>small batch</v>
      </c>
      <c r="S2335" s="4">
        <f t="shared" si="218"/>
        <v>41767.650347222225</v>
      </c>
      <c r="T2335" s="4">
        <f t="shared" si="219"/>
        <v>41788.743055555555</v>
      </c>
      <c r="U2335" s="5">
        <f>VLOOKUP(currency,Tables!$A$1:$C$14,3,FALSE)*pledged</f>
        <v>1273</v>
      </c>
    </row>
    <row r="2336" spans="1:21" ht="43.2" x14ac:dyDescent="0.55000000000000004">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16">
        <f t="shared" si="217"/>
        <v>60.865671641791046</v>
      </c>
      <c r="Q2336" t="str">
        <f t="shared" si="220"/>
        <v>food</v>
      </c>
      <c r="R2336" t="str">
        <f t="shared" si="221"/>
        <v>small batch</v>
      </c>
      <c r="S2336" s="4">
        <f t="shared" si="218"/>
        <v>41918.670115740737</v>
      </c>
      <c r="T2336" s="4">
        <f t="shared" si="219"/>
        <v>41948.731944444444</v>
      </c>
      <c r="U2336" s="5">
        <f>VLOOKUP(currency,Tables!$A$1:$C$14,3,FALSE)*pledged</f>
        <v>4078</v>
      </c>
    </row>
    <row r="2337" spans="1:21" ht="43.2" x14ac:dyDescent="0.55000000000000004">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16">
        <f t="shared" si="217"/>
        <v>115.69230769230769</v>
      </c>
      <c r="Q2337" t="str">
        <f t="shared" si="220"/>
        <v>food</v>
      </c>
      <c r="R2337" t="str">
        <f t="shared" si="221"/>
        <v>small batch</v>
      </c>
      <c r="S2337" s="4">
        <f t="shared" si="218"/>
        <v>41771.572256944448</v>
      </c>
      <c r="T2337" s="4">
        <f t="shared" si="219"/>
        <v>41801.572256944448</v>
      </c>
      <c r="U2337" s="5">
        <f>VLOOKUP(currency,Tables!$A$1:$C$14,3,FALSE)*pledged</f>
        <v>25568</v>
      </c>
    </row>
    <row r="2338" spans="1:21" ht="43.2" x14ac:dyDescent="0.55000000000000004">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16">
        <f t="shared" si="217"/>
        <v>48.104623556581984</v>
      </c>
      <c r="Q2338" t="str">
        <f t="shared" si="220"/>
        <v>food</v>
      </c>
      <c r="R2338" t="str">
        <f t="shared" si="221"/>
        <v>small batch</v>
      </c>
      <c r="S2338" s="4">
        <f t="shared" si="218"/>
        <v>41666.924710648149</v>
      </c>
      <c r="T2338" s="4">
        <f t="shared" si="219"/>
        <v>41706.924710648149</v>
      </c>
      <c r="U2338" s="5">
        <f>VLOOKUP(currency,Tables!$A$1:$C$14,3,FALSE)*pledged</f>
        <v>104146.51</v>
      </c>
    </row>
    <row r="2339" spans="1:21" ht="28.8" x14ac:dyDescent="0.55000000000000004">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16">
        <f t="shared" si="217"/>
        <v>74.184357541899445</v>
      </c>
      <c r="Q2339" t="str">
        <f t="shared" si="220"/>
        <v>food</v>
      </c>
      <c r="R2339" t="str">
        <f t="shared" si="221"/>
        <v>small batch</v>
      </c>
      <c r="S2339" s="4">
        <f t="shared" si="218"/>
        <v>41786.640543981484</v>
      </c>
      <c r="T2339" s="4">
        <f t="shared" si="219"/>
        <v>41816.640543981484</v>
      </c>
      <c r="U2339" s="5">
        <f>VLOOKUP(currency,Tables!$A$1:$C$14,3,FALSE)*pledged</f>
        <v>13279</v>
      </c>
    </row>
    <row r="2340" spans="1:21" ht="43.2" x14ac:dyDescent="0.55000000000000004">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16">
        <f t="shared" si="217"/>
        <v>123.34552845528455</v>
      </c>
      <c r="Q2340" t="str">
        <f t="shared" si="220"/>
        <v>food</v>
      </c>
      <c r="R2340" t="str">
        <f t="shared" si="221"/>
        <v>small batch</v>
      </c>
      <c r="S2340" s="4">
        <f t="shared" si="218"/>
        <v>41789.896805555552</v>
      </c>
      <c r="T2340" s="4">
        <f t="shared" si="219"/>
        <v>41819.896805555552</v>
      </c>
      <c r="U2340" s="5">
        <f>VLOOKUP(currency,Tables!$A$1:$C$14,3,FALSE)*pledged</f>
        <v>15171.5</v>
      </c>
    </row>
    <row r="2341" spans="1:21" ht="43.2" x14ac:dyDescent="0.55000000000000004">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16">
        <f t="shared" si="217"/>
        <v>66.623188405797094</v>
      </c>
      <c r="Q2341" t="str">
        <f t="shared" si="220"/>
        <v>food</v>
      </c>
      <c r="R2341" t="str">
        <f t="shared" si="221"/>
        <v>small batch</v>
      </c>
      <c r="S2341" s="4">
        <f t="shared" si="218"/>
        <v>42692.79987268518</v>
      </c>
      <c r="T2341" s="4">
        <f t="shared" si="219"/>
        <v>42723.332638888889</v>
      </c>
      <c r="U2341" s="5">
        <f>VLOOKUP(currency,Tables!$A$1:$C$14,3,FALSE)*pledged</f>
        <v>73552</v>
      </c>
    </row>
    <row r="2342" spans="1:21" ht="43.2" x14ac:dyDescent="0.55000000000000004">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16">
        <f t="shared" si="217"/>
        <v>104.99007444168734</v>
      </c>
      <c r="Q2342" t="str">
        <f t="shared" si="220"/>
        <v>food</v>
      </c>
      <c r="R2342" t="str">
        <f t="shared" si="221"/>
        <v>small batch</v>
      </c>
      <c r="S2342" s="4">
        <f t="shared" si="218"/>
        <v>42643.642800925925</v>
      </c>
      <c r="T2342" s="4">
        <f t="shared" si="219"/>
        <v>42673.642800925925</v>
      </c>
      <c r="U2342" s="5">
        <f>VLOOKUP(currency,Tables!$A$1:$C$14,3,FALSE)*pledged</f>
        <v>42311</v>
      </c>
    </row>
    <row r="2343" spans="1:21" ht="43.2" x14ac:dyDescent="0.55000000000000004">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216"/>
        <v>0</v>
      </c>
      <c r="P2343" s="16">
        <f t="shared" si="217"/>
        <v>0</v>
      </c>
      <c r="Q2343" t="str">
        <f t="shared" si="220"/>
        <v>technology</v>
      </c>
      <c r="R2343" t="str">
        <f t="shared" si="221"/>
        <v>web</v>
      </c>
      <c r="S2343" s="4">
        <f t="shared" si="218"/>
        <v>42167.813703703709</v>
      </c>
      <c r="T2343" s="4">
        <f t="shared" si="219"/>
        <v>42197.813703703709</v>
      </c>
      <c r="U2343" s="5">
        <f>VLOOKUP(currency,Tables!$A$1:$C$14,3,FALSE)*pledged</f>
        <v>0</v>
      </c>
    </row>
    <row r="2344" spans="1:21" ht="43.2" x14ac:dyDescent="0.55000000000000004">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216"/>
        <v>0</v>
      </c>
      <c r="P2344" s="16">
        <f t="shared" si="217"/>
        <v>0</v>
      </c>
      <c r="Q2344" t="str">
        <f t="shared" si="220"/>
        <v>technology</v>
      </c>
      <c r="R2344" t="str">
        <f t="shared" si="221"/>
        <v>web</v>
      </c>
      <c r="S2344" s="4">
        <f t="shared" si="218"/>
        <v>41897.702199074076</v>
      </c>
      <c r="T2344" s="4">
        <f t="shared" si="219"/>
        <v>41918.208333333336</v>
      </c>
      <c r="U2344" s="5">
        <f>VLOOKUP(currency,Tables!$A$1:$C$14,3,FALSE)*pledged</f>
        <v>0</v>
      </c>
    </row>
    <row r="2345" spans="1:21" ht="43.2" x14ac:dyDescent="0.55000000000000004">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216"/>
        <v>0.03</v>
      </c>
      <c r="P2345" s="16">
        <f t="shared" si="217"/>
        <v>300</v>
      </c>
      <c r="Q2345" t="str">
        <f t="shared" si="220"/>
        <v>technology</v>
      </c>
      <c r="R2345" t="str">
        <f t="shared" si="221"/>
        <v>web</v>
      </c>
      <c r="S2345" s="4">
        <f t="shared" si="218"/>
        <v>42327.825289351851</v>
      </c>
      <c r="T2345" s="4">
        <f t="shared" si="219"/>
        <v>42377.82430555555</v>
      </c>
      <c r="U2345" s="5">
        <f>VLOOKUP(currency,Tables!$A$1:$C$14,3,FALSE)*pledged</f>
        <v>300</v>
      </c>
    </row>
    <row r="2346" spans="1:21" ht="43.2" x14ac:dyDescent="0.55000000000000004">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216"/>
        <v>1E-3</v>
      </c>
      <c r="P2346" s="16">
        <f t="shared" si="217"/>
        <v>1</v>
      </c>
      <c r="Q2346" t="str">
        <f t="shared" si="220"/>
        <v>technology</v>
      </c>
      <c r="R2346" t="str">
        <f t="shared" si="221"/>
        <v>web</v>
      </c>
      <c r="S2346" s="4">
        <f t="shared" si="218"/>
        <v>42515.727650462963</v>
      </c>
      <c r="T2346" s="4">
        <f t="shared" si="219"/>
        <v>42545.727650462963</v>
      </c>
      <c r="U2346" s="5">
        <f>VLOOKUP(currency,Tables!$A$1:$C$14,3,FALSE)*pledged</f>
        <v>0.76</v>
      </c>
    </row>
    <row r="2347" spans="1:21" ht="43.2" x14ac:dyDescent="0.55000000000000004">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216"/>
        <v>0</v>
      </c>
      <c r="P2347" s="16">
        <f t="shared" si="217"/>
        <v>0</v>
      </c>
      <c r="Q2347" t="str">
        <f t="shared" si="220"/>
        <v>technology</v>
      </c>
      <c r="R2347" t="str">
        <f t="shared" si="221"/>
        <v>web</v>
      </c>
      <c r="S2347" s="4">
        <f t="shared" si="218"/>
        <v>42060.001805555556</v>
      </c>
      <c r="T2347" s="4">
        <f t="shared" si="219"/>
        <v>42094.985416666663</v>
      </c>
      <c r="U2347" s="5">
        <f>VLOOKUP(currency,Tables!$A$1:$C$14,3,FALSE)*pledged</f>
        <v>0</v>
      </c>
    </row>
    <row r="2348" spans="1:21" ht="43.2" x14ac:dyDescent="0.55000000000000004">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16">
        <f t="shared" si="217"/>
        <v>13</v>
      </c>
      <c r="Q2348" t="str">
        <f t="shared" si="220"/>
        <v>technology</v>
      </c>
      <c r="R2348" t="str">
        <f t="shared" si="221"/>
        <v>web</v>
      </c>
      <c r="S2348" s="4">
        <f t="shared" si="218"/>
        <v>42615.79896990741</v>
      </c>
      <c r="T2348" s="4">
        <f t="shared" si="219"/>
        <v>42660.79896990741</v>
      </c>
      <c r="U2348" s="5">
        <f>VLOOKUP(currency,Tables!$A$1:$C$14,3,FALSE)*pledged</f>
        <v>39</v>
      </c>
    </row>
    <row r="2349" spans="1:21" ht="43.2" x14ac:dyDescent="0.55000000000000004">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16">
        <f t="shared" si="217"/>
        <v>15</v>
      </c>
      <c r="Q2349" t="str">
        <f t="shared" si="220"/>
        <v>technology</v>
      </c>
      <c r="R2349" t="str">
        <f t="shared" si="221"/>
        <v>web</v>
      </c>
      <c r="S2349" s="4">
        <f t="shared" si="218"/>
        <v>42577.607361111113</v>
      </c>
      <c r="T2349" s="4">
        <f t="shared" si="219"/>
        <v>42607.607361111113</v>
      </c>
      <c r="U2349" s="5">
        <f>VLOOKUP(currency,Tables!$A$1:$C$14,3,FALSE)*pledged</f>
        <v>15</v>
      </c>
    </row>
    <row r="2350" spans="1:21" ht="43.2" x14ac:dyDescent="0.55000000000000004">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16">
        <f t="shared" si="217"/>
        <v>54</v>
      </c>
      <c r="Q2350" t="str">
        <f t="shared" si="220"/>
        <v>technology</v>
      </c>
      <c r="R2350" t="str">
        <f t="shared" si="221"/>
        <v>web</v>
      </c>
      <c r="S2350" s="4">
        <f t="shared" si="218"/>
        <v>42360.932152777779</v>
      </c>
      <c r="T2350" s="4">
        <f t="shared" si="219"/>
        <v>42420.932152777779</v>
      </c>
      <c r="U2350" s="5">
        <f>VLOOKUP(currency,Tables!$A$1:$C$14,3,FALSE)*pledged</f>
        <v>270</v>
      </c>
    </row>
    <row r="2351" spans="1:21" ht="43.2" x14ac:dyDescent="0.55000000000000004">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216"/>
        <v>0</v>
      </c>
      <c r="P2351" s="16">
        <f t="shared" si="217"/>
        <v>0</v>
      </c>
      <c r="Q2351" t="str">
        <f t="shared" si="220"/>
        <v>technology</v>
      </c>
      <c r="R2351" t="str">
        <f t="shared" si="221"/>
        <v>web</v>
      </c>
      <c r="S2351" s="4">
        <f t="shared" si="218"/>
        <v>42198.775787037041</v>
      </c>
      <c r="T2351" s="4">
        <f t="shared" si="219"/>
        <v>42227.775787037041</v>
      </c>
      <c r="U2351" s="5">
        <f>VLOOKUP(currency,Tables!$A$1:$C$14,3,FALSE)*pledged</f>
        <v>0</v>
      </c>
    </row>
    <row r="2352" spans="1:21" ht="43.2" x14ac:dyDescent="0.55000000000000004">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216"/>
        <v>0</v>
      </c>
      <c r="P2352" s="16">
        <f t="shared" si="217"/>
        <v>0</v>
      </c>
      <c r="Q2352" t="str">
        <f t="shared" si="220"/>
        <v>technology</v>
      </c>
      <c r="R2352" t="str">
        <f t="shared" si="221"/>
        <v>web</v>
      </c>
      <c r="S2352" s="4">
        <f t="shared" si="218"/>
        <v>42708.842245370368</v>
      </c>
      <c r="T2352" s="4">
        <f t="shared" si="219"/>
        <v>42738.842245370368</v>
      </c>
      <c r="U2352" s="5">
        <f>VLOOKUP(currency,Tables!$A$1:$C$14,3,FALSE)*pledged</f>
        <v>0</v>
      </c>
    </row>
    <row r="2353" spans="1:21" ht="28.8" x14ac:dyDescent="0.55000000000000004">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16">
        <f t="shared" si="217"/>
        <v>15.428571428571429</v>
      </c>
      <c r="Q2353" t="str">
        <f t="shared" si="220"/>
        <v>technology</v>
      </c>
      <c r="R2353" t="str">
        <f t="shared" si="221"/>
        <v>web</v>
      </c>
      <c r="S2353" s="4">
        <f t="shared" si="218"/>
        <v>42094.101145833338</v>
      </c>
      <c r="T2353" s="4">
        <f t="shared" si="219"/>
        <v>42124.101145833338</v>
      </c>
      <c r="U2353" s="5">
        <f>VLOOKUP(currency,Tables!$A$1:$C$14,3,FALSE)*pledged</f>
        <v>72.36</v>
      </c>
    </row>
    <row r="2354" spans="1:21" ht="43.2" x14ac:dyDescent="0.55000000000000004">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216"/>
        <v>0</v>
      </c>
      <c r="P2354" s="16">
        <f t="shared" si="217"/>
        <v>0</v>
      </c>
      <c r="Q2354" t="str">
        <f t="shared" si="220"/>
        <v>technology</v>
      </c>
      <c r="R2354" t="str">
        <f t="shared" si="221"/>
        <v>web</v>
      </c>
      <c r="S2354" s="4">
        <f t="shared" si="218"/>
        <v>42101.633703703701</v>
      </c>
      <c r="T2354" s="4">
        <f t="shared" si="219"/>
        <v>42161.633703703701</v>
      </c>
      <c r="U2354" s="5">
        <f>VLOOKUP(currency,Tables!$A$1:$C$14,3,FALSE)*pledged</f>
        <v>0</v>
      </c>
    </row>
    <row r="2355" spans="1:21" ht="43.2" x14ac:dyDescent="0.55000000000000004">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216"/>
        <v>0</v>
      </c>
      <c r="P2355" s="16">
        <f t="shared" si="217"/>
        <v>0</v>
      </c>
      <c r="Q2355" t="str">
        <f t="shared" si="220"/>
        <v>technology</v>
      </c>
      <c r="R2355" t="str">
        <f t="shared" si="221"/>
        <v>web</v>
      </c>
      <c r="S2355" s="4">
        <f t="shared" si="218"/>
        <v>42103.676180555558</v>
      </c>
      <c r="T2355" s="4">
        <f t="shared" si="219"/>
        <v>42115.676180555558</v>
      </c>
      <c r="U2355" s="5">
        <f>VLOOKUP(currency,Tables!$A$1:$C$14,3,FALSE)*pledged</f>
        <v>0</v>
      </c>
    </row>
    <row r="2356" spans="1:21" ht="43.2" x14ac:dyDescent="0.55000000000000004">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16">
        <f t="shared" si="217"/>
        <v>25</v>
      </c>
      <c r="Q2356" t="str">
        <f t="shared" si="220"/>
        <v>technology</v>
      </c>
      <c r="R2356" t="str">
        <f t="shared" si="221"/>
        <v>web</v>
      </c>
      <c r="S2356" s="4">
        <f t="shared" si="218"/>
        <v>41954.722916666666</v>
      </c>
      <c r="T2356" s="4">
        <f t="shared" si="219"/>
        <v>42014.722916666666</v>
      </c>
      <c r="U2356" s="5">
        <f>VLOOKUP(currency,Tables!$A$1:$C$14,3,FALSE)*pledged</f>
        <v>25</v>
      </c>
    </row>
    <row r="2357" spans="1:21" ht="43.2" x14ac:dyDescent="0.55000000000000004">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216"/>
        <v>6.875E-3</v>
      </c>
      <c r="P2357" s="16">
        <f t="shared" si="217"/>
        <v>27.5</v>
      </c>
      <c r="Q2357" t="str">
        <f t="shared" si="220"/>
        <v>technology</v>
      </c>
      <c r="R2357" t="str">
        <f t="shared" si="221"/>
        <v>web</v>
      </c>
      <c r="S2357" s="4">
        <f t="shared" si="218"/>
        <v>42096.918240740735</v>
      </c>
      <c r="T2357" s="4">
        <f t="shared" si="219"/>
        <v>42126.918240740735</v>
      </c>
      <c r="U2357" s="5">
        <f>VLOOKUP(currency,Tables!$A$1:$C$14,3,FALSE)*pledged</f>
        <v>40.15</v>
      </c>
    </row>
    <row r="2358" spans="1:21" ht="28.8" x14ac:dyDescent="0.55000000000000004">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216"/>
        <v>0</v>
      </c>
      <c r="P2358" s="16">
        <f t="shared" si="217"/>
        <v>0</v>
      </c>
      <c r="Q2358" t="str">
        <f t="shared" si="220"/>
        <v>technology</v>
      </c>
      <c r="R2358" t="str">
        <f t="shared" si="221"/>
        <v>web</v>
      </c>
      <c r="S2358" s="4">
        <f t="shared" si="218"/>
        <v>42130.78361111111</v>
      </c>
      <c r="T2358" s="4">
        <f t="shared" si="219"/>
        <v>42160.78361111111</v>
      </c>
      <c r="U2358" s="5">
        <f>VLOOKUP(currency,Tables!$A$1:$C$14,3,FALSE)*pledged</f>
        <v>0</v>
      </c>
    </row>
    <row r="2359" spans="1:21" ht="28.8" x14ac:dyDescent="0.55000000000000004">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216"/>
        <v>0</v>
      </c>
      <c r="P2359" s="16">
        <f t="shared" si="217"/>
        <v>0</v>
      </c>
      <c r="Q2359" t="str">
        <f t="shared" si="220"/>
        <v>technology</v>
      </c>
      <c r="R2359" t="str">
        <f t="shared" si="221"/>
        <v>web</v>
      </c>
      <c r="S2359" s="4">
        <f t="shared" si="218"/>
        <v>42264.620115740734</v>
      </c>
      <c r="T2359" s="4">
        <f t="shared" si="219"/>
        <v>42294.620115740734</v>
      </c>
      <c r="U2359" s="5">
        <f>VLOOKUP(currency,Tables!$A$1:$C$14,3,FALSE)*pledged</f>
        <v>0</v>
      </c>
    </row>
    <row r="2360" spans="1:21" ht="43.2" x14ac:dyDescent="0.55000000000000004">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216"/>
        <v>0</v>
      </c>
      <c r="P2360" s="16">
        <f t="shared" si="217"/>
        <v>0</v>
      </c>
      <c r="Q2360" t="str">
        <f t="shared" si="220"/>
        <v>technology</v>
      </c>
      <c r="R2360" t="str">
        <f t="shared" si="221"/>
        <v>web</v>
      </c>
      <c r="S2360" s="4">
        <f t="shared" si="218"/>
        <v>41978.930972222224</v>
      </c>
      <c r="T2360" s="4">
        <f t="shared" si="219"/>
        <v>42035.027083333334</v>
      </c>
      <c r="U2360" s="5">
        <f>VLOOKUP(currency,Tables!$A$1:$C$14,3,FALSE)*pledged</f>
        <v>0</v>
      </c>
    </row>
    <row r="2361" spans="1:21" ht="43.2" x14ac:dyDescent="0.55000000000000004">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16">
        <f t="shared" si="217"/>
        <v>367</v>
      </c>
      <c r="Q2361" t="str">
        <f t="shared" si="220"/>
        <v>technology</v>
      </c>
      <c r="R2361" t="str">
        <f t="shared" si="221"/>
        <v>web</v>
      </c>
      <c r="S2361" s="4">
        <f t="shared" si="218"/>
        <v>42159.649583333332</v>
      </c>
      <c r="T2361" s="4">
        <f t="shared" si="219"/>
        <v>42219.649583333332</v>
      </c>
      <c r="U2361" s="5">
        <f>VLOOKUP(currency,Tables!$A$1:$C$14,3,FALSE)*pledged</f>
        <v>1101</v>
      </c>
    </row>
    <row r="2362" spans="1:21" ht="43.2" x14ac:dyDescent="0.55000000000000004">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16">
        <f t="shared" si="217"/>
        <v>2</v>
      </c>
      <c r="Q2362" t="str">
        <f t="shared" si="220"/>
        <v>technology</v>
      </c>
      <c r="R2362" t="str">
        <f t="shared" si="221"/>
        <v>web</v>
      </c>
      <c r="S2362" s="4">
        <f t="shared" si="218"/>
        <v>42377.70694444445</v>
      </c>
      <c r="T2362" s="4">
        <f t="shared" si="219"/>
        <v>42407.70694444445</v>
      </c>
      <c r="U2362" s="5">
        <f>VLOOKUP(currency,Tables!$A$1:$C$14,3,FALSE)*pledged</f>
        <v>1.52</v>
      </c>
    </row>
    <row r="2363" spans="1:21" ht="43.2" x14ac:dyDescent="0.55000000000000004">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216"/>
        <v>0</v>
      </c>
      <c r="P2363" s="16">
        <f t="shared" si="217"/>
        <v>0</v>
      </c>
      <c r="Q2363" t="str">
        <f t="shared" si="220"/>
        <v>technology</v>
      </c>
      <c r="R2363" t="str">
        <f t="shared" si="221"/>
        <v>web</v>
      </c>
      <c r="S2363" s="4">
        <f t="shared" si="218"/>
        <v>42466.858888888892</v>
      </c>
      <c r="T2363" s="4">
        <f t="shared" si="219"/>
        <v>42490.916666666672</v>
      </c>
      <c r="U2363" s="5">
        <f>VLOOKUP(currency,Tables!$A$1:$C$14,3,FALSE)*pledged</f>
        <v>0</v>
      </c>
    </row>
    <row r="2364" spans="1:21" ht="43.2" x14ac:dyDescent="0.55000000000000004">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16">
        <f t="shared" si="217"/>
        <v>60</v>
      </c>
      <c r="Q2364" t="str">
        <f t="shared" si="220"/>
        <v>technology</v>
      </c>
      <c r="R2364" t="str">
        <f t="shared" si="221"/>
        <v>web</v>
      </c>
      <c r="S2364" s="4">
        <f t="shared" si="218"/>
        <v>41954.688310185185</v>
      </c>
      <c r="T2364" s="4">
        <f t="shared" si="219"/>
        <v>41984.688310185185</v>
      </c>
      <c r="U2364" s="5">
        <f>VLOOKUP(currency,Tables!$A$1:$C$14,3,FALSE)*pledged</f>
        <v>120</v>
      </c>
    </row>
    <row r="2365" spans="1:21" ht="43.2" x14ac:dyDescent="0.55000000000000004">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216"/>
        <v>0</v>
      </c>
      <c r="P2365" s="16">
        <f t="shared" si="217"/>
        <v>0</v>
      </c>
      <c r="Q2365" t="str">
        <f t="shared" si="220"/>
        <v>technology</v>
      </c>
      <c r="R2365" t="str">
        <f t="shared" si="221"/>
        <v>web</v>
      </c>
      <c r="S2365" s="4">
        <f t="shared" si="218"/>
        <v>42322.011574074073</v>
      </c>
      <c r="T2365" s="4">
        <f t="shared" si="219"/>
        <v>42367.011574074073</v>
      </c>
      <c r="U2365" s="5">
        <f>VLOOKUP(currency,Tables!$A$1:$C$14,3,FALSE)*pledged</f>
        <v>0</v>
      </c>
    </row>
    <row r="2366" spans="1:21" ht="28.8" x14ac:dyDescent="0.55000000000000004">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216"/>
        <v>0</v>
      </c>
      <c r="P2366" s="16">
        <f t="shared" si="217"/>
        <v>0</v>
      </c>
      <c r="Q2366" t="str">
        <f t="shared" si="220"/>
        <v>technology</v>
      </c>
      <c r="R2366" t="str">
        <f t="shared" si="221"/>
        <v>web</v>
      </c>
      <c r="S2366" s="4">
        <f t="shared" si="218"/>
        <v>42248.934675925921</v>
      </c>
      <c r="T2366" s="4">
        <f t="shared" si="219"/>
        <v>42303.934675925921</v>
      </c>
      <c r="U2366" s="5">
        <f>VLOOKUP(currency,Tables!$A$1:$C$14,3,FALSE)*pledged</f>
        <v>0</v>
      </c>
    </row>
    <row r="2367" spans="1:21" ht="43.2" x14ac:dyDescent="0.55000000000000004">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216"/>
        <v>0</v>
      </c>
      <c r="P2367" s="16">
        <f t="shared" si="217"/>
        <v>0</v>
      </c>
      <c r="Q2367" t="str">
        <f t="shared" si="220"/>
        <v>technology</v>
      </c>
      <c r="R2367" t="str">
        <f t="shared" si="221"/>
        <v>web</v>
      </c>
      <c r="S2367" s="4">
        <f t="shared" si="218"/>
        <v>42346.736400462964</v>
      </c>
      <c r="T2367" s="4">
        <f t="shared" si="219"/>
        <v>42386.958333333328</v>
      </c>
      <c r="U2367" s="5">
        <f>VLOOKUP(currency,Tables!$A$1:$C$14,3,FALSE)*pledged</f>
        <v>0</v>
      </c>
    </row>
    <row r="2368" spans="1:21" ht="43.2" x14ac:dyDescent="0.55000000000000004">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16">
        <f t="shared" si="217"/>
        <v>97.407407407407405</v>
      </c>
      <c r="Q2368" t="str">
        <f t="shared" si="220"/>
        <v>technology</v>
      </c>
      <c r="R2368" t="str">
        <f t="shared" si="221"/>
        <v>web</v>
      </c>
      <c r="S2368" s="4">
        <f t="shared" si="218"/>
        <v>42268.531631944439</v>
      </c>
      <c r="T2368" s="4">
        <f t="shared" si="219"/>
        <v>42298.531631944439</v>
      </c>
      <c r="U2368" s="5">
        <f>VLOOKUP(currency,Tables!$A$1:$C$14,3,FALSE)*pledged</f>
        <v>3471.6000000000004</v>
      </c>
    </row>
    <row r="2369" spans="1:21" ht="43.2" x14ac:dyDescent="0.55000000000000004">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16">
        <f t="shared" si="217"/>
        <v>47.857142857142854</v>
      </c>
      <c r="Q2369" t="str">
        <f t="shared" si="220"/>
        <v>technology</v>
      </c>
      <c r="R2369" t="str">
        <f t="shared" si="221"/>
        <v>web</v>
      </c>
      <c r="S2369" s="4">
        <f t="shared" si="218"/>
        <v>42425.970092592594</v>
      </c>
      <c r="T2369" s="4">
        <f t="shared" si="219"/>
        <v>42485.928425925929</v>
      </c>
      <c r="U2369" s="5">
        <f>VLOOKUP(currency,Tables!$A$1:$C$14,3,FALSE)*pledged</f>
        <v>670</v>
      </c>
    </row>
    <row r="2370" spans="1:21" ht="43.2" x14ac:dyDescent="0.55000000000000004">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ref="O2370:O2433" si="222">pledged/goal</f>
        <v>2.5000000000000001E-3</v>
      </c>
      <c r="P2370" s="16">
        <f t="shared" ref="P2370:P2433" si="223">IF(pledged=0,0,pledged/backers_count)</f>
        <v>50</v>
      </c>
      <c r="Q2370" t="str">
        <f t="shared" si="220"/>
        <v>technology</v>
      </c>
      <c r="R2370" t="str">
        <f t="shared" si="221"/>
        <v>web</v>
      </c>
      <c r="S2370" s="4">
        <f t="shared" ref="S2370:S2433" si="224">(((Unix_launched_date/60)/60)/24)+DATE(1970,1,1)</f>
        <v>42063.721817129626</v>
      </c>
      <c r="T2370" s="4">
        <f t="shared" ref="T2370:T2433" si="225">(((Unix_deadline/60)/60)/24)+DATE(1970,1,1)</f>
        <v>42108.680150462969</v>
      </c>
      <c r="U2370" s="5">
        <f>VLOOKUP(currency,Tables!$A$1:$C$14,3,FALSE)*pledged</f>
        <v>100</v>
      </c>
    </row>
    <row r="2371" spans="1:21" ht="43.2" x14ac:dyDescent="0.55000000000000004">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si="222"/>
        <v>0</v>
      </c>
      <c r="P2371" s="16">
        <f t="shared" si="223"/>
        <v>0</v>
      </c>
      <c r="Q2371" t="str">
        <f t="shared" ref="Q2371:Q2434" si="226">LEFT(N2371,FIND("/",N2371,1)-1)</f>
        <v>technology</v>
      </c>
      <c r="R2371" t="str">
        <f t="shared" ref="R2371:R2434" si="227">RIGHT(N2371,(LEN(N2371)-FIND("/",N2371,1)))</f>
        <v>web</v>
      </c>
      <c r="S2371" s="4">
        <f t="shared" si="224"/>
        <v>42380.812627314815</v>
      </c>
      <c r="T2371" s="4">
        <f t="shared" si="225"/>
        <v>42410.812627314815</v>
      </c>
      <c r="U2371" s="5">
        <f>VLOOKUP(currency,Tables!$A$1:$C$14,3,FALSE)*pledged</f>
        <v>0</v>
      </c>
    </row>
    <row r="2372" spans="1:21" ht="43.2" x14ac:dyDescent="0.55000000000000004">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16">
        <f t="shared" si="223"/>
        <v>20.5</v>
      </c>
      <c r="Q2372" t="str">
        <f t="shared" si="226"/>
        <v>technology</v>
      </c>
      <c r="R2372" t="str">
        <f t="shared" si="227"/>
        <v>web</v>
      </c>
      <c r="S2372" s="4">
        <f t="shared" si="224"/>
        <v>41961.18913194444</v>
      </c>
      <c r="T2372" s="4">
        <f t="shared" si="225"/>
        <v>41991.18913194444</v>
      </c>
      <c r="U2372" s="5">
        <f>VLOOKUP(currency,Tables!$A$1:$C$14,3,FALSE)*pledged</f>
        <v>82</v>
      </c>
    </row>
    <row r="2373" spans="1:21" ht="43.2" x14ac:dyDescent="0.55000000000000004">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222"/>
        <v>0</v>
      </c>
      <c r="P2373" s="16">
        <f t="shared" si="223"/>
        <v>0</v>
      </c>
      <c r="Q2373" t="str">
        <f t="shared" si="226"/>
        <v>technology</v>
      </c>
      <c r="R2373" t="str">
        <f t="shared" si="227"/>
        <v>web</v>
      </c>
      <c r="S2373" s="4">
        <f t="shared" si="224"/>
        <v>42150.777731481481</v>
      </c>
      <c r="T2373" s="4">
        <f t="shared" si="225"/>
        <v>42180.777731481481</v>
      </c>
      <c r="U2373" s="5">
        <f>VLOOKUP(currency,Tables!$A$1:$C$14,3,FALSE)*pledged</f>
        <v>0</v>
      </c>
    </row>
    <row r="2374" spans="1:21" ht="43.2" x14ac:dyDescent="0.55000000000000004">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16">
        <f t="shared" si="223"/>
        <v>30</v>
      </c>
      <c r="Q2374" t="str">
        <f t="shared" si="226"/>
        <v>technology</v>
      </c>
      <c r="R2374" t="str">
        <f t="shared" si="227"/>
        <v>web</v>
      </c>
      <c r="S2374" s="4">
        <f t="shared" si="224"/>
        <v>42088.069108796291</v>
      </c>
      <c r="T2374" s="4">
        <f t="shared" si="225"/>
        <v>42118.069108796291</v>
      </c>
      <c r="U2374" s="5">
        <f>VLOOKUP(currency,Tables!$A$1:$C$14,3,FALSE)*pledged</f>
        <v>131.4</v>
      </c>
    </row>
    <row r="2375" spans="1:21" ht="28.8" x14ac:dyDescent="0.55000000000000004">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16">
        <f t="shared" si="223"/>
        <v>50</v>
      </c>
      <c r="Q2375" t="str">
        <f t="shared" si="226"/>
        <v>technology</v>
      </c>
      <c r="R2375" t="str">
        <f t="shared" si="227"/>
        <v>web</v>
      </c>
      <c r="S2375" s="4">
        <f t="shared" si="224"/>
        <v>42215.662314814821</v>
      </c>
      <c r="T2375" s="4">
        <f t="shared" si="225"/>
        <v>42245.662314814821</v>
      </c>
      <c r="U2375" s="5">
        <f>VLOOKUP(currency,Tables!$A$1:$C$14,3,FALSE)*pledged</f>
        <v>5.5</v>
      </c>
    </row>
    <row r="2376" spans="1:21" ht="43.2" x14ac:dyDescent="0.55000000000000004">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16">
        <f t="shared" si="223"/>
        <v>10</v>
      </c>
      <c r="Q2376" t="str">
        <f t="shared" si="226"/>
        <v>technology</v>
      </c>
      <c r="R2376" t="str">
        <f t="shared" si="227"/>
        <v>web</v>
      </c>
      <c r="S2376" s="4">
        <f t="shared" si="224"/>
        <v>42017.843287037031</v>
      </c>
      <c r="T2376" s="4">
        <f t="shared" si="225"/>
        <v>42047.843287037031</v>
      </c>
      <c r="U2376" s="5">
        <f>VLOOKUP(currency,Tables!$A$1:$C$14,3,FALSE)*pledged</f>
        <v>10</v>
      </c>
    </row>
    <row r="2377" spans="1:21" ht="43.2" x14ac:dyDescent="0.55000000000000004">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222"/>
        <v>0</v>
      </c>
      <c r="P2377" s="16">
        <f t="shared" si="223"/>
        <v>0</v>
      </c>
      <c r="Q2377" t="str">
        <f t="shared" si="226"/>
        <v>technology</v>
      </c>
      <c r="R2377" t="str">
        <f t="shared" si="227"/>
        <v>web</v>
      </c>
      <c r="S2377" s="4">
        <f t="shared" si="224"/>
        <v>42592.836076388892</v>
      </c>
      <c r="T2377" s="4">
        <f t="shared" si="225"/>
        <v>42622.836076388892</v>
      </c>
      <c r="U2377" s="5">
        <f>VLOOKUP(currency,Tables!$A$1:$C$14,3,FALSE)*pledged</f>
        <v>0</v>
      </c>
    </row>
    <row r="2378" spans="1:21" ht="43.2" x14ac:dyDescent="0.55000000000000004">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16">
        <f t="shared" si="223"/>
        <v>81.582499999999996</v>
      </c>
      <c r="Q2378" t="str">
        <f t="shared" si="226"/>
        <v>technology</v>
      </c>
      <c r="R2378" t="str">
        <f t="shared" si="227"/>
        <v>web</v>
      </c>
      <c r="S2378" s="4">
        <f t="shared" si="224"/>
        <v>42318.925532407404</v>
      </c>
      <c r="T2378" s="4">
        <f t="shared" si="225"/>
        <v>42348.925532407404</v>
      </c>
      <c r="U2378" s="5">
        <f>VLOOKUP(currency,Tables!$A$1:$C$14,3,FALSE)*pledged</f>
        <v>326.33</v>
      </c>
    </row>
    <row r="2379" spans="1:21" ht="43.2" x14ac:dyDescent="0.55000000000000004">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222"/>
        <v>0</v>
      </c>
      <c r="P2379" s="16">
        <f t="shared" si="223"/>
        <v>0</v>
      </c>
      <c r="Q2379" t="str">
        <f t="shared" si="226"/>
        <v>technology</v>
      </c>
      <c r="R2379" t="str">
        <f t="shared" si="227"/>
        <v>web</v>
      </c>
      <c r="S2379" s="4">
        <f t="shared" si="224"/>
        <v>42669.870173611111</v>
      </c>
      <c r="T2379" s="4">
        <f t="shared" si="225"/>
        <v>42699.911840277782</v>
      </c>
      <c r="U2379" s="5">
        <f>VLOOKUP(currency,Tables!$A$1:$C$14,3,FALSE)*pledged</f>
        <v>0</v>
      </c>
    </row>
    <row r="2380" spans="1:21" ht="28.8" x14ac:dyDescent="0.55000000000000004">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222"/>
        <v>0</v>
      </c>
      <c r="P2380" s="16">
        <f t="shared" si="223"/>
        <v>0</v>
      </c>
      <c r="Q2380" t="str">
        <f t="shared" si="226"/>
        <v>technology</v>
      </c>
      <c r="R2380" t="str">
        <f t="shared" si="227"/>
        <v>web</v>
      </c>
      <c r="S2380" s="4">
        <f t="shared" si="224"/>
        <v>42213.013078703705</v>
      </c>
      <c r="T2380" s="4">
        <f t="shared" si="225"/>
        <v>42242.013078703705</v>
      </c>
      <c r="U2380" s="5">
        <f>VLOOKUP(currency,Tables!$A$1:$C$14,3,FALSE)*pledged</f>
        <v>0</v>
      </c>
    </row>
    <row r="2381" spans="1:21" ht="28.8" x14ac:dyDescent="0.55000000000000004">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222"/>
        <v>0</v>
      </c>
      <c r="P2381" s="16">
        <f t="shared" si="223"/>
        <v>0</v>
      </c>
      <c r="Q2381" t="str">
        <f t="shared" si="226"/>
        <v>technology</v>
      </c>
      <c r="R2381" t="str">
        <f t="shared" si="227"/>
        <v>web</v>
      </c>
      <c r="S2381" s="4">
        <f t="shared" si="224"/>
        <v>42237.016388888893</v>
      </c>
      <c r="T2381" s="4">
        <f t="shared" si="225"/>
        <v>42282.016388888893</v>
      </c>
      <c r="U2381" s="5">
        <f>VLOOKUP(currency,Tables!$A$1:$C$14,3,FALSE)*pledged</f>
        <v>0</v>
      </c>
    </row>
    <row r="2382" spans="1:21" ht="43.2" x14ac:dyDescent="0.55000000000000004">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16">
        <f t="shared" si="223"/>
        <v>18.333333333333332</v>
      </c>
      <c r="Q2382" t="str">
        <f t="shared" si="226"/>
        <v>technology</v>
      </c>
      <c r="R2382" t="str">
        <f t="shared" si="227"/>
        <v>web</v>
      </c>
      <c r="S2382" s="4">
        <f t="shared" si="224"/>
        <v>42248.793310185181</v>
      </c>
      <c r="T2382" s="4">
        <f t="shared" si="225"/>
        <v>42278.793310185181</v>
      </c>
      <c r="U2382" s="5">
        <f>VLOOKUP(currency,Tables!$A$1:$C$14,3,FALSE)*pledged</f>
        <v>55</v>
      </c>
    </row>
    <row r="2383" spans="1:21" ht="43.2" x14ac:dyDescent="0.55000000000000004">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16">
        <f t="shared" si="223"/>
        <v>224.42857142857142</v>
      </c>
      <c r="Q2383" t="str">
        <f t="shared" si="226"/>
        <v>technology</v>
      </c>
      <c r="R2383" t="str">
        <f t="shared" si="227"/>
        <v>web</v>
      </c>
      <c r="S2383" s="4">
        <f t="shared" si="224"/>
        <v>42074.935740740737</v>
      </c>
      <c r="T2383" s="4">
        <f t="shared" si="225"/>
        <v>42104.935740740737</v>
      </c>
      <c r="U2383" s="5">
        <f>VLOOKUP(currency,Tables!$A$1:$C$14,3,FALSE)*pledged</f>
        <v>1571</v>
      </c>
    </row>
    <row r="2384" spans="1:21" ht="57.6" x14ac:dyDescent="0.55000000000000004">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16">
        <f t="shared" si="223"/>
        <v>37.5</v>
      </c>
      <c r="Q2384" t="str">
        <f t="shared" si="226"/>
        <v>technology</v>
      </c>
      <c r="R2384" t="str">
        <f t="shared" si="227"/>
        <v>web</v>
      </c>
      <c r="S2384" s="4">
        <f t="shared" si="224"/>
        <v>42195.187534722223</v>
      </c>
      <c r="T2384" s="4">
        <f t="shared" si="225"/>
        <v>42220.187534722223</v>
      </c>
      <c r="U2384" s="5">
        <f>VLOOKUP(currency,Tables!$A$1:$C$14,3,FALSE)*pledged</f>
        <v>75</v>
      </c>
    </row>
    <row r="2385" spans="1:21" ht="43.2" x14ac:dyDescent="0.55000000000000004">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16">
        <f t="shared" si="223"/>
        <v>145</v>
      </c>
      <c r="Q2385" t="str">
        <f t="shared" si="226"/>
        <v>technology</v>
      </c>
      <c r="R2385" t="str">
        <f t="shared" si="227"/>
        <v>web</v>
      </c>
      <c r="S2385" s="4">
        <f t="shared" si="224"/>
        <v>42027.056793981479</v>
      </c>
      <c r="T2385" s="4">
        <f t="shared" si="225"/>
        <v>42057.056793981479</v>
      </c>
      <c r="U2385" s="5">
        <f>VLOOKUP(currency,Tables!$A$1:$C$14,3,FALSE)*pledged</f>
        <v>291.45000000000005</v>
      </c>
    </row>
    <row r="2386" spans="1:21" ht="43.2" x14ac:dyDescent="0.55000000000000004">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16">
        <f t="shared" si="223"/>
        <v>1</v>
      </c>
      <c r="Q2386" t="str">
        <f t="shared" si="226"/>
        <v>technology</v>
      </c>
      <c r="R2386" t="str">
        <f t="shared" si="227"/>
        <v>web</v>
      </c>
      <c r="S2386" s="4">
        <f t="shared" si="224"/>
        <v>41927.067627314813</v>
      </c>
      <c r="T2386" s="4">
        <f t="shared" si="225"/>
        <v>41957.109293981484</v>
      </c>
      <c r="U2386" s="5">
        <f>VLOOKUP(currency,Tables!$A$1:$C$14,3,FALSE)*pledged</f>
        <v>8</v>
      </c>
    </row>
    <row r="2387" spans="1:21" ht="43.2" x14ac:dyDescent="0.55000000000000004">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16">
        <f t="shared" si="223"/>
        <v>112.57142857142857</v>
      </c>
      <c r="Q2387" t="str">
        <f t="shared" si="226"/>
        <v>technology</v>
      </c>
      <c r="R2387" t="str">
        <f t="shared" si="227"/>
        <v>web</v>
      </c>
      <c r="S2387" s="4">
        <f t="shared" si="224"/>
        <v>42191.70175925926</v>
      </c>
      <c r="T2387" s="4">
        <f t="shared" si="225"/>
        <v>42221.70175925926</v>
      </c>
      <c r="U2387" s="5">
        <f>VLOOKUP(currency,Tables!$A$1:$C$14,3,FALSE)*pledged</f>
        <v>788</v>
      </c>
    </row>
    <row r="2388" spans="1:21" ht="43.2" x14ac:dyDescent="0.55000000000000004">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222"/>
        <v>0</v>
      </c>
      <c r="P2388" s="16">
        <f t="shared" si="223"/>
        <v>0</v>
      </c>
      <c r="Q2388" t="str">
        <f t="shared" si="226"/>
        <v>technology</v>
      </c>
      <c r="R2388" t="str">
        <f t="shared" si="227"/>
        <v>web</v>
      </c>
      <c r="S2388" s="4">
        <f t="shared" si="224"/>
        <v>41954.838240740741</v>
      </c>
      <c r="T2388" s="4">
        <f t="shared" si="225"/>
        <v>42014.838240740741</v>
      </c>
      <c r="U2388" s="5">
        <f>VLOOKUP(currency,Tables!$A$1:$C$14,3,FALSE)*pledged</f>
        <v>0</v>
      </c>
    </row>
    <row r="2389" spans="1:21" ht="43.2" x14ac:dyDescent="0.55000000000000004">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16">
        <f t="shared" si="223"/>
        <v>342</v>
      </c>
      <c r="Q2389" t="str">
        <f t="shared" si="226"/>
        <v>technology</v>
      </c>
      <c r="R2389" t="str">
        <f t="shared" si="227"/>
        <v>web</v>
      </c>
      <c r="S2389" s="4">
        <f t="shared" si="224"/>
        <v>42528.626620370371</v>
      </c>
      <c r="T2389" s="4">
        <f t="shared" si="225"/>
        <v>42573.626620370371</v>
      </c>
      <c r="U2389" s="5">
        <f>VLOOKUP(currency,Tables!$A$1:$C$14,3,FALSE)*pledged</f>
        <v>1026</v>
      </c>
    </row>
    <row r="2390" spans="1:21" ht="43.2" x14ac:dyDescent="0.55000000000000004">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16">
        <f t="shared" si="223"/>
        <v>57.875</v>
      </c>
      <c r="Q2390" t="str">
        <f t="shared" si="226"/>
        <v>technology</v>
      </c>
      <c r="R2390" t="str">
        <f t="shared" si="227"/>
        <v>web</v>
      </c>
      <c r="S2390" s="4">
        <f t="shared" si="224"/>
        <v>41989.853692129633</v>
      </c>
      <c r="T2390" s="4">
        <f t="shared" si="225"/>
        <v>42019.811805555553</v>
      </c>
      <c r="U2390" s="5">
        <f>VLOOKUP(currency,Tables!$A$1:$C$14,3,FALSE)*pledged</f>
        <v>463</v>
      </c>
    </row>
    <row r="2391" spans="1:21" ht="57.6" x14ac:dyDescent="0.55000000000000004">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16">
        <f t="shared" si="223"/>
        <v>30</v>
      </c>
      <c r="Q2391" t="str">
        <f t="shared" si="226"/>
        <v>technology</v>
      </c>
      <c r="R2391" t="str">
        <f t="shared" si="227"/>
        <v>web</v>
      </c>
      <c r="S2391" s="4">
        <f t="shared" si="224"/>
        <v>42179.653379629628</v>
      </c>
      <c r="T2391" s="4">
        <f t="shared" si="225"/>
        <v>42210.915972222225</v>
      </c>
      <c r="U2391" s="5">
        <f>VLOOKUP(currency,Tables!$A$1:$C$14,3,FALSE)*pledged</f>
        <v>35.4</v>
      </c>
    </row>
    <row r="2392" spans="1:21" ht="43.2" x14ac:dyDescent="0.55000000000000004">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222"/>
        <v>0</v>
      </c>
      <c r="P2392" s="16">
        <f t="shared" si="223"/>
        <v>0</v>
      </c>
      <c r="Q2392" t="str">
        <f t="shared" si="226"/>
        <v>technology</v>
      </c>
      <c r="R2392" t="str">
        <f t="shared" si="227"/>
        <v>web</v>
      </c>
      <c r="S2392" s="4">
        <f t="shared" si="224"/>
        <v>41968.262314814812</v>
      </c>
      <c r="T2392" s="4">
        <f t="shared" si="225"/>
        <v>42008.262314814812</v>
      </c>
      <c r="U2392" s="5">
        <f>VLOOKUP(currency,Tables!$A$1:$C$14,3,FALSE)*pledged</f>
        <v>0</v>
      </c>
    </row>
    <row r="2393" spans="1:21" ht="28.8" x14ac:dyDescent="0.55000000000000004">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222"/>
        <v>1.25E-3</v>
      </c>
      <c r="P2393" s="16">
        <f t="shared" si="223"/>
        <v>25</v>
      </c>
      <c r="Q2393" t="str">
        <f t="shared" si="226"/>
        <v>technology</v>
      </c>
      <c r="R2393" t="str">
        <f t="shared" si="227"/>
        <v>web</v>
      </c>
      <c r="S2393" s="4">
        <f t="shared" si="224"/>
        <v>42064.794490740736</v>
      </c>
      <c r="T2393" s="4">
        <f t="shared" si="225"/>
        <v>42094.752824074079</v>
      </c>
      <c r="U2393" s="5">
        <f>VLOOKUP(currency,Tables!$A$1:$C$14,3,FALSE)*pledged</f>
        <v>25</v>
      </c>
    </row>
    <row r="2394" spans="1:21" ht="43.2" x14ac:dyDescent="0.55000000000000004">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222"/>
        <v>0</v>
      </c>
      <c r="P2394" s="16">
        <f t="shared" si="223"/>
        <v>0</v>
      </c>
      <c r="Q2394" t="str">
        <f t="shared" si="226"/>
        <v>technology</v>
      </c>
      <c r="R2394" t="str">
        <f t="shared" si="227"/>
        <v>web</v>
      </c>
      <c r="S2394" s="4">
        <f t="shared" si="224"/>
        <v>42276.120636574073</v>
      </c>
      <c r="T2394" s="4">
        <f t="shared" si="225"/>
        <v>42306.120636574073</v>
      </c>
      <c r="U2394" s="5">
        <f>VLOOKUP(currency,Tables!$A$1:$C$14,3,FALSE)*pledged</f>
        <v>0</v>
      </c>
    </row>
    <row r="2395" spans="1:21" ht="43.2" x14ac:dyDescent="0.55000000000000004">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16">
        <f t="shared" si="223"/>
        <v>50</v>
      </c>
      <c r="Q2395" t="str">
        <f t="shared" si="226"/>
        <v>technology</v>
      </c>
      <c r="R2395" t="str">
        <f t="shared" si="227"/>
        <v>web</v>
      </c>
      <c r="S2395" s="4">
        <f t="shared" si="224"/>
        <v>42194.648344907408</v>
      </c>
      <c r="T2395" s="4">
        <f t="shared" si="225"/>
        <v>42224.648344907408</v>
      </c>
      <c r="U2395" s="5">
        <f>VLOOKUP(currency,Tables!$A$1:$C$14,3,FALSE)*pledged</f>
        <v>50</v>
      </c>
    </row>
    <row r="2396" spans="1:21" ht="43.2" x14ac:dyDescent="0.55000000000000004">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16">
        <f t="shared" si="223"/>
        <v>1.5</v>
      </c>
      <c r="Q2396" t="str">
        <f t="shared" si="226"/>
        <v>technology</v>
      </c>
      <c r="R2396" t="str">
        <f t="shared" si="227"/>
        <v>web</v>
      </c>
      <c r="S2396" s="4">
        <f t="shared" si="224"/>
        <v>42031.362187499995</v>
      </c>
      <c r="T2396" s="4">
        <f t="shared" si="225"/>
        <v>42061.362187499995</v>
      </c>
      <c r="U2396" s="5">
        <f>VLOOKUP(currency,Tables!$A$1:$C$14,3,FALSE)*pledged</f>
        <v>3.54</v>
      </c>
    </row>
    <row r="2397" spans="1:21" ht="43.2" x14ac:dyDescent="0.55000000000000004">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222"/>
        <v>0</v>
      </c>
      <c r="P2397" s="16">
        <f t="shared" si="223"/>
        <v>0</v>
      </c>
      <c r="Q2397" t="str">
        <f t="shared" si="226"/>
        <v>technology</v>
      </c>
      <c r="R2397" t="str">
        <f t="shared" si="227"/>
        <v>web</v>
      </c>
      <c r="S2397" s="4">
        <f t="shared" si="224"/>
        <v>42717.121377314819</v>
      </c>
      <c r="T2397" s="4">
        <f t="shared" si="225"/>
        <v>42745.372916666667</v>
      </c>
      <c r="U2397" s="5">
        <f>VLOOKUP(currency,Tables!$A$1:$C$14,3,FALSE)*pledged</f>
        <v>0</v>
      </c>
    </row>
    <row r="2398" spans="1:21" ht="43.2" x14ac:dyDescent="0.55000000000000004">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222"/>
        <v>2E-3</v>
      </c>
      <c r="P2398" s="16">
        <f t="shared" si="223"/>
        <v>10</v>
      </c>
      <c r="Q2398" t="str">
        <f t="shared" si="226"/>
        <v>technology</v>
      </c>
      <c r="R2398" t="str">
        <f t="shared" si="227"/>
        <v>web</v>
      </c>
      <c r="S2398" s="4">
        <f t="shared" si="224"/>
        <v>42262.849050925928</v>
      </c>
      <c r="T2398" s="4">
        <f t="shared" si="225"/>
        <v>42292.849050925928</v>
      </c>
      <c r="U2398" s="5">
        <f>VLOOKUP(currency,Tables!$A$1:$C$14,3,FALSE)*pledged</f>
        <v>9.2000000000000011</v>
      </c>
    </row>
    <row r="2399" spans="1:21" ht="43.2" x14ac:dyDescent="0.55000000000000004">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222"/>
        <v>0</v>
      </c>
      <c r="P2399" s="16">
        <f t="shared" si="223"/>
        <v>0</v>
      </c>
      <c r="Q2399" t="str">
        <f t="shared" si="226"/>
        <v>technology</v>
      </c>
      <c r="R2399" t="str">
        <f t="shared" si="227"/>
        <v>web</v>
      </c>
      <c r="S2399" s="4">
        <f t="shared" si="224"/>
        <v>41976.88490740741</v>
      </c>
      <c r="T2399" s="4">
        <f t="shared" si="225"/>
        <v>42006.88490740741</v>
      </c>
      <c r="U2399" s="5">
        <f>VLOOKUP(currency,Tables!$A$1:$C$14,3,FALSE)*pledged</f>
        <v>0</v>
      </c>
    </row>
    <row r="2400" spans="1:21" ht="43.2" x14ac:dyDescent="0.55000000000000004">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222"/>
        <v>0</v>
      </c>
      <c r="P2400" s="16">
        <f t="shared" si="223"/>
        <v>0</v>
      </c>
      <c r="Q2400" t="str">
        <f t="shared" si="226"/>
        <v>technology</v>
      </c>
      <c r="R2400" t="str">
        <f t="shared" si="227"/>
        <v>web</v>
      </c>
      <c r="S2400" s="4">
        <f t="shared" si="224"/>
        <v>42157.916481481487</v>
      </c>
      <c r="T2400" s="4">
        <f t="shared" si="225"/>
        <v>42187.916481481487</v>
      </c>
      <c r="U2400" s="5">
        <f>VLOOKUP(currency,Tables!$A$1:$C$14,3,FALSE)*pledged</f>
        <v>0</v>
      </c>
    </row>
    <row r="2401" spans="1:21" ht="43.2" x14ac:dyDescent="0.55000000000000004">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222"/>
        <v>0</v>
      </c>
      <c r="P2401" s="16">
        <f t="shared" si="223"/>
        <v>0</v>
      </c>
      <c r="Q2401" t="str">
        <f t="shared" si="226"/>
        <v>technology</v>
      </c>
      <c r="R2401" t="str">
        <f t="shared" si="227"/>
        <v>web</v>
      </c>
      <c r="S2401" s="4">
        <f t="shared" si="224"/>
        <v>41956.853078703702</v>
      </c>
      <c r="T2401" s="4">
        <f t="shared" si="225"/>
        <v>41991.853078703702</v>
      </c>
      <c r="U2401" s="5">
        <f>VLOOKUP(currency,Tables!$A$1:$C$14,3,FALSE)*pledged</f>
        <v>0</v>
      </c>
    </row>
    <row r="2402" spans="1:21" ht="43.2" x14ac:dyDescent="0.55000000000000004">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222"/>
        <v>0</v>
      </c>
      <c r="P2402" s="16">
        <f t="shared" si="223"/>
        <v>0</v>
      </c>
      <c r="Q2402" t="str">
        <f t="shared" si="226"/>
        <v>technology</v>
      </c>
      <c r="R2402" t="str">
        <f t="shared" si="227"/>
        <v>web</v>
      </c>
      <c r="S2402" s="4">
        <f t="shared" si="224"/>
        <v>42444.268101851849</v>
      </c>
      <c r="T2402" s="4">
        <f t="shared" si="225"/>
        <v>42474.268101851849</v>
      </c>
      <c r="U2402" s="5">
        <f>VLOOKUP(currency,Tables!$A$1:$C$14,3,FALSE)*pledged</f>
        <v>0</v>
      </c>
    </row>
    <row r="2403" spans="1:21" ht="43.2" x14ac:dyDescent="0.55000000000000004">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16">
        <f t="shared" si="223"/>
        <v>22.333333333333332</v>
      </c>
      <c r="Q2403" t="str">
        <f t="shared" si="226"/>
        <v>food</v>
      </c>
      <c r="R2403" t="str">
        <f t="shared" si="227"/>
        <v>food trucks</v>
      </c>
      <c r="S2403" s="4">
        <f t="shared" si="224"/>
        <v>42374.822870370372</v>
      </c>
      <c r="T2403" s="4">
        <f t="shared" si="225"/>
        <v>42434.822870370372</v>
      </c>
      <c r="U2403" s="5">
        <f>VLOOKUP(currency,Tables!$A$1:$C$14,3,FALSE)*pledged</f>
        <v>201</v>
      </c>
    </row>
    <row r="2404" spans="1:21" x14ac:dyDescent="0.55000000000000004">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16">
        <f t="shared" si="223"/>
        <v>52</v>
      </c>
      <c r="Q2404" t="str">
        <f t="shared" si="226"/>
        <v>food</v>
      </c>
      <c r="R2404" t="str">
        <f t="shared" si="227"/>
        <v>food trucks</v>
      </c>
      <c r="S2404" s="4">
        <f t="shared" si="224"/>
        <v>42107.679756944446</v>
      </c>
      <c r="T2404" s="4">
        <f t="shared" si="225"/>
        <v>42137.679756944446</v>
      </c>
      <c r="U2404" s="5">
        <f>VLOOKUP(currency,Tables!$A$1:$C$14,3,FALSE)*pledged</f>
        <v>52</v>
      </c>
    </row>
    <row r="2405" spans="1:21" ht="43.2" x14ac:dyDescent="0.55000000000000004">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16">
        <f t="shared" si="223"/>
        <v>16.833333333333332</v>
      </c>
      <c r="Q2405" t="str">
        <f t="shared" si="226"/>
        <v>food</v>
      </c>
      <c r="R2405" t="str">
        <f t="shared" si="227"/>
        <v>food trucks</v>
      </c>
      <c r="S2405" s="4">
        <f t="shared" si="224"/>
        <v>42399.882615740738</v>
      </c>
      <c r="T2405" s="4">
        <f t="shared" si="225"/>
        <v>42459.840949074074</v>
      </c>
      <c r="U2405" s="5">
        <f>VLOOKUP(currency,Tables!$A$1:$C$14,3,FALSE)*pledged</f>
        <v>266.64</v>
      </c>
    </row>
    <row r="2406" spans="1:21" ht="43.2" x14ac:dyDescent="0.55000000000000004">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222"/>
        <v>0</v>
      </c>
      <c r="P2406" s="16">
        <f t="shared" si="223"/>
        <v>0</v>
      </c>
      <c r="Q2406" t="str">
        <f t="shared" si="226"/>
        <v>food</v>
      </c>
      <c r="R2406" t="str">
        <f t="shared" si="227"/>
        <v>food trucks</v>
      </c>
      <c r="S2406" s="4">
        <f t="shared" si="224"/>
        <v>42342.03943287037</v>
      </c>
      <c r="T2406" s="4">
        <f t="shared" si="225"/>
        <v>42372.03943287037</v>
      </c>
      <c r="U2406" s="5">
        <f>VLOOKUP(currency,Tables!$A$1:$C$14,3,FALSE)*pledged</f>
        <v>0</v>
      </c>
    </row>
    <row r="2407" spans="1:21" ht="43.2" x14ac:dyDescent="0.55000000000000004">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16">
        <f t="shared" si="223"/>
        <v>56.3</v>
      </c>
      <c r="Q2407" t="str">
        <f t="shared" si="226"/>
        <v>food</v>
      </c>
      <c r="R2407" t="str">
        <f t="shared" si="227"/>
        <v>food trucks</v>
      </c>
      <c r="S2407" s="4">
        <f t="shared" si="224"/>
        <v>42595.585358796292</v>
      </c>
      <c r="T2407" s="4">
        <f t="shared" si="225"/>
        <v>42616.585358796292</v>
      </c>
      <c r="U2407" s="5">
        <f>VLOOKUP(currency,Tables!$A$1:$C$14,3,FALSE)*pledged</f>
        <v>1126</v>
      </c>
    </row>
    <row r="2408" spans="1:21" ht="43.2" x14ac:dyDescent="0.55000000000000004">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16">
        <f t="shared" si="223"/>
        <v>84.0625</v>
      </c>
      <c r="Q2408" t="str">
        <f t="shared" si="226"/>
        <v>food</v>
      </c>
      <c r="R2408" t="str">
        <f t="shared" si="227"/>
        <v>food trucks</v>
      </c>
      <c r="S2408" s="4">
        <f t="shared" si="224"/>
        <v>41983.110995370371</v>
      </c>
      <c r="T2408" s="4">
        <f t="shared" si="225"/>
        <v>42023.110995370371</v>
      </c>
      <c r="U2408" s="5">
        <f>VLOOKUP(currency,Tables!$A$1:$C$14,3,FALSE)*pledged</f>
        <v>1345</v>
      </c>
    </row>
    <row r="2409" spans="1:21" ht="57.6" x14ac:dyDescent="0.55000000000000004">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16">
        <f t="shared" si="223"/>
        <v>168.39393939393941</v>
      </c>
      <c r="Q2409" t="str">
        <f t="shared" si="226"/>
        <v>food</v>
      </c>
      <c r="R2409" t="str">
        <f t="shared" si="227"/>
        <v>food trucks</v>
      </c>
      <c r="S2409" s="4">
        <f t="shared" si="224"/>
        <v>42082.575555555552</v>
      </c>
      <c r="T2409" s="4">
        <f t="shared" si="225"/>
        <v>42105.25</v>
      </c>
      <c r="U2409" s="5">
        <f>VLOOKUP(currency,Tables!$A$1:$C$14,3,FALSE)*pledged</f>
        <v>5557</v>
      </c>
    </row>
    <row r="2410" spans="1:21" ht="28.8" x14ac:dyDescent="0.55000000000000004">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222"/>
        <v>2E-3</v>
      </c>
      <c r="P2410" s="16">
        <f t="shared" si="223"/>
        <v>15</v>
      </c>
      <c r="Q2410" t="str">
        <f t="shared" si="226"/>
        <v>food</v>
      </c>
      <c r="R2410" t="str">
        <f t="shared" si="227"/>
        <v>food trucks</v>
      </c>
      <c r="S2410" s="4">
        <f t="shared" si="224"/>
        <v>41919.140706018516</v>
      </c>
      <c r="T2410" s="4">
        <f t="shared" si="225"/>
        <v>41949.182372685187</v>
      </c>
      <c r="U2410" s="5">
        <f>VLOOKUP(currency,Tables!$A$1:$C$14,3,FALSE)*pledged</f>
        <v>30</v>
      </c>
    </row>
    <row r="2411" spans="1:21" ht="28.8" x14ac:dyDescent="0.55000000000000004">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16">
        <f t="shared" si="223"/>
        <v>76.666666666666671</v>
      </c>
      <c r="Q2411" t="str">
        <f t="shared" si="226"/>
        <v>food</v>
      </c>
      <c r="R2411" t="str">
        <f t="shared" si="227"/>
        <v>food trucks</v>
      </c>
      <c r="S2411" s="4">
        <f t="shared" si="224"/>
        <v>42204.875868055555</v>
      </c>
      <c r="T2411" s="4">
        <f t="shared" si="225"/>
        <v>42234.875868055555</v>
      </c>
      <c r="U2411" s="5">
        <f>VLOOKUP(currency,Tables!$A$1:$C$14,3,FALSE)*pledged</f>
        <v>460</v>
      </c>
    </row>
    <row r="2412" spans="1:21" ht="57.6" x14ac:dyDescent="0.55000000000000004">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222"/>
        <v>0</v>
      </c>
      <c r="P2412" s="16">
        <f t="shared" si="223"/>
        <v>0</v>
      </c>
      <c r="Q2412" t="str">
        <f t="shared" si="226"/>
        <v>food</v>
      </c>
      <c r="R2412" t="str">
        <f t="shared" si="227"/>
        <v>food trucks</v>
      </c>
      <c r="S2412" s="4">
        <f t="shared" si="224"/>
        <v>42224.408275462964</v>
      </c>
      <c r="T2412" s="4">
        <f t="shared" si="225"/>
        <v>42254.408275462964</v>
      </c>
      <c r="U2412" s="5">
        <f>VLOOKUP(currency,Tables!$A$1:$C$14,3,FALSE)*pledged</f>
        <v>0</v>
      </c>
    </row>
    <row r="2413" spans="1:21" ht="43.2" x14ac:dyDescent="0.55000000000000004">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16">
        <f t="shared" si="223"/>
        <v>50.333333333333336</v>
      </c>
      <c r="Q2413" t="str">
        <f t="shared" si="226"/>
        <v>food</v>
      </c>
      <c r="R2413" t="str">
        <f t="shared" si="227"/>
        <v>food trucks</v>
      </c>
      <c r="S2413" s="4">
        <f t="shared" si="224"/>
        <v>42211.732430555552</v>
      </c>
      <c r="T2413" s="4">
        <f t="shared" si="225"/>
        <v>42241.732430555552</v>
      </c>
      <c r="U2413" s="5">
        <f>VLOOKUP(currency,Tables!$A$1:$C$14,3,FALSE)*pledged</f>
        <v>151</v>
      </c>
    </row>
    <row r="2414" spans="1:21" ht="43.2" x14ac:dyDescent="0.55000000000000004">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222"/>
        <v>0</v>
      </c>
      <c r="P2414" s="16">
        <f t="shared" si="223"/>
        <v>0</v>
      </c>
      <c r="Q2414" t="str">
        <f t="shared" si="226"/>
        <v>food</v>
      </c>
      <c r="R2414" t="str">
        <f t="shared" si="227"/>
        <v>food trucks</v>
      </c>
      <c r="S2414" s="4">
        <f t="shared" si="224"/>
        <v>42655.736956018518</v>
      </c>
      <c r="T2414" s="4">
        <f t="shared" si="225"/>
        <v>42700.778622685189</v>
      </c>
      <c r="U2414" s="5">
        <f>VLOOKUP(currency,Tables!$A$1:$C$14,3,FALSE)*pledged</f>
        <v>0</v>
      </c>
    </row>
    <row r="2415" spans="1:21" ht="43.2" x14ac:dyDescent="0.55000000000000004">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16">
        <f t="shared" si="223"/>
        <v>8.3333333333333339</v>
      </c>
      <c r="Q2415" t="str">
        <f t="shared" si="226"/>
        <v>food</v>
      </c>
      <c r="R2415" t="str">
        <f t="shared" si="227"/>
        <v>food trucks</v>
      </c>
      <c r="S2415" s="4">
        <f t="shared" si="224"/>
        <v>41760.10974537037</v>
      </c>
      <c r="T2415" s="4">
        <f t="shared" si="225"/>
        <v>41790.979166666664</v>
      </c>
      <c r="U2415" s="5">
        <f>VLOOKUP(currency,Tables!$A$1:$C$14,3,FALSE)*pledged</f>
        <v>25</v>
      </c>
    </row>
    <row r="2416" spans="1:21" ht="43.2" x14ac:dyDescent="0.55000000000000004">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16">
        <f t="shared" si="223"/>
        <v>35.384615384615387</v>
      </c>
      <c r="Q2416" t="str">
        <f t="shared" si="226"/>
        <v>food</v>
      </c>
      <c r="R2416" t="str">
        <f t="shared" si="227"/>
        <v>food trucks</v>
      </c>
      <c r="S2416" s="4">
        <f t="shared" si="224"/>
        <v>42198.695138888885</v>
      </c>
      <c r="T2416" s="4">
        <f t="shared" si="225"/>
        <v>42238.165972222225</v>
      </c>
      <c r="U2416" s="5">
        <f>VLOOKUP(currency,Tables!$A$1:$C$14,3,FALSE)*pledged</f>
        <v>460</v>
      </c>
    </row>
    <row r="2417" spans="1:21" ht="43.2" x14ac:dyDescent="0.55000000000000004">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16">
        <f t="shared" si="223"/>
        <v>55.833333333333336</v>
      </c>
      <c r="Q2417" t="str">
        <f t="shared" si="226"/>
        <v>food</v>
      </c>
      <c r="R2417" t="str">
        <f t="shared" si="227"/>
        <v>food trucks</v>
      </c>
      <c r="S2417" s="4">
        <f t="shared" si="224"/>
        <v>42536.862800925926</v>
      </c>
      <c r="T2417" s="4">
        <f t="shared" si="225"/>
        <v>42566.862800925926</v>
      </c>
      <c r="U2417" s="5">
        <f>VLOOKUP(currency,Tables!$A$1:$C$14,3,FALSE)*pledged</f>
        <v>335</v>
      </c>
    </row>
    <row r="2418" spans="1:21" ht="43.2" x14ac:dyDescent="0.55000000000000004">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16">
        <f t="shared" si="223"/>
        <v>5</v>
      </c>
      <c r="Q2418" t="str">
        <f t="shared" si="226"/>
        <v>food</v>
      </c>
      <c r="R2418" t="str">
        <f t="shared" si="227"/>
        <v>food trucks</v>
      </c>
      <c r="S2418" s="4">
        <f t="shared" si="224"/>
        <v>42019.737766203703</v>
      </c>
      <c r="T2418" s="4">
        <f t="shared" si="225"/>
        <v>42077.625</v>
      </c>
      <c r="U2418" s="5">
        <f>VLOOKUP(currency,Tables!$A$1:$C$14,3,FALSE)*pledged</f>
        <v>5</v>
      </c>
    </row>
    <row r="2419" spans="1:21" ht="43.2" x14ac:dyDescent="0.55000000000000004">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222"/>
        <v>0</v>
      </c>
      <c r="P2419" s="16">
        <f t="shared" si="223"/>
        <v>0</v>
      </c>
      <c r="Q2419" t="str">
        <f t="shared" si="226"/>
        <v>food</v>
      </c>
      <c r="R2419" t="str">
        <f t="shared" si="227"/>
        <v>food trucks</v>
      </c>
      <c r="S2419" s="4">
        <f t="shared" si="224"/>
        <v>41831.884108796294</v>
      </c>
      <c r="T2419" s="4">
        <f t="shared" si="225"/>
        <v>41861.884108796294</v>
      </c>
      <c r="U2419" s="5">
        <f>VLOOKUP(currency,Tables!$A$1:$C$14,3,FALSE)*pledged</f>
        <v>0</v>
      </c>
    </row>
    <row r="2420" spans="1:21" x14ac:dyDescent="0.55000000000000004">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16">
        <f t="shared" si="223"/>
        <v>1</v>
      </c>
      <c r="Q2420" t="str">
        <f t="shared" si="226"/>
        <v>food</v>
      </c>
      <c r="R2420" t="str">
        <f t="shared" si="227"/>
        <v>food trucks</v>
      </c>
      <c r="S2420" s="4">
        <f t="shared" si="224"/>
        <v>42027.856990740736</v>
      </c>
      <c r="T2420" s="4">
        <f t="shared" si="225"/>
        <v>42087.815324074079</v>
      </c>
      <c r="U2420" s="5">
        <f>VLOOKUP(currency,Tables!$A$1:$C$14,3,FALSE)*pledged</f>
        <v>5</v>
      </c>
    </row>
    <row r="2421" spans="1:21" ht="43.2" x14ac:dyDescent="0.55000000000000004">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222"/>
        <v>0</v>
      </c>
      <c r="P2421" s="16">
        <f t="shared" si="223"/>
        <v>0</v>
      </c>
      <c r="Q2421" t="str">
        <f t="shared" si="226"/>
        <v>food</v>
      </c>
      <c r="R2421" t="str">
        <f t="shared" si="227"/>
        <v>food trucks</v>
      </c>
      <c r="S2421" s="4">
        <f t="shared" si="224"/>
        <v>41993.738298611104</v>
      </c>
      <c r="T2421" s="4">
        <f t="shared" si="225"/>
        <v>42053.738298611104</v>
      </c>
      <c r="U2421" s="5">
        <f>VLOOKUP(currency,Tables!$A$1:$C$14,3,FALSE)*pledged</f>
        <v>0</v>
      </c>
    </row>
    <row r="2422" spans="1:21" ht="43.2" x14ac:dyDescent="0.55000000000000004">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16">
        <f t="shared" si="223"/>
        <v>69.472222222222229</v>
      </c>
      <c r="Q2422" t="str">
        <f t="shared" si="226"/>
        <v>food</v>
      </c>
      <c r="R2422" t="str">
        <f t="shared" si="227"/>
        <v>food trucks</v>
      </c>
      <c r="S2422" s="4">
        <f t="shared" si="224"/>
        <v>41893.028877314813</v>
      </c>
      <c r="T2422" s="4">
        <f t="shared" si="225"/>
        <v>41953.070543981477</v>
      </c>
      <c r="U2422" s="5">
        <f>VLOOKUP(currency,Tables!$A$1:$C$14,3,FALSE)*pledged</f>
        <v>2501</v>
      </c>
    </row>
    <row r="2423" spans="1:21" ht="28.8" x14ac:dyDescent="0.55000000000000004">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16">
        <f t="shared" si="223"/>
        <v>1</v>
      </c>
      <c r="Q2423" t="str">
        <f t="shared" si="226"/>
        <v>food</v>
      </c>
      <c r="R2423" t="str">
        <f t="shared" si="227"/>
        <v>food trucks</v>
      </c>
      <c r="S2423" s="4">
        <f t="shared" si="224"/>
        <v>42026.687453703707</v>
      </c>
      <c r="T2423" s="4">
        <f t="shared" si="225"/>
        <v>42056.687453703707</v>
      </c>
      <c r="U2423" s="5">
        <f>VLOOKUP(currency,Tables!$A$1:$C$14,3,FALSE)*pledged</f>
        <v>1</v>
      </c>
    </row>
    <row r="2424" spans="1:21" ht="28.8" x14ac:dyDescent="0.55000000000000004">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222"/>
        <v>2E-3</v>
      </c>
      <c r="P2424" s="16">
        <f t="shared" si="223"/>
        <v>1</v>
      </c>
      <c r="Q2424" t="str">
        <f t="shared" si="226"/>
        <v>food</v>
      </c>
      <c r="R2424" t="str">
        <f t="shared" si="227"/>
        <v>food trucks</v>
      </c>
      <c r="S2424" s="4">
        <f t="shared" si="224"/>
        <v>42044.724953703699</v>
      </c>
      <c r="T2424" s="4">
        <f t="shared" si="225"/>
        <v>42074.683287037042</v>
      </c>
      <c r="U2424" s="5">
        <f>VLOOKUP(currency,Tables!$A$1:$C$14,3,FALSE)*pledged</f>
        <v>1</v>
      </c>
    </row>
    <row r="2425" spans="1:21" ht="43.2" x14ac:dyDescent="0.55000000000000004">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16">
        <f t="shared" si="223"/>
        <v>8</v>
      </c>
      <c r="Q2425" t="str">
        <f t="shared" si="226"/>
        <v>food</v>
      </c>
      <c r="R2425" t="str">
        <f t="shared" si="227"/>
        <v>food trucks</v>
      </c>
      <c r="S2425" s="4">
        <f t="shared" si="224"/>
        <v>41974.704745370371</v>
      </c>
      <c r="T2425" s="4">
        <f t="shared" si="225"/>
        <v>42004.704745370371</v>
      </c>
      <c r="U2425" s="5">
        <f>VLOOKUP(currency,Tables!$A$1:$C$14,3,FALSE)*pledged</f>
        <v>8</v>
      </c>
    </row>
    <row r="2426" spans="1:21" ht="28.8" x14ac:dyDescent="0.55000000000000004">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16">
        <f t="shared" si="223"/>
        <v>34.444444444444443</v>
      </c>
      <c r="Q2426" t="str">
        <f t="shared" si="226"/>
        <v>food</v>
      </c>
      <c r="R2426" t="str">
        <f t="shared" si="227"/>
        <v>food trucks</v>
      </c>
      <c r="S2426" s="4">
        <f t="shared" si="224"/>
        <v>41909.892453703702</v>
      </c>
      <c r="T2426" s="4">
        <f t="shared" si="225"/>
        <v>41939.892453703702</v>
      </c>
      <c r="U2426" s="5">
        <f>VLOOKUP(currency,Tables!$A$1:$C$14,3,FALSE)*pledged</f>
        <v>310</v>
      </c>
    </row>
    <row r="2427" spans="1:21" ht="43.2" x14ac:dyDescent="0.55000000000000004">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16">
        <f t="shared" si="223"/>
        <v>1</v>
      </c>
      <c r="Q2427" t="str">
        <f t="shared" si="226"/>
        <v>food</v>
      </c>
      <c r="R2427" t="str">
        <f t="shared" si="227"/>
        <v>food trucks</v>
      </c>
      <c r="S2427" s="4">
        <f t="shared" si="224"/>
        <v>42502.913761574076</v>
      </c>
      <c r="T2427" s="4">
        <f t="shared" si="225"/>
        <v>42517.919444444444</v>
      </c>
      <c r="U2427" s="5">
        <f>VLOOKUP(currency,Tables!$A$1:$C$14,3,FALSE)*pledged</f>
        <v>1</v>
      </c>
    </row>
    <row r="2428" spans="1:21" ht="43.2" x14ac:dyDescent="0.55000000000000004">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222"/>
        <v>0</v>
      </c>
      <c r="P2428" s="16">
        <f t="shared" si="223"/>
        <v>0</v>
      </c>
      <c r="Q2428" t="str">
        <f t="shared" si="226"/>
        <v>food</v>
      </c>
      <c r="R2428" t="str">
        <f t="shared" si="227"/>
        <v>food trucks</v>
      </c>
      <c r="S2428" s="4">
        <f t="shared" si="224"/>
        <v>42164.170046296291</v>
      </c>
      <c r="T2428" s="4">
        <f t="shared" si="225"/>
        <v>42224.170046296291</v>
      </c>
      <c r="U2428" s="5">
        <f>VLOOKUP(currency,Tables!$A$1:$C$14,3,FALSE)*pledged</f>
        <v>0</v>
      </c>
    </row>
    <row r="2429" spans="1:21" ht="28.8" x14ac:dyDescent="0.55000000000000004">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16">
        <f t="shared" si="223"/>
        <v>1</v>
      </c>
      <c r="Q2429" t="str">
        <f t="shared" si="226"/>
        <v>food</v>
      </c>
      <c r="R2429" t="str">
        <f t="shared" si="227"/>
        <v>food trucks</v>
      </c>
      <c r="S2429" s="4">
        <f t="shared" si="224"/>
        <v>42412.318668981476</v>
      </c>
      <c r="T2429" s="4">
        <f t="shared" si="225"/>
        <v>42452.277002314819</v>
      </c>
      <c r="U2429" s="5">
        <f>VLOOKUP(currency,Tables!$A$1:$C$14,3,FALSE)*pledged</f>
        <v>1</v>
      </c>
    </row>
    <row r="2430" spans="1:21" ht="28.8" x14ac:dyDescent="0.55000000000000004">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16">
        <f t="shared" si="223"/>
        <v>1</v>
      </c>
      <c r="Q2430" t="str">
        <f t="shared" si="226"/>
        <v>food</v>
      </c>
      <c r="R2430" t="str">
        <f t="shared" si="227"/>
        <v>food trucks</v>
      </c>
      <c r="S2430" s="4">
        <f t="shared" si="224"/>
        <v>42045.784155092595</v>
      </c>
      <c r="T2430" s="4">
        <f t="shared" si="225"/>
        <v>42075.742488425924</v>
      </c>
      <c r="U2430" s="5">
        <f>VLOOKUP(currency,Tables!$A$1:$C$14,3,FALSE)*pledged</f>
        <v>1</v>
      </c>
    </row>
    <row r="2431" spans="1:21" ht="43.2" x14ac:dyDescent="0.55000000000000004">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16">
        <f t="shared" si="223"/>
        <v>501.25</v>
      </c>
      <c r="Q2431" t="str">
        <f t="shared" si="226"/>
        <v>food</v>
      </c>
      <c r="R2431" t="str">
        <f t="shared" si="227"/>
        <v>food trucks</v>
      </c>
      <c r="S2431" s="4">
        <f t="shared" si="224"/>
        <v>42734.879236111112</v>
      </c>
      <c r="T2431" s="4">
        <f t="shared" si="225"/>
        <v>42771.697222222225</v>
      </c>
      <c r="U2431" s="5">
        <f>VLOOKUP(currency,Tables!$A$1:$C$14,3,FALSE)*pledged</f>
        <v>220.55</v>
      </c>
    </row>
    <row r="2432" spans="1:21" ht="43.2" x14ac:dyDescent="0.55000000000000004">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16">
        <f t="shared" si="223"/>
        <v>10.5</v>
      </c>
      <c r="Q2432" t="str">
        <f t="shared" si="226"/>
        <v>food</v>
      </c>
      <c r="R2432" t="str">
        <f t="shared" si="227"/>
        <v>food trucks</v>
      </c>
      <c r="S2432" s="4">
        <f t="shared" si="224"/>
        <v>42382.130833333329</v>
      </c>
      <c r="T2432" s="4">
        <f t="shared" si="225"/>
        <v>42412.130833333329</v>
      </c>
      <c r="U2432" s="5">
        <f>VLOOKUP(currency,Tables!$A$1:$C$14,3,FALSE)*pledged</f>
        <v>21</v>
      </c>
    </row>
    <row r="2433" spans="1:21" ht="28.8" x14ac:dyDescent="0.55000000000000004">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16">
        <f t="shared" si="223"/>
        <v>1</v>
      </c>
      <c r="Q2433" t="str">
        <f t="shared" si="226"/>
        <v>food</v>
      </c>
      <c r="R2433" t="str">
        <f t="shared" si="227"/>
        <v>food trucks</v>
      </c>
      <c r="S2433" s="4">
        <f t="shared" si="224"/>
        <v>42489.099687499998</v>
      </c>
      <c r="T2433" s="4">
        <f t="shared" si="225"/>
        <v>42549.099687499998</v>
      </c>
      <c r="U2433" s="5">
        <f>VLOOKUP(currency,Tables!$A$1:$C$14,3,FALSE)*pledged</f>
        <v>2</v>
      </c>
    </row>
    <row r="2434" spans="1:21" ht="43.2" x14ac:dyDescent="0.55000000000000004">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ref="O2434:O2497" si="228">pledged/goal</f>
        <v>1.4285714285714287E-4</v>
      </c>
      <c r="P2434" s="16">
        <f t="shared" ref="P2434:P2497" si="229">IF(pledged=0,0,pledged/backers_count)</f>
        <v>1</v>
      </c>
      <c r="Q2434" t="str">
        <f t="shared" si="226"/>
        <v>food</v>
      </c>
      <c r="R2434" t="str">
        <f t="shared" si="227"/>
        <v>food trucks</v>
      </c>
      <c r="S2434" s="4">
        <f t="shared" ref="S2434:S2497" si="230">(((Unix_launched_date/60)/60)/24)+DATE(1970,1,1)</f>
        <v>42041.218715277777</v>
      </c>
      <c r="T2434" s="4">
        <f t="shared" ref="T2434:T2497" si="231">(((Unix_deadline/60)/60)/24)+DATE(1970,1,1)</f>
        <v>42071.218715277777</v>
      </c>
      <c r="U2434" s="5">
        <f>VLOOKUP(currency,Tables!$A$1:$C$14,3,FALSE)*pledged</f>
        <v>2</v>
      </c>
    </row>
    <row r="2435" spans="1:21" ht="43.2" x14ac:dyDescent="0.55000000000000004">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si="228"/>
        <v>0</v>
      </c>
      <c r="P2435" s="16">
        <f t="shared" si="229"/>
        <v>0</v>
      </c>
      <c r="Q2435" t="str">
        <f t="shared" ref="Q2435:Q2498" si="232">LEFT(N2435,FIND("/",N2435,1)-1)</f>
        <v>food</v>
      </c>
      <c r="R2435" t="str">
        <f t="shared" ref="R2435:R2498" si="233">RIGHT(N2435,(LEN(N2435)-FIND("/",N2435,1)))</f>
        <v>food trucks</v>
      </c>
      <c r="S2435" s="4">
        <f t="shared" si="230"/>
        <v>42397.89980324074</v>
      </c>
      <c r="T2435" s="4">
        <f t="shared" si="231"/>
        <v>42427.89980324074</v>
      </c>
      <c r="U2435" s="5">
        <f>VLOOKUP(currency,Tables!$A$1:$C$14,3,FALSE)*pledged</f>
        <v>0</v>
      </c>
    </row>
    <row r="2436" spans="1:21" ht="43.2" x14ac:dyDescent="0.55000000000000004">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16">
        <f t="shared" si="229"/>
        <v>13</v>
      </c>
      <c r="Q2436" t="str">
        <f t="shared" si="232"/>
        <v>food</v>
      </c>
      <c r="R2436" t="str">
        <f t="shared" si="233"/>
        <v>food trucks</v>
      </c>
      <c r="S2436" s="4">
        <f t="shared" si="230"/>
        <v>42180.18604166666</v>
      </c>
      <c r="T2436" s="4">
        <f t="shared" si="231"/>
        <v>42220.18604166666</v>
      </c>
      <c r="U2436" s="5">
        <f>VLOOKUP(currency,Tables!$A$1:$C$14,3,FALSE)*pledged</f>
        <v>26</v>
      </c>
    </row>
    <row r="2437" spans="1:21" ht="43.2" x14ac:dyDescent="0.55000000000000004">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16">
        <f t="shared" si="229"/>
        <v>306</v>
      </c>
      <c r="Q2437" t="str">
        <f t="shared" si="232"/>
        <v>food</v>
      </c>
      <c r="R2437" t="str">
        <f t="shared" si="233"/>
        <v>food trucks</v>
      </c>
      <c r="S2437" s="4">
        <f t="shared" si="230"/>
        <v>42252.277615740735</v>
      </c>
      <c r="T2437" s="4">
        <f t="shared" si="231"/>
        <v>42282.277615740735</v>
      </c>
      <c r="U2437" s="5">
        <f>VLOOKUP(currency,Tables!$A$1:$C$14,3,FALSE)*pledged</f>
        <v>134.64000000000001</v>
      </c>
    </row>
    <row r="2438" spans="1:21" ht="43.2" x14ac:dyDescent="0.55000000000000004">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16">
        <f t="shared" si="229"/>
        <v>22.5</v>
      </c>
      <c r="Q2438" t="str">
        <f t="shared" si="232"/>
        <v>food</v>
      </c>
      <c r="R2438" t="str">
        <f t="shared" si="233"/>
        <v>food trucks</v>
      </c>
      <c r="S2438" s="4">
        <f t="shared" si="230"/>
        <v>42338.615393518514</v>
      </c>
      <c r="T2438" s="4">
        <f t="shared" si="231"/>
        <v>42398.615393518514</v>
      </c>
      <c r="U2438" s="5">
        <f>VLOOKUP(currency,Tables!$A$1:$C$14,3,FALSE)*pledged</f>
        <v>34.200000000000003</v>
      </c>
    </row>
    <row r="2439" spans="1:21" ht="43.2" x14ac:dyDescent="0.55000000000000004">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228"/>
        <v>0</v>
      </c>
      <c r="P2439" s="16">
        <f t="shared" si="229"/>
        <v>0</v>
      </c>
      <c r="Q2439" t="str">
        <f t="shared" si="232"/>
        <v>food</v>
      </c>
      <c r="R2439" t="str">
        <f t="shared" si="233"/>
        <v>food trucks</v>
      </c>
      <c r="S2439" s="4">
        <f t="shared" si="230"/>
        <v>42031.965138888889</v>
      </c>
      <c r="T2439" s="4">
        <f t="shared" si="231"/>
        <v>42080.75</v>
      </c>
      <c r="U2439" s="5">
        <f>VLOOKUP(currency,Tables!$A$1:$C$14,3,FALSE)*pledged</f>
        <v>0</v>
      </c>
    </row>
    <row r="2440" spans="1:21" ht="43.2" x14ac:dyDescent="0.55000000000000004">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16">
        <f t="shared" si="229"/>
        <v>50</v>
      </c>
      <c r="Q2440" t="str">
        <f t="shared" si="232"/>
        <v>food</v>
      </c>
      <c r="R2440" t="str">
        <f t="shared" si="233"/>
        <v>food trucks</v>
      </c>
      <c r="S2440" s="4">
        <f t="shared" si="230"/>
        <v>42285.91506944444</v>
      </c>
      <c r="T2440" s="4">
        <f t="shared" si="231"/>
        <v>42345.956736111111</v>
      </c>
      <c r="U2440" s="5">
        <f>VLOOKUP(currency,Tables!$A$1:$C$14,3,FALSE)*pledged</f>
        <v>50</v>
      </c>
    </row>
    <row r="2441" spans="1:21" ht="43.2" x14ac:dyDescent="0.55000000000000004">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228"/>
        <v>0</v>
      </c>
      <c r="P2441" s="16">
        <f t="shared" si="229"/>
        <v>0</v>
      </c>
      <c r="Q2441" t="str">
        <f t="shared" si="232"/>
        <v>food</v>
      </c>
      <c r="R2441" t="str">
        <f t="shared" si="233"/>
        <v>food trucks</v>
      </c>
      <c r="S2441" s="4">
        <f t="shared" si="230"/>
        <v>42265.818622685183</v>
      </c>
      <c r="T2441" s="4">
        <f t="shared" si="231"/>
        <v>42295.818622685183</v>
      </c>
      <c r="U2441" s="5">
        <f>VLOOKUP(currency,Tables!$A$1:$C$14,3,FALSE)*pledged</f>
        <v>0</v>
      </c>
    </row>
    <row r="2442" spans="1:21" ht="28.8" x14ac:dyDescent="0.55000000000000004">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228"/>
        <v>2E-3</v>
      </c>
      <c r="P2442" s="16">
        <f t="shared" si="229"/>
        <v>5</v>
      </c>
      <c r="Q2442" t="str">
        <f t="shared" si="232"/>
        <v>food</v>
      </c>
      <c r="R2442" t="str">
        <f t="shared" si="233"/>
        <v>food trucks</v>
      </c>
      <c r="S2442" s="4">
        <f t="shared" si="230"/>
        <v>42383.899456018517</v>
      </c>
      <c r="T2442" s="4">
        <f t="shared" si="231"/>
        <v>42413.899456018517</v>
      </c>
      <c r="U2442" s="5">
        <f>VLOOKUP(currency,Tables!$A$1:$C$14,3,FALSE)*pledged</f>
        <v>11.799999999999999</v>
      </c>
    </row>
    <row r="2443" spans="1:21" ht="28.8" x14ac:dyDescent="0.55000000000000004">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16">
        <f t="shared" si="229"/>
        <v>74.22935779816514</v>
      </c>
      <c r="Q2443" t="str">
        <f t="shared" si="232"/>
        <v>food</v>
      </c>
      <c r="R2443" t="str">
        <f t="shared" si="233"/>
        <v>small batch</v>
      </c>
      <c r="S2443" s="4">
        <f t="shared" si="230"/>
        <v>42187.125625000001</v>
      </c>
      <c r="T2443" s="4">
        <f t="shared" si="231"/>
        <v>42208.207638888889</v>
      </c>
      <c r="U2443" s="5">
        <f>VLOOKUP(currency,Tables!$A$1:$C$14,3,FALSE)*pledged</f>
        <v>8091</v>
      </c>
    </row>
    <row r="2444" spans="1:21" ht="28.8" x14ac:dyDescent="0.55000000000000004">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16">
        <f t="shared" si="229"/>
        <v>81.252688172043008</v>
      </c>
      <c r="Q2444" t="str">
        <f t="shared" si="232"/>
        <v>food</v>
      </c>
      <c r="R2444" t="str">
        <f t="shared" si="233"/>
        <v>small batch</v>
      </c>
      <c r="S2444" s="4">
        <f t="shared" si="230"/>
        <v>42052.666990740734</v>
      </c>
      <c r="T2444" s="4">
        <f t="shared" si="231"/>
        <v>42082.625324074077</v>
      </c>
      <c r="U2444" s="5">
        <f>VLOOKUP(currency,Tables!$A$1:$C$14,3,FALSE)*pledged</f>
        <v>30226</v>
      </c>
    </row>
    <row r="2445" spans="1:21" ht="43.2" x14ac:dyDescent="0.55000000000000004">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16">
        <f t="shared" si="229"/>
        <v>130.23469453376205</v>
      </c>
      <c r="Q2445" t="str">
        <f t="shared" si="232"/>
        <v>food</v>
      </c>
      <c r="R2445" t="str">
        <f t="shared" si="233"/>
        <v>small batch</v>
      </c>
      <c r="S2445" s="4">
        <f t="shared" si="230"/>
        <v>41836.625254629631</v>
      </c>
      <c r="T2445" s="4">
        <f t="shared" si="231"/>
        <v>41866.625254629631</v>
      </c>
      <c r="U2445" s="5">
        <f>VLOOKUP(currency,Tables!$A$1:$C$14,3,FALSE)*pledged</f>
        <v>40502.99</v>
      </c>
    </row>
    <row r="2446" spans="1:21" ht="43.2" x14ac:dyDescent="0.55000000000000004">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16">
        <f t="shared" si="229"/>
        <v>53.409836065573771</v>
      </c>
      <c r="Q2446" t="str">
        <f t="shared" si="232"/>
        <v>food</v>
      </c>
      <c r="R2446" t="str">
        <f t="shared" si="233"/>
        <v>small batch</v>
      </c>
      <c r="S2446" s="4">
        <f t="shared" si="230"/>
        <v>42485.754525462966</v>
      </c>
      <c r="T2446" s="4">
        <f t="shared" si="231"/>
        <v>42515.754525462966</v>
      </c>
      <c r="U2446" s="5">
        <f>VLOOKUP(currency,Tables!$A$1:$C$14,3,FALSE)*pledged</f>
        <v>3258</v>
      </c>
    </row>
    <row r="2447" spans="1:21" ht="57.6" x14ac:dyDescent="0.55000000000000004">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16">
        <f t="shared" si="229"/>
        <v>75.130434782608702</v>
      </c>
      <c r="Q2447" t="str">
        <f t="shared" si="232"/>
        <v>food</v>
      </c>
      <c r="R2447" t="str">
        <f t="shared" si="233"/>
        <v>small batch</v>
      </c>
      <c r="S2447" s="4">
        <f t="shared" si="230"/>
        <v>42243.190057870372</v>
      </c>
      <c r="T2447" s="4">
        <f t="shared" si="231"/>
        <v>42273.190057870372</v>
      </c>
      <c r="U2447" s="5">
        <f>VLOOKUP(currency,Tables!$A$1:$C$14,3,FALSE)*pledged</f>
        <v>8640</v>
      </c>
    </row>
    <row r="2448" spans="1:21" ht="43.2" x14ac:dyDescent="0.55000000000000004">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16">
        <f t="shared" si="229"/>
        <v>75.666666666666671</v>
      </c>
      <c r="Q2448" t="str">
        <f t="shared" si="232"/>
        <v>food</v>
      </c>
      <c r="R2448" t="str">
        <f t="shared" si="233"/>
        <v>small batch</v>
      </c>
      <c r="S2448" s="4">
        <f t="shared" si="230"/>
        <v>42670.602673611109</v>
      </c>
      <c r="T2448" s="4">
        <f t="shared" si="231"/>
        <v>42700.64434027778</v>
      </c>
      <c r="U2448" s="5">
        <f>VLOOKUP(currency,Tables!$A$1:$C$14,3,FALSE)*pledged</f>
        <v>8399</v>
      </c>
    </row>
    <row r="2449" spans="1:21" ht="43.2" x14ac:dyDescent="0.55000000000000004">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16">
        <f t="shared" si="229"/>
        <v>31.691394658753708</v>
      </c>
      <c r="Q2449" t="str">
        <f t="shared" si="232"/>
        <v>food</v>
      </c>
      <c r="R2449" t="str">
        <f t="shared" si="233"/>
        <v>small batch</v>
      </c>
      <c r="S2449" s="4">
        <f t="shared" si="230"/>
        <v>42654.469826388886</v>
      </c>
      <c r="T2449" s="4">
        <f t="shared" si="231"/>
        <v>42686.166666666672</v>
      </c>
      <c r="U2449" s="5">
        <f>VLOOKUP(currency,Tables!$A$1:$C$14,3,FALSE)*pledged</f>
        <v>10680</v>
      </c>
    </row>
    <row r="2450" spans="1:21" ht="43.2" x14ac:dyDescent="0.55000000000000004">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228"/>
        <v>1.075</v>
      </c>
      <c r="P2450" s="16">
        <f t="shared" si="229"/>
        <v>47.777777777777779</v>
      </c>
      <c r="Q2450" t="str">
        <f t="shared" si="232"/>
        <v>food</v>
      </c>
      <c r="R2450" t="str">
        <f t="shared" si="233"/>
        <v>small batch</v>
      </c>
      <c r="S2450" s="4">
        <f t="shared" si="230"/>
        <v>42607.316122685181</v>
      </c>
      <c r="T2450" s="4">
        <f t="shared" si="231"/>
        <v>42613.233333333337</v>
      </c>
      <c r="U2450" s="5">
        <f>VLOOKUP(currency,Tables!$A$1:$C$14,3,FALSE)*pledged</f>
        <v>430</v>
      </c>
    </row>
    <row r="2451" spans="1:21" ht="43.2" x14ac:dyDescent="0.55000000000000004">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16">
        <f t="shared" si="229"/>
        <v>90</v>
      </c>
      <c r="Q2451" t="str">
        <f t="shared" si="232"/>
        <v>food</v>
      </c>
      <c r="R2451" t="str">
        <f t="shared" si="233"/>
        <v>small batch</v>
      </c>
      <c r="S2451" s="4">
        <f t="shared" si="230"/>
        <v>41943.142534722225</v>
      </c>
      <c r="T2451" s="4">
        <f t="shared" si="231"/>
        <v>41973.184201388889</v>
      </c>
      <c r="U2451" s="5">
        <f>VLOOKUP(currency,Tables!$A$1:$C$14,3,FALSE)*pledged</f>
        <v>10800</v>
      </c>
    </row>
    <row r="2452" spans="1:21" ht="43.2" x14ac:dyDescent="0.55000000000000004">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16">
        <f t="shared" si="229"/>
        <v>149.31401960784314</v>
      </c>
      <c r="Q2452" t="str">
        <f t="shared" si="232"/>
        <v>food</v>
      </c>
      <c r="R2452" t="str">
        <f t="shared" si="233"/>
        <v>small batch</v>
      </c>
      <c r="S2452" s="4">
        <f t="shared" si="230"/>
        <v>41902.07240740741</v>
      </c>
      <c r="T2452" s="4">
        <f t="shared" si="231"/>
        <v>41940.132638888892</v>
      </c>
      <c r="U2452" s="5">
        <f>VLOOKUP(currency,Tables!$A$1:$C$14,3,FALSE)*pledged</f>
        <v>15230.03</v>
      </c>
    </row>
    <row r="2453" spans="1:21" ht="43.2" x14ac:dyDescent="0.55000000000000004">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16">
        <f t="shared" si="229"/>
        <v>62.06989247311828</v>
      </c>
      <c r="Q2453" t="str">
        <f t="shared" si="232"/>
        <v>food</v>
      </c>
      <c r="R2453" t="str">
        <f t="shared" si="233"/>
        <v>small batch</v>
      </c>
      <c r="S2453" s="4">
        <f t="shared" si="230"/>
        <v>42779.908449074079</v>
      </c>
      <c r="T2453" s="4">
        <f t="shared" si="231"/>
        <v>42799.908449074079</v>
      </c>
      <c r="U2453" s="5">
        <f>VLOOKUP(currency,Tables!$A$1:$C$14,3,FALSE)*pledged</f>
        <v>11545</v>
      </c>
    </row>
    <row r="2454" spans="1:21" ht="43.2" x14ac:dyDescent="0.55000000000000004">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228"/>
        <v>1.335</v>
      </c>
      <c r="P2454" s="16">
        <f t="shared" si="229"/>
        <v>53.4</v>
      </c>
      <c r="Q2454" t="str">
        <f t="shared" si="232"/>
        <v>food</v>
      </c>
      <c r="R2454" t="str">
        <f t="shared" si="233"/>
        <v>small batch</v>
      </c>
      <c r="S2454" s="4">
        <f t="shared" si="230"/>
        <v>42338.84375</v>
      </c>
      <c r="T2454" s="4">
        <f t="shared" si="231"/>
        <v>42367.958333333328</v>
      </c>
      <c r="U2454" s="5">
        <f>VLOOKUP(currency,Tables!$A$1:$C$14,3,FALSE)*pledged</f>
        <v>801</v>
      </c>
    </row>
    <row r="2455" spans="1:21" ht="43.2" x14ac:dyDescent="0.55000000000000004">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16">
        <f t="shared" si="229"/>
        <v>69.268656716417908</v>
      </c>
      <c r="Q2455" t="str">
        <f t="shared" si="232"/>
        <v>food</v>
      </c>
      <c r="R2455" t="str">
        <f t="shared" si="233"/>
        <v>small batch</v>
      </c>
      <c r="S2455" s="4">
        <f t="shared" si="230"/>
        <v>42738.692233796297</v>
      </c>
      <c r="T2455" s="4">
        <f t="shared" si="231"/>
        <v>42768.692233796297</v>
      </c>
      <c r="U2455" s="5">
        <f>VLOOKUP(currency,Tables!$A$1:$C$14,3,FALSE)*pledged</f>
        <v>4641</v>
      </c>
    </row>
    <row r="2456" spans="1:21" ht="43.2" x14ac:dyDescent="0.55000000000000004">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16">
        <f t="shared" si="229"/>
        <v>271.50769230769231</v>
      </c>
      <c r="Q2456" t="str">
        <f t="shared" si="232"/>
        <v>food</v>
      </c>
      <c r="R2456" t="str">
        <f t="shared" si="233"/>
        <v>small batch</v>
      </c>
      <c r="S2456" s="4">
        <f t="shared" si="230"/>
        <v>42770.201481481476</v>
      </c>
      <c r="T2456" s="4">
        <f t="shared" si="231"/>
        <v>42805.201481481476</v>
      </c>
      <c r="U2456" s="5">
        <f>VLOOKUP(currency,Tables!$A$1:$C$14,3,FALSE)*pledged</f>
        <v>35296</v>
      </c>
    </row>
    <row r="2457" spans="1:21" ht="43.2" x14ac:dyDescent="0.55000000000000004">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228"/>
        <v>1.82</v>
      </c>
      <c r="P2457" s="16">
        <f t="shared" si="229"/>
        <v>34.125</v>
      </c>
      <c r="Q2457" t="str">
        <f t="shared" si="232"/>
        <v>food</v>
      </c>
      <c r="R2457" t="str">
        <f t="shared" si="233"/>
        <v>small batch</v>
      </c>
      <c r="S2457" s="4">
        <f t="shared" si="230"/>
        <v>42452.781828703708</v>
      </c>
      <c r="T2457" s="4">
        <f t="shared" si="231"/>
        <v>42480.781828703708</v>
      </c>
      <c r="U2457" s="5">
        <f>VLOOKUP(currency,Tables!$A$1:$C$14,3,FALSE)*pledged</f>
        <v>546</v>
      </c>
    </row>
    <row r="2458" spans="1:21" ht="43.2" x14ac:dyDescent="0.55000000000000004">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16">
        <f t="shared" si="229"/>
        <v>40.492537313432834</v>
      </c>
      <c r="Q2458" t="str">
        <f t="shared" si="232"/>
        <v>food</v>
      </c>
      <c r="R2458" t="str">
        <f t="shared" si="233"/>
        <v>small batch</v>
      </c>
      <c r="S2458" s="4">
        <f t="shared" si="230"/>
        <v>42761.961099537039</v>
      </c>
      <c r="T2458" s="4">
        <f t="shared" si="231"/>
        <v>42791.961099537039</v>
      </c>
      <c r="U2458" s="5">
        <f>VLOOKUP(currency,Tables!$A$1:$C$14,3,FALSE)*pledged</f>
        <v>2713</v>
      </c>
    </row>
    <row r="2459" spans="1:21" ht="43.2" x14ac:dyDescent="0.55000000000000004">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16">
        <f t="shared" si="229"/>
        <v>189.75806451612902</v>
      </c>
      <c r="Q2459" t="str">
        <f t="shared" si="232"/>
        <v>food</v>
      </c>
      <c r="R2459" t="str">
        <f t="shared" si="233"/>
        <v>small batch</v>
      </c>
      <c r="S2459" s="4">
        <f t="shared" si="230"/>
        <v>42423.602500000001</v>
      </c>
      <c r="T2459" s="4">
        <f t="shared" si="231"/>
        <v>42453.560833333337</v>
      </c>
      <c r="U2459" s="5">
        <f>VLOOKUP(currency,Tables!$A$1:$C$14,3,FALSE)*pledged</f>
        <v>23530</v>
      </c>
    </row>
    <row r="2460" spans="1:21" ht="43.2" x14ac:dyDescent="0.55000000000000004">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16">
        <f t="shared" si="229"/>
        <v>68.862499999999997</v>
      </c>
      <c r="Q2460" t="str">
        <f t="shared" si="232"/>
        <v>food</v>
      </c>
      <c r="R2460" t="str">
        <f t="shared" si="233"/>
        <v>small batch</v>
      </c>
      <c r="S2460" s="4">
        <f t="shared" si="230"/>
        <v>42495.871736111112</v>
      </c>
      <c r="T2460" s="4">
        <f t="shared" si="231"/>
        <v>42530.791666666672</v>
      </c>
      <c r="U2460" s="5">
        <f>VLOOKUP(currency,Tables!$A$1:$C$14,3,FALSE)*pledged</f>
        <v>5509</v>
      </c>
    </row>
    <row r="2461" spans="1:21" ht="43.2" x14ac:dyDescent="0.55000000000000004">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16">
        <f t="shared" si="229"/>
        <v>108.77659574468085</v>
      </c>
      <c r="Q2461" t="str">
        <f t="shared" si="232"/>
        <v>food</v>
      </c>
      <c r="R2461" t="str">
        <f t="shared" si="233"/>
        <v>small batch</v>
      </c>
      <c r="S2461" s="4">
        <f t="shared" si="230"/>
        <v>42407.637557870374</v>
      </c>
      <c r="T2461" s="4">
        <f t="shared" si="231"/>
        <v>42452.595891203702</v>
      </c>
      <c r="U2461" s="5">
        <f>VLOOKUP(currency,Tables!$A$1:$C$14,3,FALSE)*pledged</f>
        <v>30675</v>
      </c>
    </row>
    <row r="2462" spans="1:21" ht="43.2" x14ac:dyDescent="0.55000000000000004">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16">
        <f t="shared" si="229"/>
        <v>125.98529411764706</v>
      </c>
      <c r="Q2462" t="str">
        <f t="shared" si="232"/>
        <v>food</v>
      </c>
      <c r="R2462" t="str">
        <f t="shared" si="233"/>
        <v>small batch</v>
      </c>
      <c r="S2462" s="4">
        <f t="shared" si="230"/>
        <v>42704.187118055561</v>
      </c>
      <c r="T2462" s="4">
        <f t="shared" si="231"/>
        <v>42738.178472222222</v>
      </c>
      <c r="U2462" s="5">
        <f>VLOOKUP(currency,Tables!$A$1:$C$14,3,FALSE)*pledged</f>
        <v>8567</v>
      </c>
    </row>
    <row r="2463" spans="1:21" ht="43.2" x14ac:dyDescent="0.55000000000000004">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16">
        <f t="shared" si="229"/>
        <v>90.523255813953483</v>
      </c>
      <c r="Q2463" t="str">
        <f t="shared" si="232"/>
        <v>music</v>
      </c>
      <c r="R2463" t="str">
        <f t="shared" si="233"/>
        <v>indie rock</v>
      </c>
      <c r="S2463" s="4">
        <f t="shared" si="230"/>
        <v>40784.012696759259</v>
      </c>
      <c r="T2463" s="4">
        <f t="shared" si="231"/>
        <v>40817.125</v>
      </c>
      <c r="U2463" s="5">
        <f>VLOOKUP(currency,Tables!$A$1:$C$14,3,FALSE)*pledged</f>
        <v>7785</v>
      </c>
    </row>
    <row r="2464" spans="1:21" ht="43.2" x14ac:dyDescent="0.55000000000000004">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16">
        <f t="shared" si="229"/>
        <v>28.880434782608695</v>
      </c>
      <c r="Q2464" t="str">
        <f t="shared" si="232"/>
        <v>music</v>
      </c>
      <c r="R2464" t="str">
        <f t="shared" si="233"/>
        <v>indie rock</v>
      </c>
      <c r="S2464" s="4">
        <f t="shared" si="230"/>
        <v>41089.186296296299</v>
      </c>
      <c r="T2464" s="4">
        <f t="shared" si="231"/>
        <v>41109.186296296299</v>
      </c>
      <c r="U2464" s="5">
        <f>VLOOKUP(currency,Tables!$A$1:$C$14,3,FALSE)*pledged</f>
        <v>3321.25</v>
      </c>
    </row>
    <row r="2465" spans="1:21" x14ac:dyDescent="0.55000000000000004">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16">
        <f t="shared" si="229"/>
        <v>31</v>
      </c>
      <c r="Q2465" t="str">
        <f t="shared" si="232"/>
        <v>music</v>
      </c>
      <c r="R2465" t="str">
        <f t="shared" si="233"/>
        <v>indie rock</v>
      </c>
      <c r="S2465" s="4">
        <f t="shared" si="230"/>
        <v>41341.111400462964</v>
      </c>
      <c r="T2465" s="4">
        <f t="shared" si="231"/>
        <v>41380.791666666664</v>
      </c>
      <c r="U2465" s="5">
        <f>VLOOKUP(currency,Tables!$A$1:$C$14,3,FALSE)*pledged</f>
        <v>2325</v>
      </c>
    </row>
    <row r="2466" spans="1:21" ht="43.2" x14ac:dyDescent="0.55000000000000004">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16">
        <f t="shared" si="229"/>
        <v>51.674418604651166</v>
      </c>
      <c r="Q2466" t="str">
        <f t="shared" si="232"/>
        <v>music</v>
      </c>
      <c r="R2466" t="str">
        <f t="shared" si="233"/>
        <v>indie rock</v>
      </c>
      <c r="S2466" s="4">
        <f t="shared" si="230"/>
        <v>42248.90042824074</v>
      </c>
      <c r="T2466" s="4">
        <f t="shared" si="231"/>
        <v>42277.811805555553</v>
      </c>
      <c r="U2466" s="5">
        <f>VLOOKUP(currency,Tables!$A$1:$C$14,3,FALSE)*pledged</f>
        <v>1688.72</v>
      </c>
    </row>
    <row r="2467" spans="1:21" ht="28.8" x14ac:dyDescent="0.55000000000000004">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16">
        <f t="shared" si="229"/>
        <v>26.270833333333332</v>
      </c>
      <c r="Q2467" t="str">
        <f t="shared" si="232"/>
        <v>music</v>
      </c>
      <c r="R2467" t="str">
        <f t="shared" si="233"/>
        <v>indie rock</v>
      </c>
      <c r="S2467" s="4">
        <f t="shared" si="230"/>
        <v>41145.719305555554</v>
      </c>
      <c r="T2467" s="4">
        <f t="shared" si="231"/>
        <v>41175.719305555554</v>
      </c>
      <c r="U2467" s="5">
        <f>VLOOKUP(currency,Tables!$A$1:$C$14,3,FALSE)*pledged</f>
        <v>1261</v>
      </c>
    </row>
    <row r="2468" spans="1:21" ht="43.2" x14ac:dyDescent="0.55000000000000004">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228"/>
        <v>1</v>
      </c>
      <c r="P2468" s="16">
        <f t="shared" si="229"/>
        <v>48.07692307692308</v>
      </c>
      <c r="Q2468" t="str">
        <f t="shared" si="232"/>
        <v>music</v>
      </c>
      <c r="R2468" t="str">
        <f t="shared" si="233"/>
        <v>indie rock</v>
      </c>
      <c r="S2468" s="4">
        <f t="shared" si="230"/>
        <v>41373.102465277778</v>
      </c>
      <c r="T2468" s="4">
        <f t="shared" si="231"/>
        <v>41403.102465277778</v>
      </c>
      <c r="U2468" s="5">
        <f>VLOOKUP(currency,Tables!$A$1:$C$14,3,FALSE)*pledged</f>
        <v>2500</v>
      </c>
    </row>
    <row r="2469" spans="1:21" ht="43.2" x14ac:dyDescent="0.55000000000000004">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16">
        <f t="shared" si="229"/>
        <v>27.558139534883722</v>
      </c>
      <c r="Q2469" t="str">
        <f t="shared" si="232"/>
        <v>music</v>
      </c>
      <c r="R2469" t="str">
        <f t="shared" si="233"/>
        <v>indie rock</v>
      </c>
      <c r="S2469" s="4">
        <f t="shared" si="230"/>
        <v>41025.874201388891</v>
      </c>
      <c r="T2469" s="4">
        <f t="shared" si="231"/>
        <v>41039.708333333336</v>
      </c>
      <c r="U2469" s="5">
        <f>VLOOKUP(currency,Tables!$A$1:$C$14,3,FALSE)*pledged</f>
        <v>1185</v>
      </c>
    </row>
    <row r="2470" spans="1:21" ht="28.8" x14ac:dyDescent="0.55000000000000004">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16">
        <f t="shared" si="229"/>
        <v>36.97137931034483</v>
      </c>
      <c r="Q2470" t="str">
        <f t="shared" si="232"/>
        <v>music</v>
      </c>
      <c r="R2470" t="str">
        <f t="shared" si="233"/>
        <v>indie rock</v>
      </c>
      <c r="S2470" s="4">
        <f t="shared" si="230"/>
        <v>41174.154178240737</v>
      </c>
      <c r="T2470" s="4">
        <f t="shared" si="231"/>
        <v>41210.208333333336</v>
      </c>
      <c r="U2470" s="5">
        <f>VLOOKUP(currency,Tables!$A$1:$C$14,3,FALSE)*pledged</f>
        <v>2144.34</v>
      </c>
    </row>
    <row r="2471" spans="1:21" ht="43.2" x14ac:dyDescent="0.55000000000000004">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16">
        <f t="shared" si="229"/>
        <v>29.021276595744681</v>
      </c>
      <c r="Q2471" t="str">
        <f t="shared" si="232"/>
        <v>music</v>
      </c>
      <c r="R2471" t="str">
        <f t="shared" si="233"/>
        <v>indie rock</v>
      </c>
      <c r="S2471" s="4">
        <f t="shared" si="230"/>
        <v>40557.429733796293</v>
      </c>
      <c r="T2471" s="4">
        <f t="shared" si="231"/>
        <v>40582.429733796293</v>
      </c>
      <c r="U2471" s="5">
        <f>VLOOKUP(currency,Tables!$A$1:$C$14,3,FALSE)*pledged</f>
        <v>1364</v>
      </c>
    </row>
    <row r="2472" spans="1:21" ht="43.2" x14ac:dyDescent="0.55000000000000004">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16">
        <f t="shared" si="229"/>
        <v>28.65666666666667</v>
      </c>
      <c r="Q2472" t="str">
        <f t="shared" si="232"/>
        <v>music</v>
      </c>
      <c r="R2472" t="str">
        <f t="shared" si="233"/>
        <v>indie rock</v>
      </c>
      <c r="S2472" s="4">
        <f t="shared" si="230"/>
        <v>41023.07471064815</v>
      </c>
      <c r="T2472" s="4">
        <f t="shared" si="231"/>
        <v>41053.07471064815</v>
      </c>
      <c r="U2472" s="5">
        <f>VLOOKUP(currency,Tables!$A$1:$C$14,3,FALSE)*pledged</f>
        <v>1031.6400000000001</v>
      </c>
    </row>
    <row r="2473" spans="1:21" ht="43.2" x14ac:dyDescent="0.55000000000000004">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228"/>
        <v>1.28</v>
      </c>
      <c r="P2473" s="16">
        <f t="shared" si="229"/>
        <v>37.647058823529413</v>
      </c>
      <c r="Q2473" t="str">
        <f t="shared" si="232"/>
        <v>music</v>
      </c>
      <c r="R2473" t="str">
        <f t="shared" si="233"/>
        <v>indie rock</v>
      </c>
      <c r="S2473" s="4">
        <f t="shared" si="230"/>
        <v>40893.992962962962</v>
      </c>
      <c r="T2473" s="4">
        <f t="shared" si="231"/>
        <v>40933.992962962962</v>
      </c>
      <c r="U2473" s="5">
        <f>VLOOKUP(currency,Tables!$A$1:$C$14,3,FALSE)*pledged</f>
        <v>640</v>
      </c>
    </row>
    <row r="2474" spans="1:21" ht="57.6" x14ac:dyDescent="0.55000000000000004">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16">
        <f t="shared" si="229"/>
        <v>97.904038461538462</v>
      </c>
      <c r="Q2474" t="str">
        <f t="shared" si="232"/>
        <v>music</v>
      </c>
      <c r="R2474" t="str">
        <f t="shared" si="233"/>
        <v>indie rock</v>
      </c>
      <c r="S2474" s="4">
        <f t="shared" si="230"/>
        <v>40354.11550925926</v>
      </c>
      <c r="T2474" s="4">
        <f t="shared" si="231"/>
        <v>40425.043749999997</v>
      </c>
      <c r="U2474" s="5">
        <f>VLOOKUP(currency,Tables!$A$1:$C$14,3,FALSE)*pledged</f>
        <v>10182.02</v>
      </c>
    </row>
    <row r="2475" spans="1:21" ht="43.2" x14ac:dyDescent="0.55000000000000004">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228"/>
        <v>1</v>
      </c>
      <c r="P2475" s="16">
        <f t="shared" si="229"/>
        <v>42.553191489361701</v>
      </c>
      <c r="Q2475" t="str">
        <f t="shared" si="232"/>
        <v>music</v>
      </c>
      <c r="R2475" t="str">
        <f t="shared" si="233"/>
        <v>indie rock</v>
      </c>
      <c r="S2475" s="4">
        <f t="shared" si="230"/>
        <v>41193.748483796298</v>
      </c>
      <c r="T2475" s="4">
        <f t="shared" si="231"/>
        <v>41223.790150462963</v>
      </c>
      <c r="U2475" s="5">
        <f>VLOOKUP(currency,Tables!$A$1:$C$14,3,FALSE)*pledged</f>
        <v>2000</v>
      </c>
    </row>
    <row r="2476" spans="1:21" ht="57.6" x14ac:dyDescent="0.55000000000000004">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16">
        <f t="shared" si="229"/>
        <v>131.58368421052631</v>
      </c>
      <c r="Q2476" t="str">
        <f t="shared" si="232"/>
        <v>music</v>
      </c>
      <c r="R2476" t="str">
        <f t="shared" si="233"/>
        <v>indie rock</v>
      </c>
      <c r="S2476" s="4">
        <f t="shared" si="230"/>
        <v>40417.011296296296</v>
      </c>
      <c r="T2476" s="4">
        <f t="shared" si="231"/>
        <v>40462.011296296296</v>
      </c>
      <c r="U2476" s="5">
        <f>VLOOKUP(currency,Tables!$A$1:$C$14,3,FALSE)*pledged</f>
        <v>5000.18</v>
      </c>
    </row>
    <row r="2477" spans="1:21" ht="28.8" x14ac:dyDescent="0.55000000000000004">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16">
        <f t="shared" si="229"/>
        <v>32.320987654320987</v>
      </c>
      <c r="Q2477" t="str">
        <f t="shared" si="232"/>
        <v>music</v>
      </c>
      <c r="R2477" t="str">
        <f t="shared" si="233"/>
        <v>indie rock</v>
      </c>
      <c r="S2477" s="4">
        <f t="shared" si="230"/>
        <v>40310.287673611114</v>
      </c>
      <c r="T2477" s="4">
        <f t="shared" si="231"/>
        <v>40369.916666666664</v>
      </c>
      <c r="U2477" s="5">
        <f>VLOOKUP(currency,Tables!$A$1:$C$14,3,FALSE)*pledged</f>
        <v>2618</v>
      </c>
    </row>
    <row r="2478" spans="1:21" ht="43.2" x14ac:dyDescent="0.55000000000000004">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16">
        <f t="shared" si="229"/>
        <v>61.103999999999999</v>
      </c>
      <c r="Q2478" t="str">
        <f t="shared" si="232"/>
        <v>music</v>
      </c>
      <c r="R2478" t="str">
        <f t="shared" si="233"/>
        <v>indie rock</v>
      </c>
      <c r="S2478" s="4">
        <f t="shared" si="230"/>
        <v>41913.328356481477</v>
      </c>
      <c r="T2478" s="4">
        <f t="shared" si="231"/>
        <v>41946.370023148149</v>
      </c>
      <c r="U2478" s="5">
        <f>VLOOKUP(currency,Tables!$A$1:$C$14,3,FALSE)*pledged</f>
        <v>3360.72</v>
      </c>
    </row>
    <row r="2479" spans="1:21" ht="28.8" x14ac:dyDescent="0.55000000000000004">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16">
        <f t="shared" si="229"/>
        <v>31.341463414634145</v>
      </c>
      <c r="Q2479" t="str">
        <f t="shared" si="232"/>
        <v>music</v>
      </c>
      <c r="R2479" t="str">
        <f t="shared" si="233"/>
        <v>indie rock</v>
      </c>
      <c r="S2479" s="4">
        <f t="shared" si="230"/>
        <v>41088.691493055558</v>
      </c>
      <c r="T2479" s="4">
        <f t="shared" si="231"/>
        <v>41133.691493055558</v>
      </c>
      <c r="U2479" s="5">
        <f>VLOOKUP(currency,Tables!$A$1:$C$14,3,FALSE)*pledged</f>
        <v>1285</v>
      </c>
    </row>
    <row r="2480" spans="1:21" ht="43.2" x14ac:dyDescent="0.55000000000000004">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16">
        <f t="shared" si="229"/>
        <v>129.1139240506329</v>
      </c>
      <c r="Q2480" t="str">
        <f t="shared" si="232"/>
        <v>music</v>
      </c>
      <c r="R2480" t="str">
        <f t="shared" si="233"/>
        <v>indie rock</v>
      </c>
      <c r="S2480" s="4">
        <f t="shared" si="230"/>
        <v>41257.950381944444</v>
      </c>
      <c r="T2480" s="4">
        <f t="shared" si="231"/>
        <v>41287.950381944444</v>
      </c>
      <c r="U2480" s="5">
        <f>VLOOKUP(currency,Tables!$A$1:$C$14,3,FALSE)*pledged</f>
        <v>10200</v>
      </c>
    </row>
    <row r="2481" spans="1:21" ht="28.8" x14ac:dyDescent="0.55000000000000004">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16">
        <f t="shared" si="229"/>
        <v>25.020624999999999</v>
      </c>
      <c r="Q2481" t="str">
        <f t="shared" si="232"/>
        <v>music</v>
      </c>
      <c r="R2481" t="str">
        <f t="shared" si="233"/>
        <v>indie rock</v>
      </c>
      <c r="S2481" s="4">
        <f t="shared" si="230"/>
        <v>41107.726782407408</v>
      </c>
      <c r="T2481" s="4">
        <f t="shared" si="231"/>
        <v>41118.083333333336</v>
      </c>
      <c r="U2481" s="5">
        <f>VLOOKUP(currency,Tables!$A$1:$C$14,3,FALSE)*pledged</f>
        <v>400.33</v>
      </c>
    </row>
    <row r="2482" spans="1:21" ht="43.2" x14ac:dyDescent="0.55000000000000004">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228"/>
        <v>1</v>
      </c>
      <c r="P2482" s="16">
        <f t="shared" si="229"/>
        <v>250</v>
      </c>
      <c r="Q2482" t="str">
        <f t="shared" si="232"/>
        <v>music</v>
      </c>
      <c r="R2482" t="str">
        <f t="shared" si="233"/>
        <v>indie rock</v>
      </c>
      <c r="S2482" s="4">
        <f t="shared" si="230"/>
        <v>42227.936157407406</v>
      </c>
      <c r="T2482" s="4">
        <f t="shared" si="231"/>
        <v>42287.936157407406</v>
      </c>
      <c r="U2482" s="5">
        <f>VLOOKUP(currency,Tables!$A$1:$C$14,3,FALSE)*pledged</f>
        <v>2000</v>
      </c>
    </row>
    <row r="2483" spans="1:21" ht="43.2" x14ac:dyDescent="0.55000000000000004">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16">
        <f t="shared" si="229"/>
        <v>47.541473684210523</v>
      </c>
      <c r="Q2483" t="str">
        <f t="shared" si="232"/>
        <v>music</v>
      </c>
      <c r="R2483" t="str">
        <f t="shared" si="233"/>
        <v>indie rock</v>
      </c>
      <c r="S2483" s="4">
        <f t="shared" si="230"/>
        <v>40999.645925925928</v>
      </c>
      <c r="T2483" s="4">
        <f t="shared" si="231"/>
        <v>41029.645925925928</v>
      </c>
      <c r="U2483" s="5">
        <f>VLOOKUP(currency,Tables!$A$1:$C$14,3,FALSE)*pledged</f>
        <v>4516.4399999999996</v>
      </c>
    </row>
    <row r="2484" spans="1:21" ht="43.2" x14ac:dyDescent="0.55000000000000004">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16">
        <f t="shared" si="229"/>
        <v>40.04</v>
      </c>
      <c r="Q2484" t="str">
        <f t="shared" si="232"/>
        <v>music</v>
      </c>
      <c r="R2484" t="str">
        <f t="shared" si="233"/>
        <v>indie rock</v>
      </c>
      <c r="S2484" s="4">
        <f t="shared" si="230"/>
        <v>40711.782210648147</v>
      </c>
      <c r="T2484" s="4">
        <f t="shared" si="231"/>
        <v>40756.782210648147</v>
      </c>
      <c r="U2484" s="5">
        <f>VLOOKUP(currency,Tables!$A$1:$C$14,3,FALSE)*pledged</f>
        <v>1001</v>
      </c>
    </row>
    <row r="2485" spans="1:21" ht="28.8" x14ac:dyDescent="0.55000000000000004">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16">
        <f t="shared" si="229"/>
        <v>65.84210526315789</v>
      </c>
      <c r="Q2485" t="str">
        <f t="shared" si="232"/>
        <v>music</v>
      </c>
      <c r="R2485" t="str">
        <f t="shared" si="233"/>
        <v>indie rock</v>
      </c>
      <c r="S2485" s="4">
        <f t="shared" si="230"/>
        <v>40970.750034722223</v>
      </c>
      <c r="T2485" s="4">
        <f t="shared" si="231"/>
        <v>41030.708368055559</v>
      </c>
      <c r="U2485" s="5">
        <f>VLOOKUP(currency,Tables!$A$1:$C$14,3,FALSE)*pledged</f>
        <v>1251</v>
      </c>
    </row>
    <row r="2486" spans="1:21" ht="43.2" x14ac:dyDescent="0.55000000000000004">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16">
        <f t="shared" si="229"/>
        <v>46.401222222222216</v>
      </c>
      <c r="Q2486" t="str">
        <f t="shared" si="232"/>
        <v>music</v>
      </c>
      <c r="R2486" t="str">
        <f t="shared" si="233"/>
        <v>indie rock</v>
      </c>
      <c r="S2486" s="4">
        <f t="shared" si="230"/>
        <v>40771.916701388887</v>
      </c>
      <c r="T2486" s="4">
        <f t="shared" si="231"/>
        <v>40801.916701388887</v>
      </c>
      <c r="U2486" s="5">
        <f>VLOOKUP(currency,Tables!$A$1:$C$14,3,FALSE)*pledged</f>
        <v>4176.1099999999997</v>
      </c>
    </row>
    <row r="2487" spans="1:21" ht="43.2" x14ac:dyDescent="0.55000000000000004">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16">
        <f t="shared" si="229"/>
        <v>50.365853658536587</v>
      </c>
      <c r="Q2487" t="str">
        <f t="shared" si="232"/>
        <v>music</v>
      </c>
      <c r="R2487" t="str">
        <f t="shared" si="233"/>
        <v>indie rock</v>
      </c>
      <c r="S2487" s="4">
        <f t="shared" si="230"/>
        <v>40793.998599537037</v>
      </c>
      <c r="T2487" s="4">
        <f t="shared" si="231"/>
        <v>40828.998599537037</v>
      </c>
      <c r="U2487" s="5">
        <f>VLOOKUP(currency,Tables!$A$1:$C$14,3,FALSE)*pledged</f>
        <v>2065</v>
      </c>
    </row>
    <row r="2488" spans="1:21" ht="43.2" x14ac:dyDescent="0.55000000000000004">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16">
        <f t="shared" si="229"/>
        <v>26.566666666666666</v>
      </c>
      <c r="Q2488" t="str">
        <f t="shared" si="232"/>
        <v>music</v>
      </c>
      <c r="R2488" t="str">
        <f t="shared" si="233"/>
        <v>indie rock</v>
      </c>
      <c r="S2488" s="4">
        <f t="shared" si="230"/>
        <v>40991.708055555559</v>
      </c>
      <c r="T2488" s="4">
        <f t="shared" si="231"/>
        <v>41021.708055555559</v>
      </c>
      <c r="U2488" s="5">
        <f>VLOOKUP(currency,Tables!$A$1:$C$14,3,FALSE)*pledged</f>
        <v>797</v>
      </c>
    </row>
    <row r="2489" spans="1:21" ht="43.2" x14ac:dyDescent="0.55000000000000004">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16">
        <f t="shared" si="229"/>
        <v>39.493684210526318</v>
      </c>
      <c r="Q2489" t="str">
        <f t="shared" si="232"/>
        <v>music</v>
      </c>
      <c r="R2489" t="str">
        <f t="shared" si="233"/>
        <v>indie rock</v>
      </c>
      <c r="S2489" s="4">
        <f t="shared" si="230"/>
        <v>41026.083298611113</v>
      </c>
      <c r="T2489" s="4">
        <f t="shared" si="231"/>
        <v>41056.083298611113</v>
      </c>
      <c r="U2489" s="5">
        <f>VLOOKUP(currency,Tables!$A$1:$C$14,3,FALSE)*pledged</f>
        <v>1500.76</v>
      </c>
    </row>
    <row r="2490" spans="1:21" ht="43.2" x14ac:dyDescent="0.55000000000000004">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16">
        <f t="shared" si="229"/>
        <v>49.246153846153845</v>
      </c>
      <c r="Q2490" t="str">
        <f t="shared" si="232"/>
        <v>music</v>
      </c>
      <c r="R2490" t="str">
        <f t="shared" si="233"/>
        <v>indie rock</v>
      </c>
      <c r="S2490" s="4">
        <f t="shared" si="230"/>
        <v>40833.633194444446</v>
      </c>
      <c r="T2490" s="4">
        <f t="shared" si="231"/>
        <v>40863.674861111111</v>
      </c>
      <c r="U2490" s="5">
        <f>VLOOKUP(currency,Tables!$A$1:$C$14,3,FALSE)*pledged</f>
        <v>3201</v>
      </c>
    </row>
    <row r="2491" spans="1:21" ht="43.2" x14ac:dyDescent="0.55000000000000004">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16">
        <f t="shared" si="229"/>
        <v>62.38</v>
      </c>
      <c r="Q2491" t="str">
        <f t="shared" si="232"/>
        <v>music</v>
      </c>
      <c r="R2491" t="str">
        <f t="shared" si="233"/>
        <v>indie rock</v>
      </c>
      <c r="S2491" s="4">
        <f t="shared" si="230"/>
        <v>41373.690266203703</v>
      </c>
      <c r="T2491" s="4">
        <f t="shared" si="231"/>
        <v>41403.690266203703</v>
      </c>
      <c r="U2491" s="5">
        <f>VLOOKUP(currency,Tables!$A$1:$C$14,3,FALSE)*pledged</f>
        <v>4678.5</v>
      </c>
    </row>
    <row r="2492" spans="1:21" ht="43.2" x14ac:dyDescent="0.55000000000000004">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228"/>
        <v>1.214</v>
      </c>
      <c r="P2492" s="16">
        <f t="shared" si="229"/>
        <v>37.9375</v>
      </c>
      <c r="Q2492" t="str">
        <f t="shared" si="232"/>
        <v>music</v>
      </c>
      <c r="R2492" t="str">
        <f t="shared" si="233"/>
        <v>indie rock</v>
      </c>
      <c r="S2492" s="4">
        <f t="shared" si="230"/>
        <v>41023.227731481478</v>
      </c>
      <c r="T2492" s="4">
        <f t="shared" si="231"/>
        <v>41083.227731481478</v>
      </c>
      <c r="U2492" s="5">
        <f>VLOOKUP(currency,Tables!$A$1:$C$14,3,FALSE)*pledged</f>
        <v>607</v>
      </c>
    </row>
    <row r="2493" spans="1:21" ht="43.2" x14ac:dyDescent="0.55000000000000004">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228"/>
        <v>1.032</v>
      </c>
      <c r="P2493" s="16">
        <f t="shared" si="229"/>
        <v>51.6</v>
      </c>
      <c r="Q2493" t="str">
        <f t="shared" si="232"/>
        <v>music</v>
      </c>
      <c r="R2493" t="str">
        <f t="shared" si="233"/>
        <v>indie rock</v>
      </c>
      <c r="S2493" s="4">
        <f t="shared" si="230"/>
        <v>40542.839282407411</v>
      </c>
      <c r="T2493" s="4">
        <f t="shared" si="231"/>
        <v>40559.07708333333</v>
      </c>
      <c r="U2493" s="5">
        <f>VLOOKUP(currency,Tables!$A$1:$C$14,3,FALSE)*pledged</f>
        <v>516</v>
      </c>
    </row>
    <row r="2494" spans="1:21" ht="28.8" x14ac:dyDescent="0.55000000000000004">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228"/>
        <v>1.25</v>
      </c>
      <c r="P2494" s="16">
        <f t="shared" si="229"/>
        <v>27.777777777777779</v>
      </c>
      <c r="Q2494" t="str">
        <f t="shared" si="232"/>
        <v>music</v>
      </c>
      <c r="R2494" t="str">
        <f t="shared" si="233"/>
        <v>indie rock</v>
      </c>
      <c r="S2494" s="4">
        <f t="shared" si="230"/>
        <v>41024.985972222225</v>
      </c>
      <c r="T2494" s="4">
        <f t="shared" si="231"/>
        <v>41076.415972222225</v>
      </c>
      <c r="U2494" s="5">
        <f>VLOOKUP(currency,Tables!$A$1:$C$14,3,FALSE)*pledged</f>
        <v>750</v>
      </c>
    </row>
    <row r="2495" spans="1:21" ht="43.2" x14ac:dyDescent="0.55000000000000004">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16">
        <f t="shared" si="229"/>
        <v>99.382239382239376</v>
      </c>
      <c r="Q2495" t="str">
        <f t="shared" si="232"/>
        <v>music</v>
      </c>
      <c r="R2495" t="str">
        <f t="shared" si="233"/>
        <v>indie rock</v>
      </c>
      <c r="S2495" s="4">
        <f t="shared" si="230"/>
        <v>41348.168287037035</v>
      </c>
      <c r="T2495" s="4">
        <f t="shared" si="231"/>
        <v>41393.168287037035</v>
      </c>
      <c r="U2495" s="5">
        <f>VLOOKUP(currency,Tables!$A$1:$C$14,3,FALSE)*pledged</f>
        <v>25740</v>
      </c>
    </row>
    <row r="2496" spans="1:21" ht="43.2" x14ac:dyDescent="0.55000000000000004">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16">
        <f t="shared" si="229"/>
        <v>38.848205128205123</v>
      </c>
      <c r="Q2496" t="str">
        <f t="shared" si="232"/>
        <v>music</v>
      </c>
      <c r="R2496" t="str">
        <f t="shared" si="233"/>
        <v>indie rock</v>
      </c>
      <c r="S2496" s="4">
        <f t="shared" si="230"/>
        <v>41022.645185185182</v>
      </c>
      <c r="T2496" s="4">
        <f t="shared" si="231"/>
        <v>41052.645185185182</v>
      </c>
      <c r="U2496" s="5">
        <f>VLOOKUP(currency,Tables!$A$1:$C$14,3,FALSE)*pledged</f>
        <v>1515.08</v>
      </c>
    </row>
    <row r="2497" spans="1:21" ht="43.2" x14ac:dyDescent="0.55000000000000004">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16">
        <f t="shared" si="229"/>
        <v>45.548809523809524</v>
      </c>
      <c r="Q2497" t="str">
        <f t="shared" si="232"/>
        <v>music</v>
      </c>
      <c r="R2497" t="str">
        <f t="shared" si="233"/>
        <v>indie rock</v>
      </c>
      <c r="S2497" s="4">
        <f t="shared" si="230"/>
        <v>41036.946469907409</v>
      </c>
      <c r="T2497" s="4">
        <f t="shared" si="231"/>
        <v>41066.946469907409</v>
      </c>
      <c r="U2497" s="5">
        <f>VLOOKUP(currency,Tables!$A$1:$C$14,3,FALSE)*pledged</f>
        <v>1913.05</v>
      </c>
    </row>
    <row r="2498" spans="1:21" ht="28.8" x14ac:dyDescent="0.55000000000000004">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ref="O2498:O2561" si="234">pledged/goal</f>
        <v>1</v>
      </c>
      <c r="P2498" s="16">
        <f t="shared" ref="P2498:P2561" si="235">IF(pledged=0,0,pledged/backers_count)</f>
        <v>600</v>
      </c>
      <c r="Q2498" t="str">
        <f t="shared" si="232"/>
        <v>music</v>
      </c>
      <c r="R2498" t="str">
        <f t="shared" si="233"/>
        <v>indie rock</v>
      </c>
      <c r="S2498" s="4">
        <f t="shared" ref="S2498:S2561" si="236">(((Unix_launched_date/60)/60)/24)+DATE(1970,1,1)</f>
        <v>41327.996435185189</v>
      </c>
      <c r="T2498" s="4">
        <f t="shared" ref="T2498:T2561" si="237">(((Unix_deadline/60)/60)/24)+DATE(1970,1,1)</f>
        <v>41362.954768518517</v>
      </c>
      <c r="U2498" s="5">
        <f>VLOOKUP(currency,Tables!$A$1:$C$14,3,FALSE)*pledged</f>
        <v>6000</v>
      </c>
    </row>
    <row r="2499" spans="1:21" ht="43.2" x14ac:dyDescent="0.55000000000000004">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si="234"/>
        <v>1.127715</v>
      </c>
      <c r="P2499" s="16">
        <f t="shared" si="235"/>
        <v>80.551071428571419</v>
      </c>
      <c r="Q2499" t="str">
        <f t="shared" ref="Q2499:Q2562" si="238">LEFT(N2499,FIND("/",N2499,1)-1)</f>
        <v>music</v>
      </c>
      <c r="R2499" t="str">
        <f t="shared" ref="R2499:R2562" si="239">RIGHT(N2499,(LEN(N2499)-FIND("/",N2499,1)))</f>
        <v>indie rock</v>
      </c>
      <c r="S2499" s="4">
        <f t="shared" si="236"/>
        <v>40730.878912037035</v>
      </c>
      <c r="T2499" s="4">
        <f t="shared" si="237"/>
        <v>40760.878912037035</v>
      </c>
      <c r="U2499" s="5">
        <f>VLOOKUP(currency,Tables!$A$1:$C$14,3,FALSE)*pledged</f>
        <v>4510.8599999999997</v>
      </c>
    </row>
    <row r="2500" spans="1:21" ht="43.2" x14ac:dyDescent="0.55000000000000004">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16">
        <f t="shared" si="235"/>
        <v>52.8</v>
      </c>
      <c r="Q2500" t="str">
        <f t="shared" si="238"/>
        <v>music</v>
      </c>
      <c r="R2500" t="str">
        <f t="shared" si="239"/>
        <v>indie rock</v>
      </c>
      <c r="S2500" s="4">
        <f t="shared" si="236"/>
        <v>42017.967442129629</v>
      </c>
      <c r="T2500" s="4">
        <f t="shared" si="237"/>
        <v>42031.967442129629</v>
      </c>
      <c r="U2500" s="5">
        <f>VLOOKUP(currency,Tables!$A$1:$C$14,3,FALSE)*pledged</f>
        <v>1056</v>
      </c>
    </row>
    <row r="2501" spans="1:21" ht="43.2" x14ac:dyDescent="0.55000000000000004">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16">
        <f t="shared" si="235"/>
        <v>47.676470588235297</v>
      </c>
      <c r="Q2501" t="str">
        <f t="shared" si="238"/>
        <v>music</v>
      </c>
      <c r="R2501" t="str">
        <f t="shared" si="239"/>
        <v>indie rock</v>
      </c>
      <c r="S2501" s="4">
        <f t="shared" si="236"/>
        <v>41226.648576388885</v>
      </c>
      <c r="T2501" s="4">
        <f t="shared" si="237"/>
        <v>41274.75</v>
      </c>
      <c r="U2501" s="5">
        <f>VLOOKUP(currency,Tables!$A$1:$C$14,3,FALSE)*pledged</f>
        <v>8105</v>
      </c>
    </row>
    <row r="2502" spans="1:21" ht="43.2" x14ac:dyDescent="0.55000000000000004">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16">
        <f t="shared" si="235"/>
        <v>23.448275862068964</v>
      </c>
      <c r="Q2502" t="str">
        <f t="shared" si="238"/>
        <v>music</v>
      </c>
      <c r="R2502" t="str">
        <f t="shared" si="239"/>
        <v>indie rock</v>
      </c>
      <c r="S2502" s="4">
        <f t="shared" si="236"/>
        <v>41053.772858796299</v>
      </c>
      <c r="T2502" s="4">
        <f t="shared" si="237"/>
        <v>41083.772858796299</v>
      </c>
      <c r="U2502" s="5">
        <f>VLOOKUP(currency,Tables!$A$1:$C$14,3,FALSE)*pledged</f>
        <v>680</v>
      </c>
    </row>
    <row r="2503" spans="1:21" ht="43.2" x14ac:dyDescent="0.55000000000000004">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16">
        <f t="shared" si="235"/>
        <v>40.142857142857146</v>
      </c>
      <c r="Q2503" t="str">
        <f t="shared" si="238"/>
        <v>food</v>
      </c>
      <c r="R2503" t="str">
        <f t="shared" si="239"/>
        <v>restaurants</v>
      </c>
      <c r="S2503" s="4">
        <f t="shared" si="236"/>
        <v>42244.776666666665</v>
      </c>
      <c r="T2503" s="4">
        <f t="shared" si="237"/>
        <v>42274.776666666665</v>
      </c>
      <c r="U2503" s="5">
        <f>VLOOKUP(currency,Tables!$A$1:$C$14,3,FALSE)*pledged</f>
        <v>213.56</v>
      </c>
    </row>
    <row r="2504" spans="1:21" ht="43.2" x14ac:dyDescent="0.55000000000000004">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16">
        <f t="shared" si="235"/>
        <v>17.2</v>
      </c>
      <c r="Q2504" t="str">
        <f t="shared" si="238"/>
        <v>food</v>
      </c>
      <c r="R2504" t="str">
        <f t="shared" si="239"/>
        <v>restaurants</v>
      </c>
      <c r="S2504" s="4">
        <f t="shared" si="236"/>
        <v>41858.825439814813</v>
      </c>
      <c r="T2504" s="4">
        <f t="shared" si="237"/>
        <v>41903.825439814813</v>
      </c>
      <c r="U2504" s="5">
        <f>VLOOKUP(currency,Tables!$A$1:$C$14,3,FALSE)*pledged</f>
        <v>86</v>
      </c>
    </row>
    <row r="2505" spans="1:21" ht="43.2" x14ac:dyDescent="0.55000000000000004">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234"/>
        <v>0</v>
      </c>
      <c r="P2505" s="16">
        <f t="shared" si="235"/>
        <v>0</v>
      </c>
      <c r="Q2505" t="str">
        <f t="shared" si="238"/>
        <v>food</v>
      </c>
      <c r="R2505" t="str">
        <f t="shared" si="239"/>
        <v>restaurants</v>
      </c>
      <c r="S2505" s="4">
        <f t="shared" si="236"/>
        <v>42498.899398148147</v>
      </c>
      <c r="T2505" s="4">
        <f t="shared" si="237"/>
        <v>42528.879166666666</v>
      </c>
      <c r="U2505" s="5">
        <f>VLOOKUP(currency,Tables!$A$1:$C$14,3,FALSE)*pledged</f>
        <v>0</v>
      </c>
    </row>
    <row r="2506" spans="1:21" ht="28.8" x14ac:dyDescent="0.55000000000000004">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234"/>
        <v>0</v>
      </c>
      <c r="P2506" s="16">
        <f t="shared" si="235"/>
        <v>0</v>
      </c>
      <c r="Q2506" t="str">
        <f t="shared" si="238"/>
        <v>food</v>
      </c>
      <c r="R2506" t="str">
        <f t="shared" si="239"/>
        <v>restaurants</v>
      </c>
      <c r="S2506" s="4">
        <f t="shared" si="236"/>
        <v>41928.015439814815</v>
      </c>
      <c r="T2506" s="4">
        <f t="shared" si="237"/>
        <v>41958.057106481487</v>
      </c>
      <c r="U2506" s="5">
        <f>VLOOKUP(currency,Tables!$A$1:$C$14,3,FALSE)*pledged</f>
        <v>0</v>
      </c>
    </row>
    <row r="2507" spans="1:21" ht="57.6" x14ac:dyDescent="0.55000000000000004">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234"/>
        <v>0</v>
      </c>
      <c r="P2507" s="16">
        <f t="shared" si="235"/>
        <v>0</v>
      </c>
      <c r="Q2507" t="str">
        <f t="shared" si="238"/>
        <v>food</v>
      </c>
      <c r="R2507" t="str">
        <f t="shared" si="239"/>
        <v>restaurants</v>
      </c>
      <c r="S2507" s="4">
        <f t="shared" si="236"/>
        <v>42047.05574074074</v>
      </c>
      <c r="T2507" s="4">
        <f t="shared" si="237"/>
        <v>42077.014074074075</v>
      </c>
      <c r="U2507" s="5">
        <f>VLOOKUP(currency,Tables!$A$1:$C$14,3,FALSE)*pledged</f>
        <v>0</v>
      </c>
    </row>
    <row r="2508" spans="1:21" ht="43.2" x14ac:dyDescent="0.55000000000000004">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16">
        <f t="shared" si="235"/>
        <v>15</v>
      </c>
      <c r="Q2508" t="str">
        <f t="shared" si="238"/>
        <v>food</v>
      </c>
      <c r="R2508" t="str">
        <f t="shared" si="239"/>
        <v>restaurants</v>
      </c>
      <c r="S2508" s="4">
        <f t="shared" si="236"/>
        <v>42258.297094907408</v>
      </c>
      <c r="T2508" s="4">
        <f t="shared" si="237"/>
        <v>42280.875</v>
      </c>
      <c r="U2508" s="5">
        <f>VLOOKUP(currency,Tables!$A$1:$C$14,3,FALSE)*pledged</f>
        <v>39.6</v>
      </c>
    </row>
    <row r="2509" spans="1:21" x14ac:dyDescent="0.55000000000000004">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234"/>
        <v>0</v>
      </c>
      <c r="P2509" s="16">
        <f t="shared" si="235"/>
        <v>0</v>
      </c>
      <c r="Q2509" t="str">
        <f t="shared" si="238"/>
        <v>food</v>
      </c>
      <c r="R2509" t="str">
        <f t="shared" si="239"/>
        <v>restaurants</v>
      </c>
      <c r="S2509" s="4">
        <f t="shared" si="236"/>
        <v>42105.072962962964</v>
      </c>
      <c r="T2509" s="4">
        <f t="shared" si="237"/>
        <v>42135.072962962964</v>
      </c>
      <c r="U2509" s="5">
        <f>VLOOKUP(currency,Tables!$A$1:$C$14,3,FALSE)*pledged</f>
        <v>0</v>
      </c>
    </row>
    <row r="2510" spans="1:21" ht="43.2" x14ac:dyDescent="0.55000000000000004">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234"/>
        <v>0</v>
      </c>
      <c r="P2510" s="16">
        <f t="shared" si="235"/>
        <v>0</v>
      </c>
      <c r="Q2510" t="str">
        <f t="shared" si="238"/>
        <v>food</v>
      </c>
      <c r="R2510" t="str">
        <f t="shared" si="239"/>
        <v>restaurants</v>
      </c>
      <c r="S2510" s="4">
        <f t="shared" si="236"/>
        <v>41835.951782407406</v>
      </c>
      <c r="T2510" s="4">
        <f t="shared" si="237"/>
        <v>41865.951782407406</v>
      </c>
      <c r="U2510" s="5">
        <f>VLOOKUP(currency,Tables!$A$1:$C$14,3,FALSE)*pledged</f>
        <v>0</v>
      </c>
    </row>
    <row r="2511" spans="1:21" ht="43.2" x14ac:dyDescent="0.55000000000000004">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16">
        <f t="shared" si="235"/>
        <v>35.714285714285715</v>
      </c>
      <c r="Q2511" t="str">
        <f t="shared" si="238"/>
        <v>food</v>
      </c>
      <c r="R2511" t="str">
        <f t="shared" si="239"/>
        <v>restaurants</v>
      </c>
      <c r="S2511" s="4">
        <f t="shared" si="236"/>
        <v>42058.809594907405</v>
      </c>
      <c r="T2511" s="4">
        <f t="shared" si="237"/>
        <v>42114.767928240741</v>
      </c>
      <c r="U2511" s="5">
        <f>VLOOKUP(currency,Tables!$A$1:$C$14,3,FALSE)*pledged</f>
        <v>1320</v>
      </c>
    </row>
    <row r="2512" spans="1:21" ht="43.2" x14ac:dyDescent="0.55000000000000004">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234"/>
        <v>1.5E-3</v>
      </c>
      <c r="P2512" s="16">
        <f t="shared" si="235"/>
        <v>37.5</v>
      </c>
      <c r="Q2512" t="str">
        <f t="shared" si="238"/>
        <v>food</v>
      </c>
      <c r="R2512" t="str">
        <f t="shared" si="239"/>
        <v>restaurants</v>
      </c>
      <c r="S2512" s="4">
        <f t="shared" si="236"/>
        <v>42078.997361111105</v>
      </c>
      <c r="T2512" s="4">
        <f t="shared" si="237"/>
        <v>42138.997361111105</v>
      </c>
      <c r="U2512" s="5">
        <f>VLOOKUP(currency,Tables!$A$1:$C$14,3,FALSE)*pledged</f>
        <v>75</v>
      </c>
    </row>
    <row r="2513" spans="1:21" ht="43.2" x14ac:dyDescent="0.55000000000000004">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234"/>
        <v>0</v>
      </c>
      <c r="P2513" s="16">
        <f t="shared" si="235"/>
        <v>0</v>
      </c>
      <c r="Q2513" t="str">
        <f t="shared" si="238"/>
        <v>food</v>
      </c>
      <c r="R2513" t="str">
        <f t="shared" si="239"/>
        <v>restaurants</v>
      </c>
      <c r="S2513" s="4">
        <f t="shared" si="236"/>
        <v>42371.446909722217</v>
      </c>
      <c r="T2513" s="4">
        <f t="shared" si="237"/>
        <v>42401.446909722217</v>
      </c>
      <c r="U2513" s="5">
        <f>VLOOKUP(currency,Tables!$A$1:$C$14,3,FALSE)*pledged</f>
        <v>0</v>
      </c>
    </row>
    <row r="2514" spans="1:21" ht="43.2" x14ac:dyDescent="0.55000000000000004">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234"/>
        <v>0</v>
      </c>
      <c r="P2514" s="16">
        <f t="shared" si="235"/>
        <v>0</v>
      </c>
      <c r="Q2514" t="str">
        <f t="shared" si="238"/>
        <v>food</v>
      </c>
      <c r="R2514" t="str">
        <f t="shared" si="239"/>
        <v>restaurants</v>
      </c>
      <c r="S2514" s="4">
        <f t="shared" si="236"/>
        <v>41971.876863425925</v>
      </c>
      <c r="T2514" s="4">
        <f t="shared" si="237"/>
        <v>41986.876863425925</v>
      </c>
      <c r="U2514" s="5">
        <f>VLOOKUP(currency,Tables!$A$1:$C$14,3,FALSE)*pledged</f>
        <v>0</v>
      </c>
    </row>
    <row r="2515" spans="1:21" ht="43.2" x14ac:dyDescent="0.55000000000000004">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234"/>
        <v>0</v>
      </c>
      <c r="P2515" s="16">
        <f t="shared" si="235"/>
        <v>0</v>
      </c>
      <c r="Q2515" t="str">
        <f t="shared" si="238"/>
        <v>food</v>
      </c>
      <c r="R2515" t="str">
        <f t="shared" si="239"/>
        <v>restaurants</v>
      </c>
      <c r="S2515" s="4">
        <f t="shared" si="236"/>
        <v>42732.00681712963</v>
      </c>
      <c r="T2515" s="4">
        <f t="shared" si="237"/>
        <v>42792.00681712963</v>
      </c>
      <c r="U2515" s="5">
        <f>VLOOKUP(currency,Tables!$A$1:$C$14,3,FALSE)*pledged</f>
        <v>0</v>
      </c>
    </row>
    <row r="2516" spans="1:21" ht="43.2" x14ac:dyDescent="0.55000000000000004">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16">
        <f t="shared" si="235"/>
        <v>52.5</v>
      </c>
      <c r="Q2516" t="str">
        <f t="shared" si="238"/>
        <v>food</v>
      </c>
      <c r="R2516" t="str">
        <f t="shared" si="239"/>
        <v>restaurants</v>
      </c>
      <c r="S2516" s="4">
        <f t="shared" si="236"/>
        <v>41854.389780092592</v>
      </c>
      <c r="T2516" s="4">
        <f t="shared" si="237"/>
        <v>41871.389780092592</v>
      </c>
      <c r="U2516" s="5">
        <f>VLOOKUP(currency,Tables!$A$1:$C$14,3,FALSE)*pledged</f>
        <v>210</v>
      </c>
    </row>
    <row r="2517" spans="1:21" ht="43.2" x14ac:dyDescent="0.55000000000000004">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234"/>
        <v>0.186</v>
      </c>
      <c r="P2517" s="16">
        <f t="shared" si="235"/>
        <v>77.5</v>
      </c>
      <c r="Q2517" t="str">
        <f t="shared" si="238"/>
        <v>food</v>
      </c>
      <c r="R2517" t="str">
        <f t="shared" si="239"/>
        <v>restaurants</v>
      </c>
      <c r="S2517" s="4">
        <f t="shared" si="236"/>
        <v>42027.839733796296</v>
      </c>
      <c r="T2517" s="4">
        <f t="shared" si="237"/>
        <v>42057.839733796296</v>
      </c>
      <c r="U2517" s="5">
        <f>VLOOKUP(currency,Tables!$A$1:$C$14,3,FALSE)*pledged</f>
        <v>930</v>
      </c>
    </row>
    <row r="2518" spans="1:21" ht="43.2" x14ac:dyDescent="0.55000000000000004">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234"/>
        <v>0</v>
      </c>
      <c r="P2518" s="16">
        <f t="shared" si="235"/>
        <v>0</v>
      </c>
      <c r="Q2518" t="str">
        <f t="shared" si="238"/>
        <v>food</v>
      </c>
      <c r="R2518" t="str">
        <f t="shared" si="239"/>
        <v>restaurants</v>
      </c>
      <c r="S2518" s="4">
        <f t="shared" si="236"/>
        <v>41942.653379629628</v>
      </c>
      <c r="T2518" s="4">
        <f t="shared" si="237"/>
        <v>41972.6950462963</v>
      </c>
      <c r="U2518" s="5">
        <f>VLOOKUP(currency,Tables!$A$1:$C$14,3,FALSE)*pledged</f>
        <v>0</v>
      </c>
    </row>
    <row r="2519" spans="1:21" ht="43.2" x14ac:dyDescent="0.55000000000000004">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16">
        <f t="shared" si="235"/>
        <v>53.545454545454547</v>
      </c>
      <c r="Q2519" t="str">
        <f t="shared" si="238"/>
        <v>food</v>
      </c>
      <c r="R2519" t="str">
        <f t="shared" si="239"/>
        <v>restaurants</v>
      </c>
      <c r="S2519" s="4">
        <f t="shared" si="236"/>
        <v>42052.802430555559</v>
      </c>
      <c r="T2519" s="4">
        <f t="shared" si="237"/>
        <v>42082.760763888888</v>
      </c>
      <c r="U2519" s="5">
        <f>VLOOKUP(currency,Tables!$A$1:$C$14,3,FALSE)*pledged</f>
        <v>1342.92</v>
      </c>
    </row>
    <row r="2520" spans="1:21" ht="43.2" x14ac:dyDescent="0.55000000000000004">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234"/>
        <v>0</v>
      </c>
      <c r="P2520" s="16">
        <f t="shared" si="235"/>
        <v>0</v>
      </c>
      <c r="Q2520" t="str">
        <f t="shared" si="238"/>
        <v>food</v>
      </c>
      <c r="R2520" t="str">
        <f t="shared" si="239"/>
        <v>restaurants</v>
      </c>
      <c r="S2520" s="4">
        <f t="shared" si="236"/>
        <v>41926.680879629632</v>
      </c>
      <c r="T2520" s="4">
        <f t="shared" si="237"/>
        <v>41956.722546296296</v>
      </c>
      <c r="U2520" s="5">
        <f>VLOOKUP(currency,Tables!$A$1:$C$14,3,FALSE)*pledged</f>
        <v>0</v>
      </c>
    </row>
    <row r="2521" spans="1:21" ht="28.8" x14ac:dyDescent="0.55000000000000004">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16">
        <f t="shared" si="235"/>
        <v>16.25</v>
      </c>
      <c r="Q2521" t="str">
        <f t="shared" si="238"/>
        <v>food</v>
      </c>
      <c r="R2521" t="str">
        <f t="shared" si="239"/>
        <v>restaurants</v>
      </c>
      <c r="S2521" s="4">
        <f t="shared" si="236"/>
        <v>41809.155138888891</v>
      </c>
      <c r="T2521" s="4">
        <f t="shared" si="237"/>
        <v>41839.155138888891</v>
      </c>
      <c r="U2521" s="5">
        <f>VLOOKUP(currency,Tables!$A$1:$C$14,3,FALSE)*pledged</f>
        <v>65</v>
      </c>
    </row>
    <row r="2522" spans="1:21" ht="43.2" x14ac:dyDescent="0.55000000000000004">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234"/>
        <v>0</v>
      </c>
      <c r="P2522" s="16">
        <f t="shared" si="235"/>
        <v>0</v>
      </c>
      <c r="Q2522" t="str">
        <f t="shared" si="238"/>
        <v>food</v>
      </c>
      <c r="R2522" t="str">
        <f t="shared" si="239"/>
        <v>restaurants</v>
      </c>
      <c r="S2522" s="4">
        <f t="shared" si="236"/>
        <v>42612.600520833337</v>
      </c>
      <c r="T2522" s="4">
        <f t="shared" si="237"/>
        <v>42658.806249999994</v>
      </c>
      <c r="U2522" s="5">
        <f>VLOOKUP(currency,Tables!$A$1:$C$14,3,FALSE)*pledged</f>
        <v>0</v>
      </c>
    </row>
    <row r="2523" spans="1:21" ht="57.6" x14ac:dyDescent="0.55000000000000004">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16">
        <f t="shared" si="235"/>
        <v>103.68174242424243</v>
      </c>
      <c r="Q2523" t="str">
        <f t="shared" si="238"/>
        <v>music</v>
      </c>
      <c r="R2523" t="str">
        <f t="shared" si="239"/>
        <v>classical music</v>
      </c>
      <c r="S2523" s="4">
        <f t="shared" si="236"/>
        <v>42269.967835648145</v>
      </c>
      <c r="T2523" s="4">
        <f t="shared" si="237"/>
        <v>42290.967835648145</v>
      </c>
      <c r="U2523" s="5">
        <f>VLOOKUP(currency,Tables!$A$1:$C$14,3,FALSE)*pledged</f>
        <v>13685.99</v>
      </c>
    </row>
    <row r="2524" spans="1:21" ht="43.2" x14ac:dyDescent="0.55000000000000004">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234"/>
        <v>1</v>
      </c>
      <c r="P2524" s="16">
        <f t="shared" si="235"/>
        <v>185.18518518518519</v>
      </c>
      <c r="Q2524" t="str">
        <f t="shared" si="238"/>
        <v>music</v>
      </c>
      <c r="R2524" t="str">
        <f t="shared" si="239"/>
        <v>classical music</v>
      </c>
      <c r="S2524" s="4">
        <f t="shared" si="236"/>
        <v>42460.573611111111</v>
      </c>
      <c r="T2524" s="4">
        <f t="shared" si="237"/>
        <v>42482.619444444441</v>
      </c>
      <c r="U2524" s="5">
        <f>VLOOKUP(currency,Tables!$A$1:$C$14,3,FALSE)*pledged</f>
        <v>5000</v>
      </c>
    </row>
    <row r="2525" spans="1:21" ht="43.2" x14ac:dyDescent="0.55000000000000004">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16">
        <f t="shared" si="235"/>
        <v>54.153846153846153</v>
      </c>
      <c r="Q2525" t="str">
        <f t="shared" si="238"/>
        <v>music</v>
      </c>
      <c r="R2525" t="str">
        <f t="shared" si="239"/>
        <v>classical music</v>
      </c>
      <c r="S2525" s="4">
        <f t="shared" si="236"/>
        <v>41930.975601851853</v>
      </c>
      <c r="T2525" s="4">
        <f t="shared" si="237"/>
        <v>41961.017268518524</v>
      </c>
      <c r="U2525" s="5">
        <f>VLOOKUP(currency,Tables!$A$1:$C$14,3,FALSE)*pledged</f>
        <v>1408</v>
      </c>
    </row>
    <row r="2526" spans="1:21" ht="28.8" x14ac:dyDescent="0.55000000000000004">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16">
        <f t="shared" si="235"/>
        <v>177.2093023255814</v>
      </c>
      <c r="Q2526" t="str">
        <f t="shared" si="238"/>
        <v>music</v>
      </c>
      <c r="R2526" t="str">
        <f t="shared" si="239"/>
        <v>classical music</v>
      </c>
      <c r="S2526" s="4">
        <f t="shared" si="236"/>
        <v>41961.807372685187</v>
      </c>
      <c r="T2526" s="4">
        <f t="shared" si="237"/>
        <v>41994.1875</v>
      </c>
      <c r="U2526" s="5">
        <f>VLOOKUP(currency,Tables!$A$1:$C$14,3,FALSE)*pledged</f>
        <v>7620</v>
      </c>
    </row>
    <row r="2527" spans="1:21" ht="43.2" x14ac:dyDescent="0.55000000000000004">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16">
        <f t="shared" si="235"/>
        <v>100.325</v>
      </c>
      <c r="Q2527" t="str">
        <f t="shared" si="238"/>
        <v>music</v>
      </c>
      <c r="R2527" t="str">
        <f t="shared" si="239"/>
        <v>classical music</v>
      </c>
      <c r="S2527" s="4">
        <f t="shared" si="236"/>
        <v>41058.844571759262</v>
      </c>
      <c r="T2527" s="4">
        <f t="shared" si="237"/>
        <v>41088.844571759262</v>
      </c>
      <c r="U2527" s="5">
        <f>VLOOKUP(currency,Tables!$A$1:$C$14,3,FALSE)*pledged</f>
        <v>8026</v>
      </c>
    </row>
    <row r="2528" spans="1:21" ht="43.2" x14ac:dyDescent="0.55000000000000004">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16">
        <f t="shared" si="235"/>
        <v>136.90909090909091</v>
      </c>
      <c r="Q2528" t="str">
        <f t="shared" si="238"/>
        <v>music</v>
      </c>
      <c r="R2528" t="str">
        <f t="shared" si="239"/>
        <v>classical music</v>
      </c>
      <c r="S2528" s="4">
        <f t="shared" si="236"/>
        <v>41953.091134259259</v>
      </c>
      <c r="T2528" s="4">
        <f t="shared" si="237"/>
        <v>41981.207638888889</v>
      </c>
      <c r="U2528" s="5">
        <f>VLOOKUP(currency,Tables!$A$1:$C$14,3,FALSE)*pledged</f>
        <v>4518</v>
      </c>
    </row>
    <row r="2529" spans="1:21" ht="43.2" x14ac:dyDescent="0.55000000000000004">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16">
        <f t="shared" si="235"/>
        <v>57.535211267605632</v>
      </c>
      <c r="Q2529" t="str">
        <f t="shared" si="238"/>
        <v>music</v>
      </c>
      <c r="R2529" t="str">
        <f t="shared" si="239"/>
        <v>classical music</v>
      </c>
      <c r="S2529" s="4">
        <f t="shared" si="236"/>
        <v>41546.75105324074</v>
      </c>
      <c r="T2529" s="4">
        <f t="shared" si="237"/>
        <v>41565.165972222225</v>
      </c>
      <c r="U2529" s="5">
        <f>VLOOKUP(currency,Tables!$A$1:$C$14,3,FALSE)*pledged</f>
        <v>4085</v>
      </c>
    </row>
    <row r="2530" spans="1:21" ht="43.2" x14ac:dyDescent="0.55000000000000004">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16">
        <f t="shared" si="235"/>
        <v>52.962839506172834</v>
      </c>
      <c r="Q2530" t="str">
        <f t="shared" si="238"/>
        <v>music</v>
      </c>
      <c r="R2530" t="str">
        <f t="shared" si="239"/>
        <v>classical music</v>
      </c>
      <c r="S2530" s="4">
        <f t="shared" si="236"/>
        <v>42217.834525462968</v>
      </c>
      <c r="T2530" s="4">
        <f t="shared" si="237"/>
        <v>42236.458333333328</v>
      </c>
      <c r="U2530" s="5">
        <f>VLOOKUP(currency,Tables!$A$1:$C$14,3,FALSE)*pledged</f>
        <v>5662.7867999999999</v>
      </c>
    </row>
    <row r="2531" spans="1:21" ht="28.8" x14ac:dyDescent="0.55000000000000004">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16">
        <f t="shared" si="235"/>
        <v>82.328947368421055</v>
      </c>
      <c r="Q2531" t="str">
        <f t="shared" si="238"/>
        <v>music</v>
      </c>
      <c r="R2531" t="str">
        <f t="shared" si="239"/>
        <v>classical music</v>
      </c>
      <c r="S2531" s="4">
        <f t="shared" si="236"/>
        <v>40948.080729166664</v>
      </c>
      <c r="T2531" s="4">
        <f t="shared" si="237"/>
        <v>40993.0390625</v>
      </c>
      <c r="U2531" s="5">
        <f>VLOOKUP(currency,Tables!$A$1:$C$14,3,FALSE)*pledged</f>
        <v>6257</v>
      </c>
    </row>
    <row r="2532" spans="1:21" ht="43.2" x14ac:dyDescent="0.55000000000000004">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234"/>
        <v>1</v>
      </c>
      <c r="P2532" s="16">
        <f t="shared" si="235"/>
        <v>135.41666666666666</v>
      </c>
      <c r="Q2532" t="str">
        <f t="shared" si="238"/>
        <v>music</v>
      </c>
      <c r="R2532" t="str">
        <f t="shared" si="239"/>
        <v>classical music</v>
      </c>
      <c r="S2532" s="4">
        <f t="shared" si="236"/>
        <v>42081.864641203705</v>
      </c>
      <c r="T2532" s="4">
        <f t="shared" si="237"/>
        <v>42114.201388888891</v>
      </c>
      <c r="U2532" s="5">
        <f>VLOOKUP(currency,Tables!$A$1:$C$14,3,FALSE)*pledged</f>
        <v>6500</v>
      </c>
    </row>
    <row r="2533" spans="1:21" ht="43.2" x14ac:dyDescent="0.55000000000000004">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16">
        <f t="shared" si="235"/>
        <v>74.06557377049181</v>
      </c>
      <c r="Q2533" t="str">
        <f t="shared" si="238"/>
        <v>music</v>
      </c>
      <c r="R2533" t="str">
        <f t="shared" si="239"/>
        <v>classical music</v>
      </c>
      <c r="S2533" s="4">
        <f t="shared" si="236"/>
        <v>42208.680023148147</v>
      </c>
      <c r="T2533" s="4">
        <f t="shared" si="237"/>
        <v>42231.165972222225</v>
      </c>
      <c r="U2533" s="5">
        <f>VLOOKUP(currency,Tables!$A$1:$C$14,3,FALSE)*pledged</f>
        <v>4518</v>
      </c>
    </row>
    <row r="2534" spans="1:21" ht="43.2" x14ac:dyDescent="0.55000000000000004">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16">
        <f t="shared" si="235"/>
        <v>84.083333333333329</v>
      </c>
      <c r="Q2534" t="str">
        <f t="shared" si="238"/>
        <v>music</v>
      </c>
      <c r="R2534" t="str">
        <f t="shared" si="239"/>
        <v>classical music</v>
      </c>
      <c r="S2534" s="4">
        <f t="shared" si="236"/>
        <v>41107.849143518521</v>
      </c>
      <c r="T2534" s="4">
        <f t="shared" si="237"/>
        <v>41137.849143518521</v>
      </c>
      <c r="U2534" s="5">
        <f>VLOOKUP(currency,Tables!$A$1:$C$14,3,FALSE)*pledged</f>
        <v>5045</v>
      </c>
    </row>
    <row r="2535" spans="1:21" ht="43.2" x14ac:dyDescent="0.55000000000000004">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16">
        <f t="shared" si="235"/>
        <v>61.029411764705884</v>
      </c>
      <c r="Q2535" t="str">
        <f t="shared" si="238"/>
        <v>music</v>
      </c>
      <c r="R2535" t="str">
        <f t="shared" si="239"/>
        <v>classical music</v>
      </c>
      <c r="S2535" s="4">
        <f t="shared" si="236"/>
        <v>41304.751284722224</v>
      </c>
      <c r="T2535" s="4">
        <f t="shared" si="237"/>
        <v>41334.750787037039</v>
      </c>
      <c r="U2535" s="5">
        <f>VLOOKUP(currency,Tables!$A$1:$C$14,3,FALSE)*pledged</f>
        <v>8300</v>
      </c>
    </row>
    <row r="2536" spans="1:21" ht="57.6" x14ac:dyDescent="0.55000000000000004">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234"/>
        <v>1.05</v>
      </c>
      <c r="P2536" s="16">
        <f t="shared" si="235"/>
        <v>150</v>
      </c>
      <c r="Q2536" t="str">
        <f t="shared" si="238"/>
        <v>music</v>
      </c>
      <c r="R2536" t="str">
        <f t="shared" si="239"/>
        <v>classical music</v>
      </c>
      <c r="S2536" s="4">
        <f t="shared" si="236"/>
        <v>40127.700370370374</v>
      </c>
      <c r="T2536" s="4">
        <f t="shared" si="237"/>
        <v>40179.25</v>
      </c>
      <c r="U2536" s="5">
        <f>VLOOKUP(currency,Tables!$A$1:$C$14,3,FALSE)*pledged</f>
        <v>2100</v>
      </c>
    </row>
    <row r="2537" spans="1:21" x14ac:dyDescent="0.55000000000000004">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16">
        <f t="shared" si="235"/>
        <v>266.08974358974359</v>
      </c>
      <c r="Q2537" t="str">
        <f t="shared" si="238"/>
        <v>music</v>
      </c>
      <c r="R2537" t="str">
        <f t="shared" si="239"/>
        <v>classical music</v>
      </c>
      <c r="S2537" s="4">
        <f t="shared" si="236"/>
        <v>41943.791030092594</v>
      </c>
      <c r="T2537" s="4">
        <f t="shared" si="237"/>
        <v>41974.832696759258</v>
      </c>
      <c r="U2537" s="5">
        <f>VLOOKUP(currency,Tables!$A$1:$C$14,3,FALSE)*pledged</f>
        <v>20755</v>
      </c>
    </row>
    <row r="2538" spans="1:21" ht="43.2" x14ac:dyDescent="0.55000000000000004">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16">
        <f t="shared" si="235"/>
        <v>7.25</v>
      </c>
      <c r="Q2538" t="str">
        <f t="shared" si="238"/>
        <v>music</v>
      </c>
      <c r="R2538" t="str">
        <f t="shared" si="239"/>
        <v>classical music</v>
      </c>
      <c r="S2538" s="4">
        <f t="shared" si="236"/>
        <v>41464.106087962966</v>
      </c>
      <c r="T2538" s="4">
        <f t="shared" si="237"/>
        <v>41485.106087962966</v>
      </c>
      <c r="U2538" s="5">
        <f>VLOOKUP(currency,Tables!$A$1:$C$14,3,FALSE)*pledged</f>
        <v>29</v>
      </c>
    </row>
    <row r="2539" spans="1:21" ht="43.2" x14ac:dyDescent="0.55000000000000004">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16">
        <f t="shared" si="235"/>
        <v>100</v>
      </c>
      <c r="Q2539" t="str">
        <f t="shared" si="238"/>
        <v>music</v>
      </c>
      <c r="R2539" t="str">
        <f t="shared" si="239"/>
        <v>classical music</v>
      </c>
      <c r="S2539" s="4">
        <f t="shared" si="236"/>
        <v>40696.648784722223</v>
      </c>
      <c r="T2539" s="4">
        <f t="shared" si="237"/>
        <v>40756.648784722223</v>
      </c>
      <c r="U2539" s="5">
        <f>VLOOKUP(currency,Tables!$A$1:$C$14,3,FALSE)*pledged</f>
        <v>1100</v>
      </c>
    </row>
    <row r="2540" spans="1:21" ht="28.8" x14ac:dyDescent="0.55000000000000004">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16">
        <f t="shared" si="235"/>
        <v>109.96308108108107</v>
      </c>
      <c r="Q2540" t="str">
        <f t="shared" si="238"/>
        <v>music</v>
      </c>
      <c r="R2540" t="str">
        <f t="shared" si="239"/>
        <v>classical music</v>
      </c>
      <c r="S2540" s="4">
        <f t="shared" si="236"/>
        <v>41298.509965277779</v>
      </c>
      <c r="T2540" s="4">
        <f t="shared" si="237"/>
        <v>41329.207638888889</v>
      </c>
      <c r="U2540" s="5">
        <f>VLOOKUP(currency,Tables!$A$1:$C$14,3,FALSE)*pledged</f>
        <v>20343.169999999998</v>
      </c>
    </row>
    <row r="2541" spans="1:21" ht="43.2" x14ac:dyDescent="0.55000000000000004">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16">
        <f t="shared" si="235"/>
        <v>169.91525423728814</v>
      </c>
      <c r="Q2541" t="str">
        <f t="shared" si="238"/>
        <v>music</v>
      </c>
      <c r="R2541" t="str">
        <f t="shared" si="239"/>
        <v>classical music</v>
      </c>
      <c r="S2541" s="4">
        <f t="shared" si="236"/>
        <v>41977.902222222227</v>
      </c>
      <c r="T2541" s="4">
        <f t="shared" si="237"/>
        <v>42037.902222222227</v>
      </c>
      <c r="U2541" s="5">
        <f>VLOOKUP(currency,Tables!$A$1:$C$14,3,FALSE)*pledged</f>
        <v>10025</v>
      </c>
    </row>
    <row r="2542" spans="1:21" ht="43.2" x14ac:dyDescent="0.55000000000000004">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16">
        <f t="shared" si="235"/>
        <v>95.740740740740748</v>
      </c>
      <c r="Q2542" t="str">
        <f t="shared" si="238"/>
        <v>music</v>
      </c>
      <c r="R2542" t="str">
        <f t="shared" si="239"/>
        <v>classical music</v>
      </c>
      <c r="S2542" s="4">
        <f t="shared" si="236"/>
        <v>40785.675011574072</v>
      </c>
      <c r="T2542" s="4">
        <f t="shared" si="237"/>
        <v>40845.675011574072</v>
      </c>
      <c r="U2542" s="5">
        <f>VLOOKUP(currency,Tables!$A$1:$C$14,3,FALSE)*pledged</f>
        <v>2585</v>
      </c>
    </row>
    <row r="2543" spans="1:21" ht="57.6" x14ac:dyDescent="0.55000000000000004">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16">
        <f t="shared" si="235"/>
        <v>59.460317460317462</v>
      </c>
      <c r="Q2543" t="str">
        <f t="shared" si="238"/>
        <v>music</v>
      </c>
      <c r="R2543" t="str">
        <f t="shared" si="239"/>
        <v>classical music</v>
      </c>
      <c r="S2543" s="4">
        <f t="shared" si="236"/>
        <v>41483.449282407404</v>
      </c>
      <c r="T2543" s="4">
        <f t="shared" si="237"/>
        <v>41543.449282407404</v>
      </c>
      <c r="U2543" s="5">
        <f>VLOOKUP(currency,Tables!$A$1:$C$14,3,FALSE)*pledged</f>
        <v>4944.72</v>
      </c>
    </row>
    <row r="2544" spans="1:21" ht="43.2" x14ac:dyDescent="0.55000000000000004">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16">
        <f t="shared" si="235"/>
        <v>55.769230769230766</v>
      </c>
      <c r="Q2544" t="str">
        <f t="shared" si="238"/>
        <v>music</v>
      </c>
      <c r="R2544" t="str">
        <f t="shared" si="239"/>
        <v>classical music</v>
      </c>
      <c r="S2544" s="4">
        <f t="shared" si="236"/>
        <v>41509.426585648151</v>
      </c>
      <c r="T2544" s="4">
        <f t="shared" si="237"/>
        <v>41548.165972222225</v>
      </c>
      <c r="U2544" s="5">
        <f>VLOOKUP(currency,Tables!$A$1:$C$14,3,FALSE)*pledged</f>
        <v>725</v>
      </c>
    </row>
    <row r="2545" spans="1:21" ht="43.2" x14ac:dyDescent="0.55000000000000004">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16">
        <f t="shared" si="235"/>
        <v>30.076923076923077</v>
      </c>
      <c r="Q2545" t="str">
        <f t="shared" si="238"/>
        <v>music</v>
      </c>
      <c r="R2545" t="str">
        <f t="shared" si="239"/>
        <v>classical music</v>
      </c>
      <c r="S2545" s="4">
        <f t="shared" si="236"/>
        <v>40514.107615740737</v>
      </c>
      <c r="T2545" s="4">
        <f t="shared" si="237"/>
        <v>40545.125</v>
      </c>
      <c r="U2545" s="5">
        <f>VLOOKUP(currency,Tables!$A$1:$C$14,3,FALSE)*pledged</f>
        <v>391</v>
      </c>
    </row>
    <row r="2546" spans="1:21" ht="43.2" x14ac:dyDescent="0.55000000000000004">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16">
        <f t="shared" si="235"/>
        <v>88.438596491228068</v>
      </c>
      <c r="Q2546" t="str">
        <f t="shared" si="238"/>
        <v>music</v>
      </c>
      <c r="R2546" t="str">
        <f t="shared" si="239"/>
        <v>classical music</v>
      </c>
      <c r="S2546" s="4">
        <f t="shared" si="236"/>
        <v>41068.520474537036</v>
      </c>
      <c r="T2546" s="4">
        <f t="shared" si="237"/>
        <v>41098.520474537036</v>
      </c>
      <c r="U2546" s="5">
        <f>VLOOKUP(currency,Tables!$A$1:$C$14,3,FALSE)*pledged</f>
        <v>5041</v>
      </c>
    </row>
    <row r="2547" spans="1:21" ht="43.2" x14ac:dyDescent="0.55000000000000004">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16">
        <f t="shared" si="235"/>
        <v>64.032786885245898</v>
      </c>
      <c r="Q2547" t="str">
        <f t="shared" si="238"/>
        <v>music</v>
      </c>
      <c r="R2547" t="str">
        <f t="shared" si="239"/>
        <v>classical music</v>
      </c>
      <c r="S2547" s="4">
        <f t="shared" si="236"/>
        <v>42027.13817129629</v>
      </c>
      <c r="T2547" s="4">
        <f t="shared" si="237"/>
        <v>42062.020833333328</v>
      </c>
      <c r="U2547" s="5">
        <f>VLOOKUP(currency,Tables!$A$1:$C$14,3,FALSE)*pledged</f>
        <v>3906</v>
      </c>
    </row>
    <row r="2548" spans="1:21" ht="43.2" x14ac:dyDescent="0.55000000000000004">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16">
        <f t="shared" si="235"/>
        <v>60.153846153846153</v>
      </c>
      <c r="Q2548" t="str">
        <f t="shared" si="238"/>
        <v>music</v>
      </c>
      <c r="R2548" t="str">
        <f t="shared" si="239"/>
        <v>classical music</v>
      </c>
      <c r="S2548" s="4">
        <f t="shared" si="236"/>
        <v>41524.858553240738</v>
      </c>
      <c r="T2548" s="4">
        <f t="shared" si="237"/>
        <v>41552.208333333336</v>
      </c>
      <c r="U2548" s="5">
        <f>VLOOKUP(currency,Tables!$A$1:$C$14,3,FALSE)*pledged</f>
        <v>3910</v>
      </c>
    </row>
    <row r="2549" spans="1:21" ht="43.2" x14ac:dyDescent="0.55000000000000004">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16">
        <f t="shared" si="235"/>
        <v>49.194029850746269</v>
      </c>
      <c r="Q2549" t="str">
        <f t="shared" si="238"/>
        <v>music</v>
      </c>
      <c r="R2549" t="str">
        <f t="shared" si="239"/>
        <v>classical music</v>
      </c>
      <c r="S2549" s="4">
        <f t="shared" si="236"/>
        <v>40973.773182870369</v>
      </c>
      <c r="T2549" s="4">
        <f t="shared" si="237"/>
        <v>41003.731516203705</v>
      </c>
      <c r="U2549" s="5">
        <f>VLOOKUP(currency,Tables!$A$1:$C$14,3,FALSE)*pledged</f>
        <v>6592</v>
      </c>
    </row>
    <row r="2550" spans="1:21" ht="43.2" x14ac:dyDescent="0.55000000000000004">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16">
        <f t="shared" si="235"/>
        <v>165.16216216216216</v>
      </c>
      <c r="Q2550" t="str">
        <f t="shared" si="238"/>
        <v>music</v>
      </c>
      <c r="R2550" t="str">
        <f t="shared" si="239"/>
        <v>classical music</v>
      </c>
      <c r="S2550" s="4">
        <f t="shared" si="236"/>
        <v>42618.625428240746</v>
      </c>
      <c r="T2550" s="4">
        <f t="shared" si="237"/>
        <v>42643.185416666667</v>
      </c>
      <c r="U2550" s="5">
        <f>VLOOKUP(currency,Tables!$A$1:$C$14,3,FALSE)*pledged</f>
        <v>7210.98</v>
      </c>
    </row>
    <row r="2551" spans="1:21" ht="43.2" x14ac:dyDescent="0.55000000000000004">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16">
        <f t="shared" si="235"/>
        <v>43.621621621621621</v>
      </c>
      <c r="Q2551" t="str">
        <f t="shared" si="238"/>
        <v>music</v>
      </c>
      <c r="R2551" t="str">
        <f t="shared" si="239"/>
        <v>classical music</v>
      </c>
      <c r="S2551" s="4">
        <f t="shared" si="236"/>
        <v>41390.757754629631</v>
      </c>
      <c r="T2551" s="4">
        <f t="shared" si="237"/>
        <v>41425.708333333336</v>
      </c>
      <c r="U2551" s="5">
        <f>VLOOKUP(currency,Tables!$A$1:$C$14,3,FALSE)*pledged</f>
        <v>2130.48</v>
      </c>
    </row>
    <row r="2552" spans="1:21" ht="43.2" x14ac:dyDescent="0.55000000000000004">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16">
        <f t="shared" si="235"/>
        <v>43.7</v>
      </c>
      <c r="Q2552" t="str">
        <f t="shared" si="238"/>
        <v>music</v>
      </c>
      <c r="R2552" t="str">
        <f t="shared" si="239"/>
        <v>classical music</v>
      </c>
      <c r="S2552" s="4">
        <f t="shared" si="236"/>
        <v>42228.634328703702</v>
      </c>
      <c r="T2552" s="4">
        <f t="shared" si="237"/>
        <v>42285.165972222225</v>
      </c>
      <c r="U2552" s="5">
        <f>VLOOKUP(currency,Tables!$A$1:$C$14,3,FALSE)*pledged</f>
        <v>6555</v>
      </c>
    </row>
    <row r="2553" spans="1:21" ht="43.2" x14ac:dyDescent="0.55000000000000004">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16">
        <f t="shared" si="235"/>
        <v>67.419642857142861</v>
      </c>
      <c r="Q2553" t="str">
        <f t="shared" si="238"/>
        <v>music</v>
      </c>
      <c r="R2553" t="str">
        <f t="shared" si="239"/>
        <v>classical music</v>
      </c>
      <c r="S2553" s="4">
        <f t="shared" si="236"/>
        <v>40961.252141203702</v>
      </c>
      <c r="T2553" s="4">
        <f t="shared" si="237"/>
        <v>40989.866666666669</v>
      </c>
      <c r="U2553" s="5">
        <f>VLOOKUP(currency,Tables!$A$1:$C$14,3,FALSE)*pledged</f>
        <v>3775.5</v>
      </c>
    </row>
    <row r="2554" spans="1:21" ht="43.2" x14ac:dyDescent="0.55000000000000004">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16">
        <f t="shared" si="235"/>
        <v>177.5</v>
      </c>
      <c r="Q2554" t="str">
        <f t="shared" si="238"/>
        <v>music</v>
      </c>
      <c r="R2554" t="str">
        <f t="shared" si="239"/>
        <v>classical music</v>
      </c>
      <c r="S2554" s="4">
        <f t="shared" si="236"/>
        <v>42769.809965277775</v>
      </c>
      <c r="T2554" s="4">
        <f t="shared" si="237"/>
        <v>42799.809965277775</v>
      </c>
      <c r="U2554" s="5">
        <f>VLOOKUP(currency,Tables!$A$1:$C$14,3,FALSE)*pledged</f>
        <v>3195</v>
      </c>
    </row>
    <row r="2555" spans="1:21" ht="43.2" x14ac:dyDescent="0.55000000000000004">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16">
        <f t="shared" si="235"/>
        <v>38.883333333333333</v>
      </c>
      <c r="Q2555" t="str">
        <f t="shared" si="238"/>
        <v>music</v>
      </c>
      <c r="R2555" t="str">
        <f t="shared" si="239"/>
        <v>classical music</v>
      </c>
      <c r="S2555" s="4">
        <f t="shared" si="236"/>
        <v>41113.199155092596</v>
      </c>
      <c r="T2555" s="4">
        <f t="shared" si="237"/>
        <v>41173.199155092596</v>
      </c>
      <c r="U2555" s="5">
        <f>VLOOKUP(currency,Tables!$A$1:$C$14,3,FALSE)*pledged</f>
        <v>2333</v>
      </c>
    </row>
    <row r="2556" spans="1:21" ht="43.2" x14ac:dyDescent="0.55000000000000004">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16">
        <f t="shared" si="235"/>
        <v>54.985074626865675</v>
      </c>
      <c r="Q2556" t="str">
        <f t="shared" si="238"/>
        <v>music</v>
      </c>
      <c r="R2556" t="str">
        <f t="shared" si="239"/>
        <v>classical music</v>
      </c>
      <c r="S2556" s="4">
        <f t="shared" si="236"/>
        <v>42125.078275462962</v>
      </c>
      <c r="T2556" s="4">
        <f t="shared" si="237"/>
        <v>42156.165972222225</v>
      </c>
      <c r="U2556" s="5">
        <f>VLOOKUP(currency,Tables!$A$1:$C$14,3,FALSE)*pledged</f>
        <v>3684</v>
      </c>
    </row>
    <row r="2557" spans="1:21" ht="43.2" x14ac:dyDescent="0.55000000000000004">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16">
        <f t="shared" si="235"/>
        <v>61.342857142857142</v>
      </c>
      <c r="Q2557" t="str">
        <f t="shared" si="238"/>
        <v>music</v>
      </c>
      <c r="R2557" t="str">
        <f t="shared" si="239"/>
        <v>classical music</v>
      </c>
      <c r="S2557" s="4">
        <f t="shared" si="236"/>
        <v>41026.655011574076</v>
      </c>
      <c r="T2557" s="4">
        <f t="shared" si="237"/>
        <v>41057.655011574076</v>
      </c>
      <c r="U2557" s="5">
        <f>VLOOKUP(currency,Tables!$A$1:$C$14,3,FALSE)*pledged</f>
        <v>2147</v>
      </c>
    </row>
    <row r="2558" spans="1:21" ht="43.2" x14ac:dyDescent="0.55000000000000004">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16">
        <f t="shared" si="235"/>
        <v>23.117647058823529</v>
      </c>
      <c r="Q2558" t="str">
        <f t="shared" si="238"/>
        <v>music</v>
      </c>
      <c r="R2558" t="str">
        <f t="shared" si="239"/>
        <v>classical music</v>
      </c>
      <c r="S2558" s="4">
        <f t="shared" si="236"/>
        <v>41222.991400462961</v>
      </c>
      <c r="T2558" s="4">
        <f t="shared" si="237"/>
        <v>41267.991400462961</v>
      </c>
      <c r="U2558" s="5">
        <f>VLOOKUP(currency,Tables!$A$1:$C$14,3,FALSE)*pledged</f>
        <v>786</v>
      </c>
    </row>
    <row r="2559" spans="1:21" ht="28.8" x14ac:dyDescent="0.55000000000000004">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16">
        <f t="shared" si="235"/>
        <v>29.611111111111111</v>
      </c>
      <c r="Q2559" t="str">
        <f t="shared" si="238"/>
        <v>music</v>
      </c>
      <c r="R2559" t="str">
        <f t="shared" si="239"/>
        <v>classical music</v>
      </c>
      <c r="S2559" s="4">
        <f t="shared" si="236"/>
        <v>41744.745208333334</v>
      </c>
      <c r="T2559" s="4">
        <f t="shared" si="237"/>
        <v>41774.745208333334</v>
      </c>
      <c r="U2559" s="5">
        <f>VLOOKUP(currency,Tables!$A$1:$C$14,3,FALSE)*pledged</f>
        <v>1407.1200000000001</v>
      </c>
    </row>
    <row r="2560" spans="1:21" ht="28.8" x14ac:dyDescent="0.55000000000000004">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16">
        <f t="shared" si="235"/>
        <v>75.611111111111114</v>
      </c>
      <c r="Q2560" t="str">
        <f t="shared" si="238"/>
        <v>music</v>
      </c>
      <c r="R2560" t="str">
        <f t="shared" si="239"/>
        <v>classical music</v>
      </c>
      <c r="S2560" s="4">
        <f t="shared" si="236"/>
        <v>42093.860023148154</v>
      </c>
      <c r="T2560" s="4">
        <f t="shared" si="237"/>
        <v>42125.582638888889</v>
      </c>
      <c r="U2560" s="5">
        <f>VLOOKUP(currency,Tables!$A$1:$C$14,3,FALSE)*pledged</f>
        <v>993.53</v>
      </c>
    </row>
    <row r="2561" spans="1:21" ht="43.2" x14ac:dyDescent="0.55000000000000004">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234"/>
        <v>1.1125</v>
      </c>
      <c r="P2561" s="16">
        <f t="shared" si="235"/>
        <v>35.6</v>
      </c>
      <c r="Q2561" t="str">
        <f t="shared" si="238"/>
        <v>music</v>
      </c>
      <c r="R2561" t="str">
        <f t="shared" si="239"/>
        <v>classical music</v>
      </c>
      <c r="S2561" s="4">
        <f t="shared" si="236"/>
        <v>40829.873657407406</v>
      </c>
      <c r="T2561" s="4">
        <f t="shared" si="237"/>
        <v>40862.817361111112</v>
      </c>
      <c r="U2561" s="5">
        <f>VLOOKUP(currency,Tables!$A$1:$C$14,3,FALSE)*pledged</f>
        <v>890</v>
      </c>
    </row>
    <row r="2562" spans="1:21" ht="43.2" x14ac:dyDescent="0.55000000000000004">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ref="O2562:O2625" si="240">pledged/goal</f>
        <v>1.0009999999999999</v>
      </c>
      <c r="P2562" s="16">
        <f t="shared" ref="P2562:P2625" si="241">IF(pledged=0,0,pledged/backers_count)</f>
        <v>143</v>
      </c>
      <c r="Q2562" t="str">
        <f t="shared" si="238"/>
        <v>music</v>
      </c>
      <c r="R2562" t="str">
        <f t="shared" si="239"/>
        <v>classical music</v>
      </c>
      <c r="S2562" s="4">
        <f t="shared" ref="S2562:S2625" si="242">(((Unix_launched_date/60)/60)/24)+DATE(1970,1,1)</f>
        <v>42039.951087962967</v>
      </c>
      <c r="T2562" s="4">
        <f t="shared" ref="T2562:T2625" si="243">(((Unix_deadline/60)/60)/24)+DATE(1970,1,1)</f>
        <v>42069.951087962967</v>
      </c>
      <c r="U2562" s="5">
        <f>VLOOKUP(currency,Tables!$A$1:$C$14,3,FALSE)*pledged</f>
        <v>3963.96</v>
      </c>
    </row>
    <row r="2563" spans="1:21" ht="43.2" x14ac:dyDescent="0.55000000000000004">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si="240"/>
        <v>0</v>
      </c>
      <c r="P2563" s="16">
        <f t="shared" si="241"/>
        <v>0</v>
      </c>
      <c r="Q2563" t="str">
        <f t="shared" ref="Q2563:Q2626" si="244">LEFT(N2563,FIND("/",N2563,1)-1)</f>
        <v>food</v>
      </c>
      <c r="R2563" t="str">
        <f t="shared" ref="R2563:R2626" si="245">RIGHT(N2563,(LEN(N2563)-FIND("/",N2563,1)))</f>
        <v>food trucks</v>
      </c>
      <c r="S2563" s="4">
        <f t="shared" si="242"/>
        <v>42260.528807870374</v>
      </c>
      <c r="T2563" s="4">
        <f t="shared" si="243"/>
        <v>42290.528807870374</v>
      </c>
      <c r="U2563" s="5">
        <f>VLOOKUP(currency,Tables!$A$1:$C$14,3,FALSE)*pledged</f>
        <v>0</v>
      </c>
    </row>
    <row r="2564" spans="1:21" ht="57.6" x14ac:dyDescent="0.55000000000000004">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16">
        <f t="shared" si="241"/>
        <v>25</v>
      </c>
      <c r="Q2564" t="str">
        <f t="shared" si="244"/>
        <v>food</v>
      </c>
      <c r="R2564" t="str">
        <f t="shared" si="245"/>
        <v>food trucks</v>
      </c>
      <c r="S2564" s="4">
        <f t="shared" si="242"/>
        <v>42594.524756944447</v>
      </c>
      <c r="T2564" s="4">
        <f t="shared" si="243"/>
        <v>42654.524756944447</v>
      </c>
      <c r="U2564" s="5">
        <f>VLOOKUP(currency,Tables!$A$1:$C$14,3,FALSE)*pledged</f>
        <v>88.5</v>
      </c>
    </row>
    <row r="2565" spans="1:21" ht="28.8" x14ac:dyDescent="0.55000000000000004">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240"/>
        <v>0</v>
      </c>
      <c r="P2565" s="16">
        <f t="shared" si="241"/>
        <v>0</v>
      </c>
      <c r="Q2565" t="str">
        <f t="shared" si="244"/>
        <v>food</v>
      </c>
      <c r="R2565" t="str">
        <f t="shared" si="245"/>
        <v>food trucks</v>
      </c>
      <c r="S2565" s="4">
        <f t="shared" si="242"/>
        <v>42155.139479166668</v>
      </c>
      <c r="T2565" s="4">
        <f t="shared" si="243"/>
        <v>42215.139479166668</v>
      </c>
      <c r="U2565" s="5">
        <f>VLOOKUP(currency,Tables!$A$1:$C$14,3,FALSE)*pledged</f>
        <v>0</v>
      </c>
    </row>
    <row r="2566" spans="1:21" ht="43.2" x14ac:dyDescent="0.55000000000000004">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240"/>
        <v>0</v>
      </c>
      <c r="P2566" s="16">
        <f t="shared" si="241"/>
        <v>0</v>
      </c>
      <c r="Q2566" t="str">
        <f t="shared" si="244"/>
        <v>food</v>
      </c>
      <c r="R2566" t="str">
        <f t="shared" si="245"/>
        <v>food trucks</v>
      </c>
      <c r="S2566" s="4">
        <f t="shared" si="242"/>
        <v>41822.040497685186</v>
      </c>
      <c r="T2566" s="4">
        <f t="shared" si="243"/>
        <v>41852.040497685186</v>
      </c>
      <c r="U2566" s="5">
        <f>VLOOKUP(currency,Tables!$A$1:$C$14,3,FALSE)*pledged</f>
        <v>0</v>
      </c>
    </row>
    <row r="2567" spans="1:21" ht="43.2" x14ac:dyDescent="0.55000000000000004">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240"/>
        <v>0.01</v>
      </c>
      <c r="P2567" s="16">
        <f t="shared" si="241"/>
        <v>100</v>
      </c>
      <c r="Q2567" t="str">
        <f t="shared" si="244"/>
        <v>food</v>
      </c>
      <c r="R2567" t="str">
        <f t="shared" si="245"/>
        <v>food trucks</v>
      </c>
      <c r="S2567" s="4">
        <f t="shared" si="242"/>
        <v>42440.650335648148</v>
      </c>
      <c r="T2567" s="4">
        <f t="shared" si="243"/>
        <v>42499.868055555555</v>
      </c>
      <c r="U2567" s="5">
        <f>VLOOKUP(currency,Tables!$A$1:$C$14,3,FALSE)*pledged</f>
        <v>100</v>
      </c>
    </row>
    <row r="2568" spans="1:21" ht="43.2" x14ac:dyDescent="0.55000000000000004">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240"/>
        <v>0</v>
      </c>
      <c r="P2568" s="16">
        <f t="shared" si="241"/>
        <v>0</v>
      </c>
      <c r="Q2568" t="str">
        <f t="shared" si="244"/>
        <v>food</v>
      </c>
      <c r="R2568" t="str">
        <f t="shared" si="245"/>
        <v>food trucks</v>
      </c>
      <c r="S2568" s="4">
        <f t="shared" si="242"/>
        <v>41842.980879629627</v>
      </c>
      <c r="T2568" s="4">
        <f t="shared" si="243"/>
        <v>41872.980879629627</v>
      </c>
      <c r="U2568" s="5">
        <f>VLOOKUP(currency,Tables!$A$1:$C$14,3,FALSE)*pledged</f>
        <v>0</v>
      </c>
    </row>
    <row r="2569" spans="1:21" ht="43.2" x14ac:dyDescent="0.55000000000000004">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16">
        <f t="shared" si="241"/>
        <v>60</v>
      </c>
      <c r="Q2569" t="str">
        <f t="shared" si="244"/>
        <v>food</v>
      </c>
      <c r="R2569" t="str">
        <f t="shared" si="245"/>
        <v>food trucks</v>
      </c>
      <c r="S2569" s="4">
        <f t="shared" si="242"/>
        <v>42087.878912037035</v>
      </c>
      <c r="T2569" s="4">
        <f t="shared" si="243"/>
        <v>42117.878912037035</v>
      </c>
      <c r="U2569" s="5">
        <f>VLOOKUP(currency,Tables!$A$1:$C$14,3,FALSE)*pledged</f>
        <v>120</v>
      </c>
    </row>
    <row r="2570" spans="1:21" ht="43.2" x14ac:dyDescent="0.55000000000000004">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16">
        <f t="shared" si="241"/>
        <v>50</v>
      </c>
      <c r="Q2570" t="str">
        <f t="shared" si="244"/>
        <v>food</v>
      </c>
      <c r="R2570" t="str">
        <f t="shared" si="245"/>
        <v>food trucks</v>
      </c>
      <c r="S2570" s="4">
        <f t="shared" si="242"/>
        <v>42584.666597222225</v>
      </c>
      <c r="T2570" s="4">
        <f t="shared" si="243"/>
        <v>42614.666597222225</v>
      </c>
      <c r="U2570" s="5">
        <f>VLOOKUP(currency,Tables!$A$1:$C$14,3,FALSE)*pledged</f>
        <v>66</v>
      </c>
    </row>
    <row r="2571" spans="1:21" ht="43.2" x14ac:dyDescent="0.55000000000000004">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16">
        <f t="shared" si="241"/>
        <v>72.5</v>
      </c>
      <c r="Q2571" t="str">
        <f t="shared" si="244"/>
        <v>food</v>
      </c>
      <c r="R2571" t="str">
        <f t="shared" si="245"/>
        <v>food trucks</v>
      </c>
      <c r="S2571" s="4">
        <f t="shared" si="242"/>
        <v>42234.105462962965</v>
      </c>
      <c r="T2571" s="4">
        <f t="shared" si="243"/>
        <v>42264.105462962965</v>
      </c>
      <c r="U2571" s="5">
        <f>VLOOKUP(currency,Tables!$A$1:$C$14,3,FALSE)*pledged</f>
        <v>145</v>
      </c>
    </row>
    <row r="2572" spans="1:21" ht="43.2" x14ac:dyDescent="0.55000000000000004">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16">
        <f t="shared" si="241"/>
        <v>29.5</v>
      </c>
      <c r="Q2572" t="str">
        <f t="shared" si="244"/>
        <v>food</v>
      </c>
      <c r="R2572" t="str">
        <f t="shared" si="245"/>
        <v>food trucks</v>
      </c>
      <c r="S2572" s="4">
        <f t="shared" si="242"/>
        <v>42744.903182870374</v>
      </c>
      <c r="T2572" s="4">
        <f t="shared" si="243"/>
        <v>42774.903182870374</v>
      </c>
      <c r="U2572" s="5">
        <f>VLOOKUP(currency,Tables!$A$1:$C$14,3,FALSE)*pledged</f>
        <v>59</v>
      </c>
    </row>
    <row r="2573" spans="1:21" ht="43.2" x14ac:dyDescent="0.55000000000000004">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16">
        <f t="shared" si="241"/>
        <v>62.5</v>
      </c>
      <c r="Q2573" t="str">
        <f t="shared" si="244"/>
        <v>food</v>
      </c>
      <c r="R2573" t="str">
        <f t="shared" si="245"/>
        <v>food trucks</v>
      </c>
      <c r="S2573" s="4">
        <f t="shared" si="242"/>
        <v>42449.341678240744</v>
      </c>
      <c r="T2573" s="4">
        <f t="shared" si="243"/>
        <v>42509.341678240744</v>
      </c>
      <c r="U2573" s="5">
        <f>VLOOKUP(currency,Tables!$A$1:$C$14,3,FALSE)*pledged</f>
        <v>182.5</v>
      </c>
    </row>
    <row r="2574" spans="1:21" ht="43.2" x14ac:dyDescent="0.55000000000000004">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240"/>
        <v>0</v>
      </c>
      <c r="P2574" s="16">
        <f t="shared" si="241"/>
        <v>0</v>
      </c>
      <c r="Q2574" t="str">
        <f t="shared" si="244"/>
        <v>food</v>
      </c>
      <c r="R2574" t="str">
        <f t="shared" si="245"/>
        <v>food trucks</v>
      </c>
      <c r="S2574" s="4">
        <f t="shared" si="242"/>
        <v>42077.119409722218</v>
      </c>
      <c r="T2574" s="4">
        <f t="shared" si="243"/>
        <v>42107.119409722218</v>
      </c>
      <c r="U2574" s="5">
        <f>VLOOKUP(currency,Tables!$A$1:$C$14,3,FALSE)*pledged</f>
        <v>0</v>
      </c>
    </row>
    <row r="2575" spans="1:21" ht="43.2" x14ac:dyDescent="0.55000000000000004">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240"/>
        <v>0</v>
      </c>
      <c r="P2575" s="16">
        <f t="shared" si="241"/>
        <v>0</v>
      </c>
      <c r="Q2575" t="str">
        <f t="shared" si="244"/>
        <v>food</v>
      </c>
      <c r="R2575" t="str">
        <f t="shared" si="245"/>
        <v>food trucks</v>
      </c>
      <c r="S2575" s="4">
        <f t="shared" si="242"/>
        <v>41829.592002314814</v>
      </c>
      <c r="T2575" s="4">
        <f t="shared" si="243"/>
        <v>41874.592002314814</v>
      </c>
      <c r="U2575" s="5">
        <f>VLOOKUP(currency,Tables!$A$1:$C$14,3,FALSE)*pledged</f>
        <v>0</v>
      </c>
    </row>
    <row r="2576" spans="1:21" ht="43.2" x14ac:dyDescent="0.55000000000000004">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240"/>
        <v>0</v>
      </c>
      <c r="P2576" s="16">
        <f t="shared" si="241"/>
        <v>0</v>
      </c>
      <c r="Q2576" t="str">
        <f t="shared" si="244"/>
        <v>food</v>
      </c>
      <c r="R2576" t="str">
        <f t="shared" si="245"/>
        <v>food trucks</v>
      </c>
      <c r="S2576" s="4">
        <f t="shared" si="242"/>
        <v>42487.825752314813</v>
      </c>
      <c r="T2576" s="4">
        <f t="shared" si="243"/>
        <v>42508.825752314813</v>
      </c>
      <c r="U2576" s="5">
        <f>VLOOKUP(currency,Tables!$A$1:$C$14,3,FALSE)*pledged</f>
        <v>0</v>
      </c>
    </row>
    <row r="2577" spans="1:21" ht="43.2" x14ac:dyDescent="0.55000000000000004">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240"/>
        <v>0</v>
      </c>
      <c r="P2577" s="16">
        <f t="shared" si="241"/>
        <v>0</v>
      </c>
      <c r="Q2577" t="str">
        <f t="shared" si="244"/>
        <v>food</v>
      </c>
      <c r="R2577" t="str">
        <f t="shared" si="245"/>
        <v>food trucks</v>
      </c>
      <c r="S2577" s="4">
        <f t="shared" si="242"/>
        <v>41986.108726851846</v>
      </c>
      <c r="T2577" s="4">
        <f t="shared" si="243"/>
        <v>42016.108726851846</v>
      </c>
      <c r="U2577" s="5">
        <f>VLOOKUP(currency,Tables!$A$1:$C$14,3,FALSE)*pledged</f>
        <v>0</v>
      </c>
    </row>
    <row r="2578" spans="1:21" ht="28.8" x14ac:dyDescent="0.55000000000000004">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240"/>
        <v>0</v>
      </c>
      <c r="P2578" s="16">
        <f t="shared" si="241"/>
        <v>0</v>
      </c>
      <c r="Q2578" t="str">
        <f t="shared" si="244"/>
        <v>food</v>
      </c>
      <c r="R2578" t="str">
        <f t="shared" si="245"/>
        <v>food trucks</v>
      </c>
      <c r="S2578" s="4">
        <f t="shared" si="242"/>
        <v>42060.00980324074</v>
      </c>
      <c r="T2578" s="4">
        <f t="shared" si="243"/>
        <v>42104.968136574069</v>
      </c>
      <c r="U2578" s="5">
        <f>VLOOKUP(currency,Tables!$A$1:$C$14,3,FALSE)*pledged</f>
        <v>0</v>
      </c>
    </row>
    <row r="2579" spans="1:21" ht="43.2" x14ac:dyDescent="0.55000000000000004">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240"/>
        <v>0</v>
      </c>
      <c r="P2579" s="16">
        <f t="shared" si="241"/>
        <v>0</v>
      </c>
      <c r="Q2579" t="str">
        <f t="shared" si="244"/>
        <v>food</v>
      </c>
      <c r="R2579" t="str">
        <f t="shared" si="245"/>
        <v>food trucks</v>
      </c>
      <c r="S2579" s="4">
        <f t="shared" si="242"/>
        <v>41830.820567129631</v>
      </c>
      <c r="T2579" s="4">
        <f t="shared" si="243"/>
        <v>41855.820567129631</v>
      </c>
      <c r="U2579" s="5">
        <f>VLOOKUP(currency,Tables!$A$1:$C$14,3,FALSE)*pledged</f>
        <v>0</v>
      </c>
    </row>
    <row r="2580" spans="1:21" ht="43.2" x14ac:dyDescent="0.55000000000000004">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240"/>
        <v>0</v>
      </c>
      <c r="P2580" s="16">
        <f t="shared" si="241"/>
        <v>0</v>
      </c>
      <c r="Q2580" t="str">
        <f t="shared" si="244"/>
        <v>food</v>
      </c>
      <c r="R2580" t="str">
        <f t="shared" si="245"/>
        <v>food trucks</v>
      </c>
      <c r="S2580" s="4">
        <f t="shared" si="242"/>
        <v>42238.022905092599</v>
      </c>
      <c r="T2580" s="4">
        <f t="shared" si="243"/>
        <v>42286.708333333328</v>
      </c>
      <c r="U2580" s="5">
        <f>VLOOKUP(currency,Tables!$A$1:$C$14,3,FALSE)*pledged</f>
        <v>0</v>
      </c>
    </row>
    <row r="2581" spans="1:21" ht="43.2" x14ac:dyDescent="0.55000000000000004">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16">
        <f t="shared" si="241"/>
        <v>23.083333333333332</v>
      </c>
      <c r="Q2581" t="str">
        <f t="shared" si="244"/>
        <v>food</v>
      </c>
      <c r="R2581" t="str">
        <f t="shared" si="245"/>
        <v>food trucks</v>
      </c>
      <c r="S2581" s="4">
        <f t="shared" si="242"/>
        <v>41837.829895833333</v>
      </c>
      <c r="T2581" s="4">
        <f t="shared" si="243"/>
        <v>41897.829895833333</v>
      </c>
      <c r="U2581" s="5">
        <f>VLOOKUP(currency,Tables!$A$1:$C$14,3,FALSE)*pledged</f>
        <v>277</v>
      </c>
    </row>
    <row r="2582" spans="1:21" ht="43.2" x14ac:dyDescent="0.55000000000000004">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16">
        <f t="shared" si="241"/>
        <v>25.5</v>
      </c>
      <c r="Q2582" t="str">
        <f t="shared" si="244"/>
        <v>food</v>
      </c>
      <c r="R2582" t="str">
        <f t="shared" si="245"/>
        <v>food trucks</v>
      </c>
      <c r="S2582" s="4">
        <f t="shared" si="242"/>
        <v>42110.326423611114</v>
      </c>
      <c r="T2582" s="4">
        <f t="shared" si="243"/>
        <v>42140.125</v>
      </c>
      <c r="U2582" s="5">
        <f>VLOOKUP(currency,Tables!$A$1:$C$14,3,FALSE)*pledged</f>
        <v>51</v>
      </c>
    </row>
    <row r="2583" spans="1:21" ht="43.2" x14ac:dyDescent="0.55000000000000004">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240"/>
        <v>0.106</v>
      </c>
      <c r="P2583" s="16">
        <f t="shared" si="241"/>
        <v>48.18181818181818</v>
      </c>
      <c r="Q2583" t="str">
        <f t="shared" si="244"/>
        <v>food</v>
      </c>
      <c r="R2583" t="str">
        <f t="shared" si="245"/>
        <v>food trucks</v>
      </c>
      <c r="S2583" s="4">
        <f t="shared" si="242"/>
        <v>42294.628449074073</v>
      </c>
      <c r="T2583" s="4">
        <f t="shared" si="243"/>
        <v>42324.670115740737</v>
      </c>
      <c r="U2583" s="5">
        <f>VLOOKUP(currency,Tables!$A$1:$C$14,3,FALSE)*pledged</f>
        <v>530</v>
      </c>
    </row>
    <row r="2584" spans="1:21" ht="28.8" x14ac:dyDescent="0.55000000000000004">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16">
        <f t="shared" si="241"/>
        <v>1</v>
      </c>
      <c r="Q2584" t="str">
        <f t="shared" si="244"/>
        <v>food</v>
      </c>
      <c r="R2584" t="str">
        <f t="shared" si="245"/>
        <v>food trucks</v>
      </c>
      <c r="S2584" s="4">
        <f t="shared" si="242"/>
        <v>42642.988819444443</v>
      </c>
      <c r="T2584" s="4">
        <f t="shared" si="243"/>
        <v>42672.988819444443</v>
      </c>
      <c r="U2584" s="5">
        <f>VLOOKUP(currency,Tables!$A$1:$C$14,3,FALSE)*pledged</f>
        <v>1</v>
      </c>
    </row>
    <row r="2585" spans="1:21" ht="43.2" x14ac:dyDescent="0.55000000000000004">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16">
        <f t="shared" si="241"/>
        <v>1</v>
      </c>
      <c r="Q2585" t="str">
        <f t="shared" si="244"/>
        <v>food</v>
      </c>
      <c r="R2585" t="str">
        <f t="shared" si="245"/>
        <v>food trucks</v>
      </c>
      <c r="S2585" s="4">
        <f t="shared" si="242"/>
        <v>42019.76944444445</v>
      </c>
      <c r="T2585" s="4">
        <f t="shared" si="243"/>
        <v>42079.727777777778</v>
      </c>
      <c r="U2585" s="5">
        <f>VLOOKUP(currency,Tables!$A$1:$C$14,3,FALSE)*pledged</f>
        <v>5</v>
      </c>
    </row>
    <row r="2586" spans="1:21" ht="28.8" x14ac:dyDescent="0.55000000000000004">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240"/>
        <v>0</v>
      </c>
      <c r="P2586" s="16">
        <f t="shared" si="241"/>
        <v>0</v>
      </c>
      <c r="Q2586" t="str">
        <f t="shared" si="244"/>
        <v>food</v>
      </c>
      <c r="R2586" t="str">
        <f t="shared" si="245"/>
        <v>food trucks</v>
      </c>
      <c r="S2586" s="4">
        <f t="shared" si="242"/>
        <v>42140.173252314817</v>
      </c>
      <c r="T2586" s="4">
        <f t="shared" si="243"/>
        <v>42170.173252314817</v>
      </c>
      <c r="U2586" s="5">
        <f>VLOOKUP(currency,Tables!$A$1:$C$14,3,FALSE)*pledged</f>
        <v>0</v>
      </c>
    </row>
    <row r="2587" spans="1:21" ht="43.2" x14ac:dyDescent="0.55000000000000004">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16">
        <f t="shared" si="241"/>
        <v>50</v>
      </c>
      <c r="Q2587" t="str">
        <f t="shared" si="244"/>
        <v>food</v>
      </c>
      <c r="R2587" t="str">
        <f t="shared" si="245"/>
        <v>food trucks</v>
      </c>
      <c r="S2587" s="4">
        <f t="shared" si="242"/>
        <v>41795.963333333333</v>
      </c>
      <c r="T2587" s="4">
        <f t="shared" si="243"/>
        <v>41825.963333333333</v>
      </c>
      <c r="U2587" s="5">
        <f>VLOOKUP(currency,Tables!$A$1:$C$14,3,FALSE)*pledged</f>
        <v>50</v>
      </c>
    </row>
    <row r="2588" spans="1:21" ht="28.8" x14ac:dyDescent="0.55000000000000004">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16">
        <f t="shared" si="241"/>
        <v>5</v>
      </c>
      <c r="Q2588" t="str">
        <f t="shared" si="244"/>
        <v>food</v>
      </c>
      <c r="R2588" t="str">
        <f t="shared" si="245"/>
        <v>food trucks</v>
      </c>
      <c r="S2588" s="4">
        <f t="shared" si="242"/>
        <v>42333.330277777779</v>
      </c>
      <c r="T2588" s="4">
        <f t="shared" si="243"/>
        <v>42363.330277777779</v>
      </c>
      <c r="U2588" s="5">
        <f>VLOOKUP(currency,Tables!$A$1:$C$14,3,FALSE)*pledged</f>
        <v>6.6000000000000005</v>
      </c>
    </row>
    <row r="2589" spans="1:21" ht="43.2" x14ac:dyDescent="0.55000000000000004">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16">
        <f t="shared" si="241"/>
        <v>202.83333333333334</v>
      </c>
      <c r="Q2589" t="str">
        <f t="shared" si="244"/>
        <v>food</v>
      </c>
      <c r="R2589" t="str">
        <f t="shared" si="245"/>
        <v>food trucks</v>
      </c>
      <c r="S2589" s="4">
        <f t="shared" si="242"/>
        <v>42338.675381944442</v>
      </c>
      <c r="T2589" s="4">
        <f t="shared" si="243"/>
        <v>42368.675381944442</v>
      </c>
      <c r="U2589" s="5">
        <f>VLOOKUP(currency,Tables!$A$1:$C$14,3,FALSE)*pledged</f>
        <v>1217</v>
      </c>
    </row>
    <row r="2590" spans="1:21" ht="43.2" x14ac:dyDescent="0.55000000000000004">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16">
        <f t="shared" si="241"/>
        <v>29.125</v>
      </c>
      <c r="Q2590" t="str">
        <f t="shared" si="244"/>
        <v>food</v>
      </c>
      <c r="R2590" t="str">
        <f t="shared" si="245"/>
        <v>food trucks</v>
      </c>
      <c r="S2590" s="4">
        <f t="shared" si="242"/>
        <v>42042.676226851851</v>
      </c>
      <c r="T2590" s="4">
        <f t="shared" si="243"/>
        <v>42094.551388888889</v>
      </c>
      <c r="U2590" s="5">
        <f>VLOOKUP(currency,Tables!$A$1:$C$14,3,FALSE)*pledged</f>
        <v>233</v>
      </c>
    </row>
    <row r="2591" spans="1:21" ht="43.2" x14ac:dyDescent="0.55000000000000004">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240"/>
        <v>1E-4</v>
      </c>
      <c r="P2591" s="16">
        <f t="shared" si="241"/>
        <v>5</v>
      </c>
      <c r="Q2591" t="str">
        <f t="shared" si="244"/>
        <v>food</v>
      </c>
      <c r="R2591" t="str">
        <f t="shared" si="245"/>
        <v>food trucks</v>
      </c>
      <c r="S2591" s="4">
        <f t="shared" si="242"/>
        <v>42422.536192129628</v>
      </c>
      <c r="T2591" s="4">
        <f t="shared" si="243"/>
        <v>42452.494525462964</v>
      </c>
      <c r="U2591" s="5">
        <f>VLOOKUP(currency,Tables!$A$1:$C$14,3,FALSE)*pledged</f>
        <v>0.8</v>
      </c>
    </row>
    <row r="2592" spans="1:21" ht="43.2" x14ac:dyDescent="0.55000000000000004">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240"/>
        <v>0</v>
      </c>
      <c r="P2592" s="16">
        <f t="shared" si="241"/>
        <v>0</v>
      </c>
      <c r="Q2592" t="str">
        <f t="shared" si="244"/>
        <v>food</v>
      </c>
      <c r="R2592" t="str">
        <f t="shared" si="245"/>
        <v>food trucks</v>
      </c>
      <c r="S2592" s="4">
        <f t="shared" si="242"/>
        <v>42388.589085648149</v>
      </c>
      <c r="T2592" s="4">
        <f t="shared" si="243"/>
        <v>42395.589085648149</v>
      </c>
      <c r="U2592" s="5">
        <f>VLOOKUP(currency,Tables!$A$1:$C$14,3,FALSE)*pledged</f>
        <v>0</v>
      </c>
    </row>
    <row r="2593" spans="1:21" ht="43.2" x14ac:dyDescent="0.55000000000000004">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16">
        <f t="shared" si="241"/>
        <v>13</v>
      </c>
      <c r="Q2593" t="str">
        <f t="shared" si="244"/>
        <v>food</v>
      </c>
      <c r="R2593" t="str">
        <f t="shared" si="245"/>
        <v>food trucks</v>
      </c>
      <c r="S2593" s="4">
        <f t="shared" si="242"/>
        <v>42382.906527777777</v>
      </c>
      <c r="T2593" s="4">
        <f t="shared" si="243"/>
        <v>42442.864861111113</v>
      </c>
      <c r="U2593" s="5">
        <f>VLOOKUP(currency,Tables!$A$1:$C$14,3,FALSE)*pledged</f>
        <v>26</v>
      </c>
    </row>
    <row r="2594" spans="1:21" ht="43.2" x14ac:dyDescent="0.55000000000000004">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16">
        <f t="shared" si="241"/>
        <v>50</v>
      </c>
      <c r="Q2594" t="str">
        <f t="shared" si="244"/>
        <v>food</v>
      </c>
      <c r="R2594" t="str">
        <f t="shared" si="245"/>
        <v>food trucks</v>
      </c>
      <c r="S2594" s="4">
        <f t="shared" si="242"/>
        <v>41887.801168981481</v>
      </c>
      <c r="T2594" s="4">
        <f t="shared" si="243"/>
        <v>41917.801168981481</v>
      </c>
      <c r="U2594" s="5">
        <f>VLOOKUP(currency,Tables!$A$1:$C$14,3,FALSE)*pledged</f>
        <v>50</v>
      </c>
    </row>
    <row r="2595" spans="1:21" ht="43.2" x14ac:dyDescent="0.55000000000000004">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240"/>
        <v>0</v>
      </c>
      <c r="P2595" s="16">
        <f t="shared" si="241"/>
        <v>0</v>
      </c>
      <c r="Q2595" t="str">
        <f t="shared" si="244"/>
        <v>food</v>
      </c>
      <c r="R2595" t="str">
        <f t="shared" si="245"/>
        <v>food trucks</v>
      </c>
      <c r="S2595" s="4">
        <f t="shared" si="242"/>
        <v>42089.84520833334</v>
      </c>
      <c r="T2595" s="4">
        <f t="shared" si="243"/>
        <v>42119.84520833334</v>
      </c>
      <c r="U2595" s="5">
        <f>VLOOKUP(currency,Tables!$A$1:$C$14,3,FALSE)*pledged</f>
        <v>0</v>
      </c>
    </row>
    <row r="2596" spans="1:21" ht="43.2" x14ac:dyDescent="0.55000000000000004">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16">
        <f t="shared" si="241"/>
        <v>1</v>
      </c>
      <c r="Q2596" t="str">
        <f t="shared" si="244"/>
        <v>food</v>
      </c>
      <c r="R2596" t="str">
        <f t="shared" si="245"/>
        <v>food trucks</v>
      </c>
      <c r="S2596" s="4">
        <f t="shared" si="242"/>
        <v>41828.967916666668</v>
      </c>
      <c r="T2596" s="4">
        <f t="shared" si="243"/>
        <v>41858.967916666668</v>
      </c>
      <c r="U2596" s="5">
        <f>VLOOKUP(currency,Tables!$A$1:$C$14,3,FALSE)*pledged</f>
        <v>1</v>
      </c>
    </row>
    <row r="2597" spans="1:21" ht="28.8" x14ac:dyDescent="0.55000000000000004">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16">
        <f t="shared" si="241"/>
        <v>96.05263157894737</v>
      </c>
      <c r="Q2597" t="str">
        <f t="shared" si="244"/>
        <v>food</v>
      </c>
      <c r="R2597" t="str">
        <f t="shared" si="245"/>
        <v>food trucks</v>
      </c>
      <c r="S2597" s="4">
        <f t="shared" si="242"/>
        <v>42760.244212962964</v>
      </c>
      <c r="T2597" s="4">
        <f t="shared" si="243"/>
        <v>42790.244212962964</v>
      </c>
      <c r="U2597" s="5">
        <f>VLOOKUP(currency,Tables!$A$1:$C$14,3,FALSE)*pledged</f>
        <v>1825</v>
      </c>
    </row>
    <row r="2598" spans="1:21" ht="43.2" x14ac:dyDescent="0.55000000000000004">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16">
        <f t="shared" si="241"/>
        <v>305.77777777777777</v>
      </c>
      <c r="Q2598" t="str">
        <f t="shared" si="244"/>
        <v>food</v>
      </c>
      <c r="R2598" t="str">
        <f t="shared" si="245"/>
        <v>food trucks</v>
      </c>
      <c r="S2598" s="4">
        <f t="shared" si="242"/>
        <v>41828.664456018516</v>
      </c>
      <c r="T2598" s="4">
        <f t="shared" si="243"/>
        <v>41858.664456018516</v>
      </c>
      <c r="U2598" s="5">
        <f>VLOOKUP(currency,Tables!$A$1:$C$14,3,FALSE)*pledged</f>
        <v>6274.56</v>
      </c>
    </row>
    <row r="2599" spans="1:21" ht="43.2" x14ac:dyDescent="0.55000000000000004">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16">
        <f t="shared" si="241"/>
        <v>12.142857142857142</v>
      </c>
      <c r="Q2599" t="str">
        <f t="shared" si="244"/>
        <v>food</v>
      </c>
      <c r="R2599" t="str">
        <f t="shared" si="245"/>
        <v>food trucks</v>
      </c>
      <c r="S2599" s="4">
        <f t="shared" si="242"/>
        <v>42510.341631944444</v>
      </c>
      <c r="T2599" s="4">
        <f t="shared" si="243"/>
        <v>42540.341631944444</v>
      </c>
      <c r="U2599" s="5">
        <f>VLOOKUP(currency,Tables!$A$1:$C$14,3,FALSE)*pledged</f>
        <v>112.2</v>
      </c>
    </row>
    <row r="2600" spans="1:21" ht="43.2" x14ac:dyDescent="0.55000000000000004">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240"/>
        <v>0.39</v>
      </c>
      <c r="P2600" s="16">
        <f t="shared" si="241"/>
        <v>83.571428571428569</v>
      </c>
      <c r="Q2600" t="str">
        <f t="shared" si="244"/>
        <v>food</v>
      </c>
      <c r="R2600" t="str">
        <f t="shared" si="245"/>
        <v>food trucks</v>
      </c>
      <c r="S2600" s="4">
        <f t="shared" si="242"/>
        <v>42240.840289351851</v>
      </c>
      <c r="T2600" s="4">
        <f t="shared" si="243"/>
        <v>42270.840289351851</v>
      </c>
      <c r="U2600" s="5">
        <f>VLOOKUP(currency,Tables!$A$1:$C$14,3,FALSE)*pledged</f>
        <v>1170</v>
      </c>
    </row>
    <row r="2601" spans="1:21" ht="28.8" x14ac:dyDescent="0.55000000000000004">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16">
        <f t="shared" si="241"/>
        <v>18</v>
      </c>
      <c r="Q2601" t="str">
        <f t="shared" si="244"/>
        <v>food</v>
      </c>
      <c r="R2601" t="str">
        <f t="shared" si="245"/>
        <v>food trucks</v>
      </c>
      <c r="S2601" s="4">
        <f t="shared" si="242"/>
        <v>41809.754016203704</v>
      </c>
      <c r="T2601" s="4">
        <f t="shared" si="243"/>
        <v>41854.754016203704</v>
      </c>
      <c r="U2601" s="5">
        <f>VLOOKUP(currency,Tables!$A$1:$C$14,3,FALSE)*pledged</f>
        <v>90</v>
      </c>
    </row>
    <row r="2602" spans="1:21" ht="28.8" x14ac:dyDescent="0.55000000000000004">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16">
        <f t="shared" si="241"/>
        <v>115.53333333333333</v>
      </c>
      <c r="Q2602" t="str">
        <f t="shared" si="244"/>
        <v>food</v>
      </c>
      <c r="R2602" t="str">
        <f t="shared" si="245"/>
        <v>food trucks</v>
      </c>
      <c r="S2602" s="4">
        <f t="shared" si="242"/>
        <v>42394.900462962964</v>
      </c>
      <c r="T2602" s="4">
        <f t="shared" si="243"/>
        <v>42454.858796296292</v>
      </c>
      <c r="U2602" s="5">
        <f>VLOOKUP(currency,Tables!$A$1:$C$14,3,FALSE)*pledged</f>
        <v>3466</v>
      </c>
    </row>
    <row r="2603" spans="1:21" ht="43.2" x14ac:dyDescent="0.55000000000000004">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16">
        <f t="shared" si="241"/>
        <v>21.900662251655628</v>
      </c>
      <c r="Q2603" t="str">
        <f t="shared" si="244"/>
        <v>technology</v>
      </c>
      <c r="R2603" t="str">
        <f t="shared" si="245"/>
        <v>space exploration</v>
      </c>
      <c r="S2603" s="4">
        <f t="shared" si="242"/>
        <v>41150.902187499996</v>
      </c>
      <c r="T2603" s="4">
        <f t="shared" si="243"/>
        <v>41165.165972222225</v>
      </c>
      <c r="U2603" s="5">
        <f>VLOOKUP(currency,Tables!$A$1:$C$14,3,FALSE)*pledged</f>
        <v>3307</v>
      </c>
    </row>
    <row r="2604" spans="1:21" ht="43.2" x14ac:dyDescent="0.55000000000000004">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16">
        <f t="shared" si="241"/>
        <v>80.022494887525568</v>
      </c>
      <c r="Q2604" t="str">
        <f t="shared" si="244"/>
        <v>technology</v>
      </c>
      <c r="R2604" t="str">
        <f t="shared" si="245"/>
        <v>space exploration</v>
      </c>
      <c r="S2604" s="4">
        <f t="shared" si="242"/>
        <v>41915.747314814813</v>
      </c>
      <c r="T2604" s="4">
        <f t="shared" si="243"/>
        <v>41955.888888888891</v>
      </c>
      <c r="U2604" s="5">
        <f>VLOOKUP(currency,Tables!$A$1:$C$14,3,FALSE)*pledged</f>
        <v>39131</v>
      </c>
    </row>
    <row r="2605" spans="1:21" ht="28.8" x14ac:dyDescent="0.55000000000000004">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16">
        <f t="shared" si="241"/>
        <v>35.520000000000003</v>
      </c>
      <c r="Q2605" t="str">
        <f t="shared" si="244"/>
        <v>technology</v>
      </c>
      <c r="R2605" t="str">
        <f t="shared" si="245"/>
        <v>space exploration</v>
      </c>
      <c r="S2605" s="4">
        <f t="shared" si="242"/>
        <v>41617.912662037037</v>
      </c>
      <c r="T2605" s="4">
        <f t="shared" si="243"/>
        <v>41631.912662037037</v>
      </c>
      <c r="U2605" s="5">
        <f>VLOOKUP(currency,Tables!$A$1:$C$14,3,FALSE)*pledged</f>
        <v>1776</v>
      </c>
    </row>
    <row r="2606" spans="1:21" ht="43.2" x14ac:dyDescent="0.55000000000000004">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16">
        <f t="shared" si="241"/>
        <v>64.933333333333323</v>
      </c>
      <c r="Q2606" t="str">
        <f t="shared" si="244"/>
        <v>technology</v>
      </c>
      <c r="R2606" t="str">
        <f t="shared" si="245"/>
        <v>space exploration</v>
      </c>
      <c r="S2606" s="4">
        <f t="shared" si="242"/>
        <v>40998.051192129627</v>
      </c>
      <c r="T2606" s="4">
        <f t="shared" si="243"/>
        <v>41028.051192129627</v>
      </c>
      <c r="U2606" s="5">
        <f>VLOOKUP(currency,Tables!$A$1:$C$14,3,FALSE)*pledged</f>
        <v>20843.599999999999</v>
      </c>
    </row>
    <row r="2607" spans="1:21" ht="43.2" x14ac:dyDescent="0.55000000000000004">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16">
        <f t="shared" si="241"/>
        <v>60.965703745743475</v>
      </c>
      <c r="Q2607" t="str">
        <f t="shared" si="244"/>
        <v>technology</v>
      </c>
      <c r="R2607" t="str">
        <f t="shared" si="245"/>
        <v>space exploration</v>
      </c>
      <c r="S2607" s="4">
        <f t="shared" si="242"/>
        <v>42508.541550925926</v>
      </c>
      <c r="T2607" s="4">
        <f t="shared" si="243"/>
        <v>42538.541550925926</v>
      </c>
      <c r="U2607" s="5">
        <f>VLOOKUP(currency,Tables!$A$1:$C$14,3,FALSE)*pledged</f>
        <v>107421.57</v>
      </c>
    </row>
    <row r="2608" spans="1:21" ht="57.6" x14ac:dyDescent="0.55000000000000004">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16">
        <f t="shared" si="241"/>
        <v>31.444155844155844</v>
      </c>
      <c r="Q2608" t="str">
        <f t="shared" si="244"/>
        <v>technology</v>
      </c>
      <c r="R2608" t="str">
        <f t="shared" si="245"/>
        <v>space exploration</v>
      </c>
      <c r="S2608" s="4">
        <f t="shared" si="242"/>
        <v>41726.712754629632</v>
      </c>
      <c r="T2608" s="4">
        <f t="shared" si="243"/>
        <v>41758.712754629632</v>
      </c>
      <c r="U2608" s="5">
        <f>VLOOKUP(currency,Tables!$A$1:$C$14,3,FALSE)*pledged</f>
        <v>12106</v>
      </c>
    </row>
    <row r="2609" spans="1:21" ht="43.2" x14ac:dyDescent="0.55000000000000004">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16">
        <f t="shared" si="241"/>
        <v>81.949748743718587</v>
      </c>
      <c r="Q2609" t="str">
        <f t="shared" si="244"/>
        <v>technology</v>
      </c>
      <c r="R2609" t="str">
        <f t="shared" si="245"/>
        <v>space exploration</v>
      </c>
      <c r="S2609" s="4">
        <f t="shared" si="242"/>
        <v>42184.874675925923</v>
      </c>
      <c r="T2609" s="4">
        <f t="shared" si="243"/>
        <v>42228.083333333328</v>
      </c>
      <c r="U2609" s="5">
        <f>VLOOKUP(currency,Tables!$A$1:$C$14,3,FALSE)*pledged</f>
        <v>32616</v>
      </c>
    </row>
    <row r="2610" spans="1:21" ht="43.2" x14ac:dyDescent="0.55000000000000004">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16">
        <f t="shared" si="241"/>
        <v>58.92763157894737</v>
      </c>
      <c r="Q2610" t="str">
        <f t="shared" si="244"/>
        <v>technology</v>
      </c>
      <c r="R2610" t="str">
        <f t="shared" si="245"/>
        <v>space exploration</v>
      </c>
      <c r="S2610" s="4">
        <f t="shared" si="242"/>
        <v>42767.801712962959</v>
      </c>
      <c r="T2610" s="4">
        <f t="shared" si="243"/>
        <v>42809</v>
      </c>
      <c r="U2610" s="5">
        <f>VLOOKUP(currency,Tables!$A$1:$C$14,3,FALSE)*pledged</f>
        <v>17914</v>
      </c>
    </row>
    <row r="2611" spans="1:21" ht="43.2" x14ac:dyDescent="0.55000000000000004">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16">
        <f t="shared" si="241"/>
        <v>157.29347633136095</v>
      </c>
      <c r="Q2611" t="str">
        <f t="shared" si="244"/>
        <v>technology</v>
      </c>
      <c r="R2611" t="str">
        <f t="shared" si="245"/>
        <v>space exploration</v>
      </c>
      <c r="S2611" s="4">
        <f t="shared" si="242"/>
        <v>41075.237858796296</v>
      </c>
      <c r="T2611" s="4">
        <f t="shared" si="243"/>
        <v>41105.237858796296</v>
      </c>
      <c r="U2611" s="5">
        <f>VLOOKUP(currency,Tables!$A$1:$C$14,3,FALSE)*pledged</f>
        <v>106330.39</v>
      </c>
    </row>
    <row r="2612" spans="1:21" ht="28.8" x14ac:dyDescent="0.55000000000000004">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16">
        <f t="shared" si="241"/>
        <v>55.758509532062391</v>
      </c>
      <c r="Q2612" t="str">
        <f t="shared" si="244"/>
        <v>technology</v>
      </c>
      <c r="R2612" t="str">
        <f t="shared" si="245"/>
        <v>space exploration</v>
      </c>
      <c r="S2612" s="4">
        <f t="shared" si="242"/>
        <v>42564.881076388891</v>
      </c>
      <c r="T2612" s="4">
        <f t="shared" si="243"/>
        <v>42604.290972222225</v>
      </c>
      <c r="U2612" s="5">
        <f>VLOOKUP(currency,Tables!$A$1:$C$14,3,FALSE)*pledged</f>
        <v>32172.66</v>
      </c>
    </row>
    <row r="2613" spans="1:21" ht="43.2" x14ac:dyDescent="0.55000000000000004">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16">
        <f t="shared" si="241"/>
        <v>83.802893802893806</v>
      </c>
      <c r="Q2613" t="str">
        <f t="shared" si="244"/>
        <v>technology</v>
      </c>
      <c r="R2613" t="str">
        <f t="shared" si="245"/>
        <v>space exploration</v>
      </c>
      <c r="S2613" s="4">
        <f t="shared" si="242"/>
        <v>42704.335810185185</v>
      </c>
      <c r="T2613" s="4">
        <f t="shared" si="243"/>
        <v>42737.957638888889</v>
      </c>
      <c r="U2613" s="5">
        <f>VLOOKUP(currency,Tables!$A$1:$C$14,3,FALSE)*pledged</f>
        <v>362224.6</v>
      </c>
    </row>
    <row r="2614" spans="1:21" ht="43.2" x14ac:dyDescent="0.55000000000000004">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16">
        <f t="shared" si="241"/>
        <v>58.422210884353746</v>
      </c>
      <c r="Q2614" t="str">
        <f t="shared" si="244"/>
        <v>technology</v>
      </c>
      <c r="R2614" t="str">
        <f t="shared" si="245"/>
        <v>space exploration</v>
      </c>
      <c r="S2614" s="4">
        <f t="shared" si="242"/>
        <v>41982.143171296295</v>
      </c>
      <c r="T2614" s="4">
        <f t="shared" si="243"/>
        <v>42013.143171296295</v>
      </c>
      <c r="U2614" s="5">
        <f>VLOOKUP(currency,Tables!$A$1:$C$14,3,FALSE)*pledged</f>
        <v>17176.13</v>
      </c>
    </row>
    <row r="2615" spans="1:21" ht="43.2" x14ac:dyDescent="0.55000000000000004">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16">
        <f t="shared" si="241"/>
        <v>270.57142857142856</v>
      </c>
      <c r="Q2615" t="str">
        <f t="shared" si="244"/>
        <v>technology</v>
      </c>
      <c r="R2615" t="str">
        <f t="shared" si="245"/>
        <v>space exploration</v>
      </c>
      <c r="S2615" s="4">
        <f t="shared" si="242"/>
        <v>41143.81821759259</v>
      </c>
      <c r="T2615" s="4">
        <f t="shared" si="243"/>
        <v>41173.81821759259</v>
      </c>
      <c r="U2615" s="5">
        <f>VLOOKUP(currency,Tables!$A$1:$C$14,3,FALSE)*pledged</f>
        <v>7576</v>
      </c>
    </row>
    <row r="2616" spans="1:21" ht="43.2" x14ac:dyDescent="0.55000000000000004">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16">
        <f t="shared" si="241"/>
        <v>107.1</v>
      </c>
      <c r="Q2616" t="str">
        <f t="shared" si="244"/>
        <v>technology</v>
      </c>
      <c r="R2616" t="str">
        <f t="shared" si="245"/>
        <v>space exploration</v>
      </c>
      <c r="S2616" s="4">
        <f t="shared" si="242"/>
        <v>41730.708472222221</v>
      </c>
      <c r="T2616" s="4">
        <f t="shared" si="243"/>
        <v>41759.208333333336</v>
      </c>
      <c r="U2616" s="5">
        <f>VLOOKUP(currency,Tables!$A$1:$C$14,3,FALSE)*pledged</f>
        <v>10710</v>
      </c>
    </row>
    <row r="2617" spans="1:21" ht="43.2" x14ac:dyDescent="0.55000000000000004">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16">
        <f t="shared" si="241"/>
        <v>47.180555555555557</v>
      </c>
      <c r="Q2617" t="str">
        <f t="shared" si="244"/>
        <v>technology</v>
      </c>
      <c r="R2617" t="str">
        <f t="shared" si="245"/>
        <v>space exploration</v>
      </c>
      <c r="S2617" s="4">
        <f t="shared" si="242"/>
        <v>42453.49726851852</v>
      </c>
      <c r="T2617" s="4">
        <f t="shared" si="243"/>
        <v>42490.5</v>
      </c>
      <c r="U2617" s="5">
        <f>VLOOKUP(currency,Tables!$A$1:$C$14,3,FALSE)*pledged</f>
        <v>4484.04</v>
      </c>
    </row>
    <row r="2618" spans="1:21" ht="43.2" x14ac:dyDescent="0.55000000000000004">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16">
        <f t="shared" si="241"/>
        <v>120.30882352941177</v>
      </c>
      <c r="Q2618" t="str">
        <f t="shared" si="244"/>
        <v>technology</v>
      </c>
      <c r="R2618" t="str">
        <f t="shared" si="245"/>
        <v>space exploration</v>
      </c>
      <c r="S2618" s="4">
        <f t="shared" si="242"/>
        <v>42211.99454861111</v>
      </c>
      <c r="T2618" s="4">
        <f t="shared" si="243"/>
        <v>42241.99454861111</v>
      </c>
      <c r="U2618" s="5">
        <f>VLOOKUP(currency,Tables!$A$1:$C$14,3,FALSE)*pledged</f>
        <v>28633.5</v>
      </c>
    </row>
    <row r="2619" spans="1:21" ht="43.2" x14ac:dyDescent="0.55000000000000004">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16">
        <f t="shared" si="241"/>
        <v>27.59748427672956</v>
      </c>
      <c r="Q2619" t="str">
        <f t="shared" si="244"/>
        <v>technology</v>
      </c>
      <c r="R2619" t="str">
        <f t="shared" si="245"/>
        <v>space exploration</v>
      </c>
      <c r="S2619" s="4">
        <f t="shared" si="242"/>
        <v>41902.874432870369</v>
      </c>
      <c r="T2619" s="4">
        <f t="shared" si="243"/>
        <v>41932.874432870369</v>
      </c>
      <c r="U2619" s="5">
        <f>VLOOKUP(currency,Tables!$A$1:$C$14,3,FALSE)*pledged</f>
        <v>4388</v>
      </c>
    </row>
    <row r="2620" spans="1:21" ht="28.8" x14ac:dyDescent="0.55000000000000004">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16">
        <f t="shared" si="241"/>
        <v>205.2987012987013</v>
      </c>
      <c r="Q2620" t="str">
        <f t="shared" si="244"/>
        <v>technology</v>
      </c>
      <c r="R2620" t="str">
        <f t="shared" si="245"/>
        <v>space exploration</v>
      </c>
      <c r="S2620" s="4">
        <f t="shared" si="242"/>
        <v>42279.792372685188</v>
      </c>
      <c r="T2620" s="4">
        <f t="shared" si="243"/>
        <v>42339.834039351852</v>
      </c>
      <c r="U2620" s="5">
        <f>VLOOKUP(currency,Tables!$A$1:$C$14,3,FALSE)*pledged</f>
        <v>15808</v>
      </c>
    </row>
    <row r="2621" spans="1:21" ht="43.2" x14ac:dyDescent="0.55000000000000004">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16">
        <f t="shared" si="241"/>
        <v>35.547169811320757</v>
      </c>
      <c r="Q2621" t="str">
        <f t="shared" si="244"/>
        <v>technology</v>
      </c>
      <c r="R2621" t="str">
        <f t="shared" si="245"/>
        <v>space exploration</v>
      </c>
      <c r="S2621" s="4">
        <f t="shared" si="242"/>
        <v>42273.884305555555</v>
      </c>
      <c r="T2621" s="4">
        <f t="shared" si="243"/>
        <v>42300.458333333328</v>
      </c>
      <c r="U2621" s="5">
        <f>VLOOKUP(currency,Tables!$A$1:$C$14,3,FALSE)*pledged</f>
        <v>1884</v>
      </c>
    </row>
    <row r="2622" spans="1:21" ht="43.2" x14ac:dyDescent="0.55000000000000004">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16">
        <f t="shared" si="241"/>
        <v>74.639488409272587</v>
      </c>
      <c r="Q2622" t="str">
        <f t="shared" si="244"/>
        <v>technology</v>
      </c>
      <c r="R2622" t="str">
        <f t="shared" si="245"/>
        <v>space exploration</v>
      </c>
      <c r="S2622" s="4">
        <f t="shared" si="242"/>
        <v>42251.16715277778</v>
      </c>
      <c r="T2622" s="4">
        <f t="shared" si="243"/>
        <v>42288.041666666672</v>
      </c>
      <c r="U2622" s="5">
        <f>VLOOKUP(currency,Tables!$A$1:$C$14,3,FALSE)*pledged</f>
        <v>68163.02</v>
      </c>
    </row>
    <row r="2623" spans="1:21" ht="43.2" x14ac:dyDescent="0.55000000000000004">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16">
        <f t="shared" si="241"/>
        <v>47.058064516129029</v>
      </c>
      <c r="Q2623" t="str">
        <f t="shared" si="244"/>
        <v>technology</v>
      </c>
      <c r="R2623" t="str">
        <f t="shared" si="245"/>
        <v>space exploration</v>
      </c>
      <c r="S2623" s="4">
        <f t="shared" si="242"/>
        <v>42115.74754629629</v>
      </c>
      <c r="T2623" s="4">
        <f t="shared" si="243"/>
        <v>42145.74754629629</v>
      </c>
      <c r="U2623" s="5">
        <f>VLOOKUP(currency,Tables!$A$1:$C$14,3,FALSE)*pledged</f>
        <v>21882</v>
      </c>
    </row>
    <row r="2624" spans="1:21" ht="43.2" x14ac:dyDescent="0.55000000000000004">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16">
        <f t="shared" si="241"/>
        <v>26.591351351351353</v>
      </c>
      <c r="Q2624" t="str">
        <f t="shared" si="244"/>
        <v>technology</v>
      </c>
      <c r="R2624" t="str">
        <f t="shared" si="245"/>
        <v>space exploration</v>
      </c>
      <c r="S2624" s="4">
        <f t="shared" si="242"/>
        <v>42689.74324074074</v>
      </c>
      <c r="T2624" s="4">
        <f t="shared" si="243"/>
        <v>42734.74324074074</v>
      </c>
      <c r="U2624" s="5">
        <f>VLOOKUP(currency,Tables!$A$1:$C$14,3,FALSE)*pledged</f>
        <v>2321.9567999999999</v>
      </c>
    </row>
    <row r="2625" spans="1:21" ht="43.2" x14ac:dyDescent="0.55000000000000004">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16">
        <f t="shared" si="241"/>
        <v>36.774193548387096</v>
      </c>
      <c r="Q2625" t="str">
        <f t="shared" si="244"/>
        <v>technology</v>
      </c>
      <c r="R2625" t="str">
        <f t="shared" si="245"/>
        <v>space exploration</v>
      </c>
      <c r="S2625" s="4">
        <f t="shared" si="242"/>
        <v>42692.256550925929</v>
      </c>
      <c r="T2625" s="4">
        <f t="shared" si="243"/>
        <v>42706.256550925929</v>
      </c>
      <c r="U2625" s="5">
        <f>VLOOKUP(currency,Tables!$A$1:$C$14,3,FALSE)*pledged</f>
        <v>2280</v>
      </c>
    </row>
    <row r="2626" spans="1:21" ht="43.2" x14ac:dyDescent="0.55000000000000004">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ref="O2626:O2689" si="246">pledged/goal</f>
        <v>13.794206249999998</v>
      </c>
      <c r="P2626" s="16">
        <f t="shared" ref="P2626:P2689" si="247">IF(pledged=0,0,pledged/backers_count)</f>
        <v>31.820544982698959</v>
      </c>
      <c r="Q2626" t="str">
        <f t="shared" si="244"/>
        <v>technology</v>
      </c>
      <c r="R2626" t="str">
        <f t="shared" si="245"/>
        <v>space exploration</v>
      </c>
      <c r="S2626" s="4">
        <f t="shared" ref="S2626:S2689" si="248">(((Unix_launched_date/60)/60)/24)+DATE(1970,1,1)</f>
        <v>41144.42155092593</v>
      </c>
      <c r="T2626" s="4">
        <f t="shared" ref="T2626:T2689" si="249">(((Unix_deadline/60)/60)/24)+DATE(1970,1,1)</f>
        <v>41165.42155092593</v>
      </c>
      <c r="U2626" s="5">
        <f>VLOOKUP(currency,Tables!$A$1:$C$14,3,FALSE)*pledged</f>
        <v>110353.65</v>
      </c>
    </row>
    <row r="2627" spans="1:21" ht="43.2" x14ac:dyDescent="0.55000000000000004">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si="246"/>
        <v>9.56</v>
      </c>
      <c r="P2627" s="16">
        <f t="shared" si="247"/>
        <v>27.576923076923077</v>
      </c>
      <c r="Q2627" t="str">
        <f t="shared" ref="Q2627:Q2690" si="250">LEFT(N2627,FIND("/",N2627,1)-1)</f>
        <v>technology</v>
      </c>
      <c r="R2627" t="str">
        <f t="shared" ref="R2627:R2690" si="251">RIGHT(N2627,(LEN(N2627)-FIND("/",N2627,1)))</f>
        <v>space exploration</v>
      </c>
      <c r="S2627" s="4">
        <f t="shared" si="248"/>
        <v>42658.810277777782</v>
      </c>
      <c r="T2627" s="4">
        <f t="shared" si="249"/>
        <v>42683.851944444439</v>
      </c>
      <c r="U2627" s="5">
        <f>VLOOKUP(currency,Tables!$A$1:$C$14,3,FALSE)*pledged</f>
        <v>1692.12</v>
      </c>
    </row>
    <row r="2628" spans="1:21" ht="43.2" x14ac:dyDescent="0.55000000000000004">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16">
        <f t="shared" si="247"/>
        <v>56</v>
      </c>
      <c r="Q2628" t="str">
        <f t="shared" si="250"/>
        <v>technology</v>
      </c>
      <c r="R2628" t="str">
        <f t="shared" si="251"/>
        <v>space exploration</v>
      </c>
      <c r="S2628" s="4">
        <f t="shared" si="248"/>
        <v>42128.628113425926</v>
      </c>
      <c r="T2628" s="4">
        <f t="shared" si="249"/>
        <v>42158.628113425926</v>
      </c>
      <c r="U2628" s="5">
        <f>VLOOKUP(currency,Tables!$A$1:$C$14,3,FALSE)*pledged</f>
        <v>2800</v>
      </c>
    </row>
    <row r="2629" spans="1:21" ht="43.2" x14ac:dyDescent="0.55000000000000004">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16">
        <f t="shared" si="247"/>
        <v>21.555555555555557</v>
      </c>
      <c r="Q2629" t="str">
        <f t="shared" si="250"/>
        <v>technology</v>
      </c>
      <c r="R2629" t="str">
        <f t="shared" si="251"/>
        <v>space exploration</v>
      </c>
      <c r="S2629" s="4">
        <f t="shared" si="248"/>
        <v>42304.829409722224</v>
      </c>
      <c r="T2629" s="4">
        <f t="shared" si="249"/>
        <v>42334.871076388896</v>
      </c>
      <c r="U2629" s="5">
        <f>VLOOKUP(currency,Tables!$A$1:$C$14,3,FALSE)*pledged</f>
        <v>970</v>
      </c>
    </row>
    <row r="2630" spans="1:21" ht="28.8" x14ac:dyDescent="0.55000000000000004">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16">
        <f t="shared" si="247"/>
        <v>44.095238095238095</v>
      </c>
      <c r="Q2630" t="str">
        <f t="shared" si="250"/>
        <v>technology</v>
      </c>
      <c r="R2630" t="str">
        <f t="shared" si="251"/>
        <v>space exploration</v>
      </c>
      <c r="S2630" s="4">
        <f t="shared" si="248"/>
        <v>41953.966053240743</v>
      </c>
      <c r="T2630" s="4">
        <f t="shared" si="249"/>
        <v>41973.966053240743</v>
      </c>
      <c r="U2630" s="5">
        <f>VLOOKUP(currency,Tables!$A$1:$C$14,3,FALSE)*pledged</f>
        <v>926</v>
      </c>
    </row>
    <row r="2631" spans="1:21" ht="28.8" x14ac:dyDescent="0.55000000000000004">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16">
        <f t="shared" si="247"/>
        <v>63.87</v>
      </c>
      <c r="Q2631" t="str">
        <f t="shared" si="250"/>
        <v>technology</v>
      </c>
      <c r="R2631" t="str">
        <f t="shared" si="251"/>
        <v>space exploration</v>
      </c>
      <c r="S2631" s="4">
        <f t="shared" si="248"/>
        <v>42108.538449074069</v>
      </c>
      <c r="T2631" s="4">
        <f t="shared" si="249"/>
        <v>42138.538449074069</v>
      </c>
      <c r="U2631" s="5">
        <f>VLOOKUP(currency,Tables!$A$1:$C$14,3,FALSE)*pledged</f>
        <v>8430.84</v>
      </c>
    </row>
    <row r="2632" spans="1:21" ht="43.2" x14ac:dyDescent="0.55000000000000004">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16">
        <f t="shared" si="247"/>
        <v>38.987654320987652</v>
      </c>
      <c r="Q2632" t="str">
        <f t="shared" si="250"/>
        <v>technology</v>
      </c>
      <c r="R2632" t="str">
        <f t="shared" si="251"/>
        <v>space exploration</v>
      </c>
      <c r="S2632" s="4">
        <f t="shared" si="248"/>
        <v>42524.105462962965</v>
      </c>
      <c r="T2632" s="4">
        <f t="shared" si="249"/>
        <v>42551.416666666672</v>
      </c>
      <c r="U2632" s="5">
        <f>VLOOKUP(currency,Tables!$A$1:$C$14,3,FALSE)*pledged</f>
        <v>2305.34</v>
      </c>
    </row>
    <row r="2633" spans="1:21" ht="43.2" x14ac:dyDescent="0.55000000000000004">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16">
        <f t="shared" si="247"/>
        <v>80.185489510489504</v>
      </c>
      <c r="Q2633" t="str">
        <f t="shared" si="250"/>
        <v>technology</v>
      </c>
      <c r="R2633" t="str">
        <f t="shared" si="251"/>
        <v>space exploration</v>
      </c>
      <c r="S2633" s="4">
        <f t="shared" si="248"/>
        <v>42218.169293981482</v>
      </c>
      <c r="T2633" s="4">
        <f t="shared" si="249"/>
        <v>42246.169293981482</v>
      </c>
      <c r="U2633" s="5">
        <f>VLOOKUP(currency,Tables!$A$1:$C$14,3,FALSE)*pledged</f>
        <v>22933.05</v>
      </c>
    </row>
    <row r="2634" spans="1:21" ht="43.2" x14ac:dyDescent="0.55000000000000004">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16">
        <f t="shared" si="247"/>
        <v>34.904761904761905</v>
      </c>
      <c r="Q2634" t="str">
        <f t="shared" si="250"/>
        <v>technology</v>
      </c>
      <c r="R2634" t="str">
        <f t="shared" si="251"/>
        <v>space exploration</v>
      </c>
      <c r="S2634" s="4">
        <f t="shared" si="248"/>
        <v>42494.061793981484</v>
      </c>
      <c r="T2634" s="4">
        <f t="shared" si="249"/>
        <v>42519.061793981484</v>
      </c>
      <c r="U2634" s="5">
        <f>VLOOKUP(currency,Tables!$A$1:$C$14,3,FALSE)*pledged</f>
        <v>1466</v>
      </c>
    </row>
    <row r="2635" spans="1:21" ht="43.2" x14ac:dyDescent="0.55000000000000004">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16">
        <f t="shared" si="247"/>
        <v>89.100502512562812</v>
      </c>
      <c r="Q2635" t="str">
        <f t="shared" si="250"/>
        <v>technology</v>
      </c>
      <c r="R2635" t="str">
        <f t="shared" si="251"/>
        <v>space exploration</v>
      </c>
      <c r="S2635" s="4">
        <f t="shared" si="248"/>
        <v>41667.823287037041</v>
      </c>
      <c r="T2635" s="4">
        <f t="shared" si="249"/>
        <v>41697.958333333336</v>
      </c>
      <c r="U2635" s="5">
        <f>VLOOKUP(currency,Tables!$A$1:$C$14,3,FALSE)*pledged</f>
        <v>17731</v>
      </c>
    </row>
    <row r="2636" spans="1:21" ht="43.2" x14ac:dyDescent="0.55000000000000004">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16">
        <f t="shared" si="247"/>
        <v>39.44</v>
      </c>
      <c r="Q2636" t="str">
        <f t="shared" si="250"/>
        <v>technology</v>
      </c>
      <c r="R2636" t="str">
        <f t="shared" si="251"/>
        <v>space exploration</v>
      </c>
      <c r="S2636" s="4">
        <f t="shared" si="248"/>
        <v>42612.656493055561</v>
      </c>
      <c r="T2636" s="4">
        <f t="shared" si="249"/>
        <v>42642.656493055561</v>
      </c>
      <c r="U2636" s="5">
        <f>VLOOKUP(currency,Tables!$A$1:$C$14,3,FALSE)*pledged</f>
        <v>986</v>
      </c>
    </row>
    <row r="2637" spans="1:21" ht="43.2" x14ac:dyDescent="0.55000000000000004">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246"/>
        <v>1</v>
      </c>
      <c r="P2637" s="16">
        <f t="shared" si="247"/>
        <v>136.9047619047619</v>
      </c>
      <c r="Q2637" t="str">
        <f t="shared" si="250"/>
        <v>technology</v>
      </c>
      <c r="R2637" t="str">
        <f t="shared" si="251"/>
        <v>space exploration</v>
      </c>
      <c r="S2637" s="4">
        <f t="shared" si="248"/>
        <v>42037.950937500005</v>
      </c>
      <c r="T2637" s="4">
        <f t="shared" si="249"/>
        <v>42072.909270833334</v>
      </c>
      <c r="U2637" s="5">
        <f>VLOOKUP(currency,Tables!$A$1:$C$14,3,FALSE)*pledged</f>
        <v>8740</v>
      </c>
    </row>
    <row r="2638" spans="1:21" ht="43.2" x14ac:dyDescent="0.55000000000000004">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16">
        <f t="shared" si="247"/>
        <v>37.46</v>
      </c>
      <c r="Q2638" t="str">
        <f t="shared" si="250"/>
        <v>technology</v>
      </c>
      <c r="R2638" t="str">
        <f t="shared" si="251"/>
        <v>space exploration</v>
      </c>
      <c r="S2638" s="4">
        <f t="shared" si="248"/>
        <v>42636.614745370374</v>
      </c>
      <c r="T2638" s="4">
        <f t="shared" si="249"/>
        <v>42659.041666666672</v>
      </c>
      <c r="U2638" s="5">
        <f>VLOOKUP(currency,Tables!$A$1:$C$14,3,FALSE)*pledged</f>
        <v>1873</v>
      </c>
    </row>
    <row r="2639" spans="1:21" ht="28.8" x14ac:dyDescent="0.55000000000000004">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16">
        <f t="shared" si="247"/>
        <v>31.96153846153846</v>
      </c>
      <c r="Q2639" t="str">
        <f t="shared" si="250"/>
        <v>technology</v>
      </c>
      <c r="R2639" t="str">
        <f t="shared" si="251"/>
        <v>space exploration</v>
      </c>
      <c r="S2639" s="4">
        <f t="shared" si="248"/>
        <v>42639.549479166672</v>
      </c>
      <c r="T2639" s="4">
        <f t="shared" si="249"/>
        <v>42655.549479166672</v>
      </c>
      <c r="U2639" s="5">
        <f>VLOOKUP(currency,Tables!$A$1:$C$14,3,FALSE)*pledged</f>
        <v>831</v>
      </c>
    </row>
    <row r="2640" spans="1:21" ht="43.2" x14ac:dyDescent="0.55000000000000004">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16">
        <f t="shared" si="247"/>
        <v>25.214285714285715</v>
      </c>
      <c r="Q2640" t="str">
        <f t="shared" si="250"/>
        <v>technology</v>
      </c>
      <c r="R2640" t="str">
        <f t="shared" si="251"/>
        <v>space exploration</v>
      </c>
      <c r="S2640" s="4">
        <f t="shared" si="248"/>
        <v>41989.913136574076</v>
      </c>
      <c r="T2640" s="4">
        <f t="shared" si="249"/>
        <v>42019.913136574076</v>
      </c>
      <c r="U2640" s="5">
        <f>VLOOKUP(currency,Tables!$A$1:$C$14,3,FALSE)*pledged</f>
        <v>353</v>
      </c>
    </row>
    <row r="2641" spans="1:21" ht="43.2" x14ac:dyDescent="0.55000000000000004">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246"/>
        <v>1.64</v>
      </c>
      <c r="P2641" s="16">
        <f t="shared" si="247"/>
        <v>10.040816326530612</v>
      </c>
      <c r="Q2641" t="str">
        <f t="shared" si="250"/>
        <v>technology</v>
      </c>
      <c r="R2641" t="str">
        <f t="shared" si="251"/>
        <v>space exploration</v>
      </c>
      <c r="S2641" s="4">
        <f t="shared" si="248"/>
        <v>42024.86513888889</v>
      </c>
      <c r="T2641" s="4">
        <f t="shared" si="249"/>
        <v>42054.86513888889</v>
      </c>
      <c r="U2641" s="5">
        <f>VLOOKUP(currency,Tables!$A$1:$C$14,3,FALSE)*pledged</f>
        <v>649.44000000000005</v>
      </c>
    </row>
    <row r="2642" spans="1:21" ht="57.6" x14ac:dyDescent="0.55000000000000004">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16">
        <f t="shared" si="247"/>
        <v>45.94202898550725</v>
      </c>
      <c r="Q2642" t="str">
        <f t="shared" si="250"/>
        <v>technology</v>
      </c>
      <c r="R2642" t="str">
        <f t="shared" si="251"/>
        <v>space exploration</v>
      </c>
      <c r="S2642" s="4">
        <f t="shared" si="248"/>
        <v>42103.160578703704</v>
      </c>
      <c r="T2642" s="4">
        <f t="shared" si="249"/>
        <v>42163.160578703704</v>
      </c>
      <c r="U2642" s="5">
        <f>VLOOKUP(currency,Tables!$A$1:$C$14,3,FALSE)*pledged</f>
        <v>3170</v>
      </c>
    </row>
    <row r="2643" spans="1:21" ht="28.8" x14ac:dyDescent="0.55000000000000004">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246"/>
        <v>0.01</v>
      </c>
      <c r="P2643" s="16">
        <f t="shared" si="247"/>
        <v>15</v>
      </c>
      <c r="Q2643" t="str">
        <f t="shared" si="250"/>
        <v>technology</v>
      </c>
      <c r="R2643" t="str">
        <f t="shared" si="251"/>
        <v>space exploration</v>
      </c>
      <c r="S2643" s="4">
        <f t="shared" si="248"/>
        <v>41880.827118055553</v>
      </c>
      <c r="T2643" s="4">
        <f t="shared" si="249"/>
        <v>41897.839583333334</v>
      </c>
      <c r="U2643" s="5">
        <f>VLOOKUP(currency,Tables!$A$1:$C$14,3,FALSE)*pledged</f>
        <v>15</v>
      </c>
    </row>
    <row r="2644" spans="1:21" ht="57.6" x14ac:dyDescent="0.55000000000000004">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246"/>
        <v>0</v>
      </c>
      <c r="P2644" s="16">
        <f t="shared" si="247"/>
        <v>0</v>
      </c>
      <c r="Q2644" t="str">
        <f t="shared" si="250"/>
        <v>technology</v>
      </c>
      <c r="R2644" t="str">
        <f t="shared" si="251"/>
        <v>space exploration</v>
      </c>
      <c r="S2644" s="4">
        <f t="shared" si="248"/>
        <v>42536.246620370366</v>
      </c>
      <c r="T2644" s="4">
        <f t="shared" si="249"/>
        <v>42566.289583333331</v>
      </c>
      <c r="U2644" s="5">
        <f>VLOOKUP(currency,Tables!$A$1:$C$14,3,FALSE)*pledged</f>
        <v>0</v>
      </c>
    </row>
    <row r="2645" spans="1:21" ht="43.2" x14ac:dyDescent="0.55000000000000004">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16">
        <f t="shared" si="247"/>
        <v>223.58248500999335</v>
      </c>
      <c r="Q2645" t="str">
        <f t="shared" si="250"/>
        <v>technology</v>
      </c>
      <c r="R2645" t="str">
        <f t="shared" si="251"/>
        <v>space exploration</v>
      </c>
      <c r="S2645" s="4">
        <f t="shared" si="248"/>
        <v>42689.582349537035</v>
      </c>
      <c r="T2645" s="4">
        <f t="shared" si="249"/>
        <v>42725.332638888889</v>
      </c>
      <c r="U2645" s="5">
        <f>VLOOKUP(currency,Tables!$A$1:$C$14,3,FALSE)*pledged</f>
        <v>335597.31</v>
      </c>
    </row>
    <row r="2646" spans="1:21" ht="43.2" x14ac:dyDescent="0.55000000000000004">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16">
        <f t="shared" si="247"/>
        <v>39.480769230769234</v>
      </c>
      <c r="Q2646" t="str">
        <f t="shared" si="250"/>
        <v>technology</v>
      </c>
      <c r="R2646" t="str">
        <f t="shared" si="251"/>
        <v>space exploration</v>
      </c>
      <c r="S2646" s="4">
        <f t="shared" si="248"/>
        <v>42774.792071759264</v>
      </c>
      <c r="T2646" s="4">
        <f t="shared" si="249"/>
        <v>42804.792071759264</v>
      </c>
      <c r="U2646" s="5">
        <f>VLOOKUP(currency,Tables!$A$1:$C$14,3,FALSE)*pledged</f>
        <v>2053</v>
      </c>
    </row>
    <row r="2647" spans="1:21" ht="43.2" x14ac:dyDescent="0.55000000000000004">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16">
        <f t="shared" si="247"/>
        <v>91.304347826086953</v>
      </c>
      <c r="Q2647" t="str">
        <f t="shared" si="250"/>
        <v>technology</v>
      </c>
      <c r="R2647" t="str">
        <f t="shared" si="251"/>
        <v>space exploration</v>
      </c>
      <c r="S2647" s="4">
        <f t="shared" si="248"/>
        <v>41921.842627314814</v>
      </c>
      <c r="T2647" s="4">
        <f t="shared" si="249"/>
        <v>41951.884293981479</v>
      </c>
      <c r="U2647" s="5">
        <f>VLOOKUP(currency,Tables!$A$1:$C$14,3,FALSE)*pledged</f>
        <v>1533</v>
      </c>
    </row>
    <row r="2648" spans="1:21" ht="43.2" x14ac:dyDescent="0.55000000000000004">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16">
        <f t="shared" si="247"/>
        <v>78.666205607476627</v>
      </c>
      <c r="Q2648" t="str">
        <f t="shared" si="250"/>
        <v>technology</v>
      </c>
      <c r="R2648" t="str">
        <f t="shared" si="251"/>
        <v>space exploration</v>
      </c>
      <c r="S2648" s="4">
        <f t="shared" si="248"/>
        <v>42226.313298611116</v>
      </c>
      <c r="T2648" s="4">
        <f t="shared" si="249"/>
        <v>42256.313298611116</v>
      </c>
      <c r="U2648" s="5">
        <f>VLOOKUP(currency,Tables!$A$1:$C$14,3,FALSE)*pledged</f>
        <v>42086.42</v>
      </c>
    </row>
    <row r="2649" spans="1:21" ht="43.2" x14ac:dyDescent="0.55000000000000004">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246"/>
        <v>1.44E-2</v>
      </c>
      <c r="P2649" s="16">
        <f t="shared" si="247"/>
        <v>12</v>
      </c>
      <c r="Q2649" t="str">
        <f t="shared" si="250"/>
        <v>technology</v>
      </c>
      <c r="R2649" t="str">
        <f t="shared" si="251"/>
        <v>space exploration</v>
      </c>
      <c r="S2649" s="4">
        <f t="shared" si="248"/>
        <v>42200.261793981481</v>
      </c>
      <c r="T2649" s="4">
        <f t="shared" si="249"/>
        <v>42230.261793981481</v>
      </c>
      <c r="U2649" s="5">
        <f>VLOOKUP(currency,Tables!$A$1:$C$14,3,FALSE)*pledged</f>
        <v>27.36</v>
      </c>
    </row>
    <row r="2650" spans="1:21" ht="43.2" x14ac:dyDescent="0.55000000000000004">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16">
        <f t="shared" si="247"/>
        <v>17.666666666666668</v>
      </c>
      <c r="Q2650" t="str">
        <f t="shared" si="250"/>
        <v>technology</v>
      </c>
      <c r="R2650" t="str">
        <f t="shared" si="251"/>
        <v>space exploration</v>
      </c>
      <c r="S2650" s="4">
        <f t="shared" si="248"/>
        <v>42408.714814814812</v>
      </c>
      <c r="T2650" s="4">
        <f t="shared" si="249"/>
        <v>42438.714814814812</v>
      </c>
      <c r="U2650" s="5">
        <f>VLOOKUP(currency,Tables!$A$1:$C$14,3,FALSE)*pledged</f>
        <v>106</v>
      </c>
    </row>
    <row r="2651" spans="1:21" ht="28.8" x14ac:dyDescent="0.55000000000000004">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16">
        <f t="shared" si="247"/>
        <v>41.333333333333336</v>
      </c>
      <c r="Q2651" t="str">
        <f t="shared" si="250"/>
        <v>technology</v>
      </c>
      <c r="R2651" t="str">
        <f t="shared" si="251"/>
        <v>space exploration</v>
      </c>
      <c r="S2651" s="4">
        <f t="shared" si="248"/>
        <v>42341.99700231482</v>
      </c>
      <c r="T2651" s="4">
        <f t="shared" si="249"/>
        <v>42401.99700231482</v>
      </c>
      <c r="U2651" s="5">
        <f>VLOOKUP(currency,Tables!$A$1:$C$14,3,FALSE)*pledged</f>
        <v>124</v>
      </c>
    </row>
    <row r="2652" spans="1:21" ht="43.2" x14ac:dyDescent="0.55000000000000004">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16">
        <f t="shared" si="247"/>
        <v>71.599999999999994</v>
      </c>
      <c r="Q2652" t="str">
        <f t="shared" si="250"/>
        <v>technology</v>
      </c>
      <c r="R2652" t="str">
        <f t="shared" si="251"/>
        <v>space exploration</v>
      </c>
      <c r="S2652" s="4">
        <f t="shared" si="248"/>
        <v>42695.624340277776</v>
      </c>
      <c r="T2652" s="4">
        <f t="shared" si="249"/>
        <v>42725.624340277776</v>
      </c>
      <c r="U2652" s="5">
        <f>VLOOKUP(currency,Tables!$A$1:$C$14,3,FALSE)*pledged</f>
        <v>358</v>
      </c>
    </row>
    <row r="2653" spans="1:21" ht="43.2" x14ac:dyDescent="0.55000000000000004">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16">
        <f t="shared" si="247"/>
        <v>307.8235294117647</v>
      </c>
      <c r="Q2653" t="str">
        <f t="shared" si="250"/>
        <v>technology</v>
      </c>
      <c r="R2653" t="str">
        <f t="shared" si="251"/>
        <v>space exploration</v>
      </c>
      <c r="S2653" s="4">
        <f t="shared" si="248"/>
        <v>42327.805659722217</v>
      </c>
      <c r="T2653" s="4">
        <f t="shared" si="249"/>
        <v>42355.805659722217</v>
      </c>
      <c r="U2653" s="5">
        <f>VLOOKUP(currency,Tables!$A$1:$C$14,3,FALSE)*pledged</f>
        <v>5233</v>
      </c>
    </row>
    <row r="2654" spans="1:21" ht="43.2" x14ac:dyDescent="0.55000000000000004">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16">
        <f t="shared" si="247"/>
        <v>80.454545454545453</v>
      </c>
      <c r="Q2654" t="str">
        <f t="shared" si="250"/>
        <v>technology</v>
      </c>
      <c r="R2654" t="str">
        <f t="shared" si="251"/>
        <v>space exploration</v>
      </c>
      <c r="S2654" s="4">
        <f t="shared" si="248"/>
        <v>41953.158854166672</v>
      </c>
      <c r="T2654" s="4">
        <f t="shared" si="249"/>
        <v>41983.158854166672</v>
      </c>
      <c r="U2654" s="5">
        <f>VLOOKUP(currency,Tables!$A$1:$C$14,3,FALSE)*pledged</f>
        <v>646.04999999999995</v>
      </c>
    </row>
    <row r="2655" spans="1:21" ht="43.2" x14ac:dyDescent="0.55000000000000004">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16">
        <f t="shared" si="247"/>
        <v>83.942857142857136</v>
      </c>
      <c r="Q2655" t="str">
        <f t="shared" si="250"/>
        <v>technology</v>
      </c>
      <c r="R2655" t="str">
        <f t="shared" si="251"/>
        <v>space exploration</v>
      </c>
      <c r="S2655" s="4">
        <f t="shared" si="248"/>
        <v>41771.651932870373</v>
      </c>
      <c r="T2655" s="4">
        <f t="shared" si="249"/>
        <v>41803.166666666664</v>
      </c>
      <c r="U2655" s="5">
        <f>VLOOKUP(currency,Tables!$A$1:$C$14,3,FALSE)*pledged</f>
        <v>5876</v>
      </c>
    </row>
    <row r="2656" spans="1:21" ht="43.2" x14ac:dyDescent="0.55000000000000004">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16">
        <f t="shared" si="247"/>
        <v>8.5</v>
      </c>
      <c r="Q2656" t="str">
        <f t="shared" si="250"/>
        <v>technology</v>
      </c>
      <c r="R2656" t="str">
        <f t="shared" si="251"/>
        <v>space exploration</v>
      </c>
      <c r="S2656" s="4">
        <f t="shared" si="248"/>
        <v>42055.600995370376</v>
      </c>
      <c r="T2656" s="4">
        <f t="shared" si="249"/>
        <v>42115.559328703705</v>
      </c>
      <c r="U2656" s="5">
        <f>VLOOKUP(currency,Tables!$A$1:$C$14,3,FALSE)*pledged</f>
        <v>51</v>
      </c>
    </row>
    <row r="2657" spans="1:21" x14ac:dyDescent="0.55000000000000004">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16">
        <f t="shared" si="247"/>
        <v>73.372093023255815</v>
      </c>
      <c r="Q2657" t="str">
        <f t="shared" si="250"/>
        <v>technology</v>
      </c>
      <c r="R2657" t="str">
        <f t="shared" si="251"/>
        <v>space exploration</v>
      </c>
      <c r="S2657" s="4">
        <f t="shared" si="248"/>
        <v>42381.866284722222</v>
      </c>
      <c r="T2657" s="4">
        <f t="shared" si="249"/>
        <v>42409.833333333328</v>
      </c>
      <c r="U2657" s="5">
        <f>VLOOKUP(currency,Tables!$A$1:$C$14,3,FALSE)*pledged</f>
        <v>3155</v>
      </c>
    </row>
    <row r="2658" spans="1:21" ht="28.8" x14ac:dyDescent="0.55000000000000004">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16">
        <f t="shared" si="247"/>
        <v>112.86184210526316</v>
      </c>
      <c r="Q2658" t="str">
        <f t="shared" si="250"/>
        <v>technology</v>
      </c>
      <c r="R2658" t="str">
        <f t="shared" si="251"/>
        <v>space exploration</v>
      </c>
      <c r="S2658" s="4">
        <f t="shared" si="248"/>
        <v>42767.688518518517</v>
      </c>
      <c r="T2658" s="4">
        <f t="shared" si="249"/>
        <v>42806.791666666672</v>
      </c>
      <c r="U2658" s="5">
        <f>VLOOKUP(currency,Tables!$A$1:$C$14,3,FALSE)*pledged</f>
        <v>17155</v>
      </c>
    </row>
    <row r="2659" spans="1:21" ht="43.2" x14ac:dyDescent="0.55000000000000004">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16">
        <f t="shared" si="247"/>
        <v>95.277627118644077</v>
      </c>
      <c r="Q2659" t="str">
        <f t="shared" si="250"/>
        <v>technology</v>
      </c>
      <c r="R2659" t="str">
        <f t="shared" si="251"/>
        <v>space exploration</v>
      </c>
      <c r="S2659" s="4">
        <f t="shared" si="248"/>
        <v>42551.928854166668</v>
      </c>
      <c r="T2659" s="4">
        <f t="shared" si="249"/>
        <v>42585.0625</v>
      </c>
      <c r="U2659" s="5">
        <f>VLOOKUP(currency,Tables!$A$1:$C$14,3,FALSE)*pledged</f>
        <v>5621.38</v>
      </c>
    </row>
    <row r="2660" spans="1:21" ht="43.2" x14ac:dyDescent="0.55000000000000004">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16">
        <f t="shared" si="247"/>
        <v>22.75</v>
      </c>
      <c r="Q2660" t="str">
        <f t="shared" si="250"/>
        <v>technology</v>
      </c>
      <c r="R2660" t="str">
        <f t="shared" si="251"/>
        <v>space exploration</v>
      </c>
      <c r="S2660" s="4">
        <f t="shared" si="248"/>
        <v>42551.884189814817</v>
      </c>
      <c r="T2660" s="4">
        <f t="shared" si="249"/>
        <v>42581.884189814817</v>
      </c>
      <c r="U2660" s="5">
        <f>VLOOKUP(currency,Tables!$A$1:$C$14,3,FALSE)*pledged</f>
        <v>91</v>
      </c>
    </row>
    <row r="2661" spans="1:21" x14ac:dyDescent="0.55000000000000004">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16">
        <f t="shared" si="247"/>
        <v>133.30000000000001</v>
      </c>
      <c r="Q2661" t="str">
        <f t="shared" si="250"/>
        <v>technology</v>
      </c>
      <c r="R2661" t="str">
        <f t="shared" si="251"/>
        <v>space exploration</v>
      </c>
      <c r="S2661" s="4">
        <f t="shared" si="248"/>
        <v>42082.069560185191</v>
      </c>
      <c r="T2661" s="4">
        <f t="shared" si="249"/>
        <v>42112.069560185191</v>
      </c>
      <c r="U2661" s="5">
        <f>VLOOKUP(currency,Tables!$A$1:$C$14,3,FALSE)*pledged</f>
        <v>1333</v>
      </c>
    </row>
    <row r="2662" spans="1:21" ht="43.2" x14ac:dyDescent="0.55000000000000004">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246"/>
        <v>9.5E-4</v>
      </c>
      <c r="P2662" s="16">
        <f t="shared" si="247"/>
        <v>3.8</v>
      </c>
      <c r="Q2662" t="str">
        <f t="shared" si="250"/>
        <v>technology</v>
      </c>
      <c r="R2662" t="str">
        <f t="shared" si="251"/>
        <v>space exploration</v>
      </c>
      <c r="S2662" s="4">
        <f t="shared" si="248"/>
        <v>42272.713171296295</v>
      </c>
      <c r="T2662" s="4">
        <f t="shared" si="249"/>
        <v>42332.754837962959</v>
      </c>
      <c r="U2662" s="5">
        <f>VLOOKUP(currency,Tables!$A$1:$C$14,3,FALSE)*pledged</f>
        <v>19</v>
      </c>
    </row>
    <row r="2663" spans="1:21" ht="43.2" x14ac:dyDescent="0.55000000000000004">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16">
        <f t="shared" si="247"/>
        <v>85.75</v>
      </c>
      <c r="Q2663" t="str">
        <f t="shared" si="250"/>
        <v>technology</v>
      </c>
      <c r="R2663" t="str">
        <f t="shared" si="251"/>
        <v>makerspaces</v>
      </c>
      <c r="S2663" s="4">
        <f t="shared" si="248"/>
        <v>41542.958449074074</v>
      </c>
      <c r="T2663" s="4">
        <f t="shared" si="249"/>
        <v>41572.958449074074</v>
      </c>
      <c r="U2663" s="5">
        <f>VLOOKUP(currency,Tables!$A$1:$C$14,3,FALSE)*pledged</f>
        <v>5145</v>
      </c>
    </row>
    <row r="2664" spans="1:21" ht="43.2" x14ac:dyDescent="0.55000000000000004">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16">
        <f t="shared" si="247"/>
        <v>267</v>
      </c>
      <c r="Q2664" t="str">
        <f t="shared" si="250"/>
        <v>technology</v>
      </c>
      <c r="R2664" t="str">
        <f t="shared" si="251"/>
        <v>makerspaces</v>
      </c>
      <c r="S2664" s="4">
        <f t="shared" si="248"/>
        <v>42207.746678240743</v>
      </c>
      <c r="T2664" s="4">
        <f t="shared" si="249"/>
        <v>42237.746678240743</v>
      </c>
      <c r="U2664" s="5">
        <f>VLOOKUP(currency,Tables!$A$1:$C$14,3,FALSE)*pledged</f>
        <v>21360</v>
      </c>
    </row>
    <row r="2665" spans="1:21" ht="43.2" x14ac:dyDescent="0.55000000000000004">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16">
        <f t="shared" si="247"/>
        <v>373.55803571428572</v>
      </c>
      <c r="Q2665" t="str">
        <f t="shared" si="250"/>
        <v>technology</v>
      </c>
      <c r="R2665" t="str">
        <f t="shared" si="251"/>
        <v>makerspaces</v>
      </c>
      <c r="S2665" s="4">
        <f t="shared" si="248"/>
        <v>42222.622766203705</v>
      </c>
      <c r="T2665" s="4">
        <f t="shared" si="249"/>
        <v>42251.625</v>
      </c>
      <c r="U2665" s="5">
        <f>VLOOKUP(currency,Tables!$A$1:$C$14,3,FALSE)*pledged</f>
        <v>15898.630000000001</v>
      </c>
    </row>
    <row r="2666" spans="1:21" ht="43.2" x14ac:dyDescent="0.55000000000000004">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16">
        <f t="shared" si="247"/>
        <v>174.03846153846155</v>
      </c>
      <c r="Q2666" t="str">
        <f t="shared" si="250"/>
        <v>technology</v>
      </c>
      <c r="R2666" t="str">
        <f t="shared" si="251"/>
        <v>makerspaces</v>
      </c>
      <c r="S2666" s="4">
        <f t="shared" si="248"/>
        <v>42313.02542824074</v>
      </c>
      <c r="T2666" s="4">
        <f t="shared" si="249"/>
        <v>42347.290972222225</v>
      </c>
      <c r="U2666" s="5">
        <f>VLOOKUP(currency,Tables!$A$1:$C$14,3,FALSE)*pledged</f>
        <v>18100</v>
      </c>
    </row>
    <row r="2667" spans="1:21" ht="43.2" x14ac:dyDescent="0.55000000000000004">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16">
        <f t="shared" si="247"/>
        <v>93.695652173913047</v>
      </c>
      <c r="Q2667" t="str">
        <f t="shared" si="250"/>
        <v>technology</v>
      </c>
      <c r="R2667" t="str">
        <f t="shared" si="251"/>
        <v>makerspaces</v>
      </c>
      <c r="S2667" s="4">
        <f t="shared" si="248"/>
        <v>42083.895532407405</v>
      </c>
      <c r="T2667" s="4">
        <f t="shared" si="249"/>
        <v>42128.895532407405</v>
      </c>
      <c r="U2667" s="5">
        <f>VLOOKUP(currency,Tables!$A$1:$C$14,3,FALSE)*pledged</f>
        <v>4310</v>
      </c>
    </row>
    <row r="2668" spans="1:21" ht="43.2" x14ac:dyDescent="0.55000000000000004">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16">
        <f t="shared" si="247"/>
        <v>77.327718446601949</v>
      </c>
      <c r="Q2668" t="str">
        <f t="shared" si="250"/>
        <v>technology</v>
      </c>
      <c r="R2668" t="str">
        <f t="shared" si="251"/>
        <v>makerspaces</v>
      </c>
      <c r="S2668" s="4">
        <f t="shared" si="248"/>
        <v>42235.764340277776</v>
      </c>
      <c r="T2668" s="4">
        <f t="shared" si="249"/>
        <v>42272.875</v>
      </c>
      <c r="U2668" s="5">
        <f>VLOOKUP(currency,Tables!$A$1:$C$14,3,FALSE)*pledged</f>
        <v>15929.51</v>
      </c>
    </row>
    <row r="2669" spans="1:21" ht="43.2" x14ac:dyDescent="0.55000000000000004">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16">
        <f t="shared" si="247"/>
        <v>92.222222222222229</v>
      </c>
      <c r="Q2669" t="str">
        <f t="shared" si="250"/>
        <v>technology</v>
      </c>
      <c r="R2669" t="str">
        <f t="shared" si="251"/>
        <v>makerspaces</v>
      </c>
      <c r="S2669" s="4">
        <f t="shared" si="248"/>
        <v>42380.926111111112</v>
      </c>
      <c r="T2669" s="4">
        <f t="shared" si="249"/>
        <v>42410.926111111112</v>
      </c>
      <c r="U2669" s="5">
        <f>VLOOKUP(currency,Tables!$A$1:$C$14,3,FALSE)*pledged</f>
        <v>1660</v>
      </c>
    </row>
    <row r="2670" spans="1:21" ht="28.8" x14ac:dyDescent="0.55000000000000004">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16">
        <f t="shared" si="247"/>
        <v>60.964285714285715</v>
      </c>
      <c r="Q2670" t="str">
        <f t="shared" si="250"/>
        <v>technology</v>
      </c>
      <c r="R2670" t="str">
        <f t="shared" si="251"/>
        <v>makerspaces</v>
      </c>
      <c r="S2670" s="4">
        <f t="shared" si="248"/>
        <v>42275.588715277772</v>
      </c>
      <c r="T2670" s="4">
        <f t="shared" si="249"/>
        <v>42317.60555555555</v>
      </c>
      <c r="U2670" s="5">
        <f>VLOOKUP(currency,Tables!$A$1:$C$14,3,FALSE)*pledged</f>
        <v>1297.32</v>
      </c>
    </row>
    <row r="2671" spans="1:21" ht="43.2" x14ac:dyDescent="0.55000000000000004">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16">
        <f t="shared" si="247"/>
        <v>91</v>
      </c>
      <c r="Q2671" t="str">
        <f t="shared" si="250"/>
        <v>technology</v>
      </c>
      <c r="R2671" t="str">
        <f t="shared" si="251"/>
        <v>makerspaces</v>
      </c>
      <c r="S2671" s="4">
        <f t="shared" si="248"/>
        <v>42319.035833333335</v>
      </c>
      <c r="T2671" s="4">
        <f t="shared" si="249"/>
        <v>42379.035833333335</v>
      </c>
      <c r="U2671" s="5">
        <f>VLOOKUP(currency,Tables!$A$1:$C$14,3,FALSE)*pledged</f>
        <v>1001</v>
      </c>
    </row>
    <row r="2672" spans="1:21" ht="43.2" x14ac:dyDescent="0.55000000000000004">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16">
        <f t="shared" si="247"/>
        <v>41.583333333333336</v>
      </c>
      <c r="Q2672" t="str">
        <f t="shared" si="250"/>
        <v>technology</v>
      </c>
      <c r="R2672" t="str">
        <f t="shared" si="251"/>
        <v>makerspaces</v>
      </c>
      <c r="S2672" s="4">
        <f t="shared" si="248"/>
        <v>41821.020601851851</v>
      </c>
      <c r="T2672" s="4">
        <f t="shared" si="249"/>
        <v>41849.020601851851</v>
      </c>
      <c r="U2672" s="5">
        <f>VLOOKUP(currency,Tables!$A$1:$C$14,3,FALSE)*pledged</f>
        <v>1821.35</v>
      </c>
    </row>
    <row r="2673" spans="1:21" ht="43.2" x14ac:dyDescent="0.55000000000000004">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16">
        <f t="shared" si="247"/>
        <v>33.761904761904759</v>
      </c>
      <c r="Q2673" t="str">
        <f t="shared" si="250"/>
        <v>technology</v>
      </c>
      <c r="R2673" t="str">
        <f t="shared" si="251"/>
        <v>makerspaces</v>
      </c>
      <c r="S2673" s="4">
        <f t="shared" si="248"/>
        <v>41962.749027777783</v>
      </c>
      <c r="T2673" s="4">
        <f t="shared" si="249"/>
        <v>41992.818055555559</v>
      </c>
      <c r="U2673" s="5">
        <f>VLOOKUP(currency,Tables!$A$1:$C$14,3,FALSE)*pledged</f>
        <v>2836</v>
      </c>
    </row>
    <row r="2674" spans="1:21" ht="43.2" x14ac:dyDescent="0.55000000000000004">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16">
        <f t="shared" si="247"/>
        <v>70.61702127659575</v>
      </c>
      <c r="Q2674" t="str">
        <f t="shared" si="250"/>
        <v>technology</v>
      </c>
      <c r="R2674" t="str">
        <f t="shared" si="251"/>
        <v>makerspaces</v>
      </c>
      <c r="S2674" s="4">
        <f t="shared" si="248"/>
        <v>42344.884143518517</v>
      </c>
      <c r="T2674" s="4">
        <f t="shared" si="249"/>
        <v>42366.25</v>
      </c>
      <c r="U2674" s="5">
        <f>VLOOKUP(currency,Tables!$A$1:$C$14,3,FALSE)*pledged</f>
        <v>3319</v>
      </c>
    </row>
    <row r="2675" spans="1:21" ht="43.2" x14ac:dyDescent="0.55000000000000004">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16">
        <f t="shared" si="247"/>
        <v>167.15151515151516</v>
      </c>
      <c r="Q2675" t="str">
        <f t="shared" si="250"/>
        <v>technology</v>
      </c>
      <c r="R2675" t="str">
        <f t="shared" si="251"/>
        <v>makerspaces</v>
      </c>
      <c r="S2675" s="4">
        <f t="shared" si="248"/>
        <v>41912.541655092595</v>
      </c>
      <c r="T2675" s="4">
        <f t="shared" si="249"/>
        <v>41941.947916666664</v>
      </c>
      <c r="U2675" s="5">
        <f>VLOOKUP(currency,Tables!$A$1:$C$14,3,FALSE)*pledged</f>
        <v>11032</v>
      </c>
    </row>
    <row r="2676" spans="1:21" ht="57.6" x14ac:dyDescent="0.55000000000000004">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16">
        <f t="shared" si="247"/>
        <v>128.61988304093566</v>
      </c>
      <c r="Q2676" t="str">
        <f t="shared" si="250"/>
        <v>technology</v>
      </c>
      <c r="R2676" t="str">
        <f t="shared" si="251"/>
        <v>makerspaces</v>
      </c>
      <c r="S2676" s="4">
        <f t="shared" si="248"/>
        <v>42529.632754629631</v>
      </c>
      <c r="T2676" s="4">
        <f t="shared" si="249"/>
        <v>42556.207638888889</v>
      </c>
      <c r="U2676" s="5">
        <f>VLOOKUP(currency,Tables!$A$1:$C$14,3,FALSE)*pledged</f>
        <v>21994</v>
      </c>
    </row>
    <row r="2677" spans="1:21" ht="43.2" x14ac:dyDescent="0.55000000000000004">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16">
        <f t="shared" si="247"/>
        <v>65.41379310344827</v>
      </c>
      <c r="Q2677" t="str">
        <f t="shared" si="250"/>
        <v>technology</v>
      </c>
      <c r="R2677" t="str">
        <f t="shared" si="251"/>
        <v>makerspaces</v>
      </c>
      <c r="S2677" s="4">
        <f t="shared" si="248"/>
        <v>41923.857511574075</v>
      </c>
      <c r="T2677" s="4">
        <f t="shared" si="249"/>
        <v>41953.899178240739</v>
      </c>
      <c r="U2677" s="5">
        <f>VLOOKUP(currency,Tables!$A$1:$C$14,3,FALSE)*pledged</f>
        <v>1897</v>
      </c>
    </row>
    <row r="2678" spans="1:21" ht="43.2" x14ac:dyDescent="0.55000000000000004">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16">
        <f t="shared" si="247"/>
        <v>117.55555555555556</v>
      </c>
      <c r="Q2678" t="str">
        <f t="shared" si="250"/>
        <v>technology</v>
      </c>
      <c r="R2678" t="str">
        <f t="shared" si="251"/>
        <v>makerspaces</v>
      </c>
      <c r="S2678" s="4">
        <f t="shared" si="248"/>
        <v>42482.624699074076</v>
      </c>
      <c r="T2678" s="4">
        <f t="shared" si="249"/>
        <v>42512.624699074076</v>
      </c>
      <c r="U2678" s="5">
        <f>VLOOKUP(currency,Tables!$A$1:$C$14,3,FALSE)*pledged</f>
        <v>804.08</v>
      </c>
    </row>
    <row r="2679" spans="1:21" ht="43.2" x14ac:dyDescent="0.55000000000000004">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16">
        <f t="shared" si="247"/>
        <v>126.48148148148148</v>
      </c>
      <c r="Q2679" t="str">
        <f t="shared" si="250"/>
        <v>technology</v>
      </c>
      <c r="R2679" t="str">
        <f t="shared" si="251"/>
        <v>makerspaces</v>
      </c>
      <c r="S2679" s="4">
        <f t="shared" si="248"/>
        <v>41793.029432870368</v>
      </c>
      <c r="T2679" s="4">
        <f t="shared" si="249"/>
        <v>41823.029432870368</v>
      </c>
      <c r="U2679" s="5">
        <f>VLOOKUP(currency,Tables!$A$1:$C$14,3,FALSE)*pledged</f>
        <v>3415</v>
      </c>
    </row>
    <row r="2680" spans="1:21" ht="43.2" x14ac:dyDescent="0.55000000000000004">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16">
        <f t="shared" si="247"/>
        <v>550</v>
      </c>
      <c r="Q2680" t="str">
        <f t="shared" si="250"/>
        <v>technology</v>
      </c>
      <c r="R2680" t="str">
        <f t="shared" si="251"/>
        <v>makerspaces</v>
      </c>
      <c r="S2680" s="4">
        <f t="shared" si="248"/>
        <v>42241.798206018517</v>
      </c>
      <c r="T2680" s="4">
        <f t="shared" si="249"/>
        <v>42271.798206018517</v>
      </c>
      <c r="U2680" s="5">
        <f>VLOOKUP(currency,Tables!$A$1:$C$14,3,FALSE)*pledged</f>
        <v>1298</v>
      </c>
    </row>
    <row r="2681" spans="1:21" ht="43.2" x14ac:dyDescent="0.55000000000000004">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246"/>
        <v>3.3E-3</v>
      </c>
      <c r="P2681" s="16">
        <f t="shared" si="247"/>
        <v>44</v>
      </c>
      <c r="Q2681" t="str">
        <f t="shared" si="250"/>
        <v>technology</v>
      </c>
      <c r="R2681" t="str">
        <f t="shared" si="251"/>
        <v>makerspaces</v>
      </c>
      <c r="S2681" s="4">
        <f t="shared" si="248"/>
        <v>42033.001087962963</v>
      </c>
      <c r="T2681" s="4">
        <f t="shared" si="249"/>
        <v>42063.001087962963</v>
      </c>
      <c r="U2681" s="5">
        <f>VLOOKUP(currency,Tables!$A$1:$C$14,3,FALSE)*pledged</f>
        <v>132</v>
      </c>
    </row>
    <row r="2682" spans="1:21" x14ac:dyDescent="0.55000000000000004">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16">
        <f t="shared" si="247"/>
        <v>69</v>
      </c>
      <c r="Q2682" t="str">
        <f t="shared" si="250"/>
        <v>technology</v>
      </c>
      <c r="R2682" t="str">
        <f t="shared" si="251"/>
        <v>makerspaces</v>
      </c>
      <c r="S2682" s="4">
        <f t="shared" si="248"/>
        <v>42436.211701388893</v>
      </c>
      <c r="T2682" s="4">
        <f t="shared" si="249"/>
        <v>42466.170034722221</v>
      </c>
      <c r="U2682" s="5">
        <f>VLOOKUP(currency,Tables!$A$1:$C$14,3,FALSE)*pledged</f>
        <v>325.68</v>
      </c>
    </row>
    <row r="2683" spans="1:21" ht="43.2" x14ac:dyDescent="0.55000000000000004">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246"/>
        <v>6.875E-3</v>
      </c>
      <c r="P2683" s="16">
        <f t="shared" si="247"/>
        <v>27.5</v>
      </c>
      <c r="Q2683" t="str">
        <f t="shared" si="250"/>
        <v>food</v>
      </c>
      <c r="R2683" t="str">
        <f t="shared" si="251"/>
        <v>food trucks</v>
      </c>
      <c r="S2683" s="4">
        <f t="shared" si="248"/>
        <v>41805.895254629628</v>
      </c>
      <c r="T2683" s="4">
        <f t="shared" si="249"/>
        <v>41830.895254629628</v>
      </c>
      <c r="U2683" s="5">
        <f>VLOOKUP(currency,Tables!$A$1:$C$14,3,FALSE)*pledged</f>
        <v>55</v>
      </c>
    </row>
    <row r="2684" spans="1:21" ht="43.2" x14ac:dyDescent="0.55000000000000004">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16">
        <f t="shared" si="247"/>
        <v>84.9</v>
      </c>
      <c r="Q2684" t="str">
        <f t="shared" si="250"/>
        <v>food</v>
      </c>
      <c r="R2684" t="str">
        <f t="shared" si="251"/>
        <v>food trucks</v>
      </c>
      <c r="S2684" s="4">
        <f t="shared" si="248"/>
        <v>41932.871990740743</v>
      </c>
      <c r="T2684" s="4">
        <f t="shared" si="249"/>
        <v>41965.249305555553</v>
      </c>
      <c r="U2684" s="5">
        <f>VLOOKUP(currency,Tables!$A$1:$C$14,3,FALSE)*pledged</f>
        <v>1698</v>
      </c>
    </row>
    <row r="2685" spans="1:21" ht="43.2" x14ac:dyDescent="0.55000000000000004">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16">
        <f t="shared" si="247"/>
        <v>12</v>
      </c>
      <c r="Q2685" t="str">
        <f t="shared" si="250"/>
        <v>food</v>
      </c>
      <c r="R2685" t="str">
        <f t="shared" si="251"/>
        <v>food trucks</v>
      </c>
      <c r="S2685" s="4">
        <f t="shared" si="248"/>
        <v>42034.75509259259</v>
      </c>
      <c r="T2685" s="4">
        <f t="shared" si="249"/>
        <v>42064.75509259259</v>
      </c>
      <c r="U2685" s="5">
        <f>VLOOKUP(currency,Tables!$A$1:$C$14,3,FALSE)*pledged</f>
        <v>36</v>
      </c>
    </row>
    <row r="2686" spans="1:21" ht="43.2" x14ac:dyDescent="0.55000000000000004">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16">
        <f t="shared" si="247"/>
        <v>200</v>
      </c>
      <c r="Q2686" t="str">
        <f t="shared" si="250"/>
        <v>food</v>
      </c>
      <c r="R2686" t="str">
        <f t="shared" si="251"/>
        <v>food trucks</v>
      </c>
      <c r="S2686" s="4">
        <f t="shared" si="248"/>
        <v>41820.914641203701</v>
      </c>
      <c r="T2686" s="4">
        <f t="shared" si="249"/>
        <v>41860.914641203701</v>
      </c>
      <c r="U2686" s="5">
        <f>VLOOKUP(currency,Tables!$A$1:$C$14,3,FALSE)*pledged</f>
        <v>800</v>
      </c>
    </row>
    <row r="2687" spans="1:21" ht="43.2" x14ac:dyDescent="0.55000000000000004">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16">
        <f t="shared" si="247"/>
        <v>10</v>
      </c>
      <c r="Q2687" t="str">
        <f t="shared" si="250"/>
        <v>food</v>
      </c>
      <c r="R2687" t="str">
        <f t="shared" si="251"/>
        <v>food trucks</v>
      </c>
      <c r="S2687" s="4">
        <f t="shared" si="248"/>
        <v>42061.69594907407</v>
      </c>
      <c r="T2687" s="4">
        <f t="shared" si="249"/>
        <v>42121.654282407413</v>
      </c>
      <c r="U2687" s="5">
        <f>VLOOKUP(currency,Tables!$A$1:$C$14,3,FALSE)*pledged</f>
        <v>10</v>
      </c>
    </row>
    <row r="2688" spans="1:21" ht="43.2" x14ac:dyDescent="0.55000000000000004">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246"/>
        <v>0</v>
      </c>
      <c r="P2688" s="16">
        <f t="shared" si="247"/>
        <v>0</v>
      </c>
      <c r="Q2688" t="str">
        <f t="shared" si="250"/>
        <v>food</v>
      </c>
      <c r="R2688" t="str">
        <f t="shared" si="251"/>
        <v>food trucks</v>
      </c>
      <c r="S2688" s="4">
        <f t="shared" si="248"/>
        <v>41892.974803240737</v>
      </c>
      <c r="T2688" s="4">
        <f t="shared" si="249"/>
        <v>41912.974803240737</v>
      </c>
      <c r="U2688" s="5">
        <f>VLOOKUP(currency,Tables!$A$1:$C$14,3,FALSE)*pledged</f>
        <v>0</v>
      </c>
    </row>
    <row r="2689" spans="1:21" ht="43.2" x14ac:dyDescent="0.55000000000000004">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246"/>
        <v>0</v>
      </c>
      <c r="P2689" s="16">
        <f t="shared" si="247"/>
        <v>0</v>
      </c>
      <c r="Q2689" t="str">
        <f t="shared" si="250"/>
        <v>food</v>
      </c>
      <c r="R2689" t="str">
        <f t="shared" si="251"/>
        <v>food trucks</v>
      </c>
      <c r="S2689" s="4">
        <f t="shared" si="248"/>
        <v>42154.64025462963</v>
      </c>
      <c r="T2689" s="4">
        <f t="shared" si="249"/>
        <v>42184.64025462963</v>
      </c>
      <c r="U2689" s="5">
        <f>VLOOKUP(currency,Tables!$A$1:$C$14,3,FALSE)*pledged</f>
        <v>0</v>
      </c>
    </row>
    <row r="2690" spans="1:21" ht="28.8" x14ac:dyDescent="0.55000000000000004">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ref="O2690:O2753" si="252">pledged/goal</f>
        <v>1.48E-3</v>
      </c>
      <c r="P2690" s="16">
        <f t="shared" ref="P2690:P2753" si="253">IF(pledged=0,0,pledged/backers_count)</f>
        <v>5.2857142857142856</v>
      </c>
      <c r="Q2690" t="str">
        <f t="shared" si="250"/>
        <v>food</v>
      </c>
      <c r="R2690" t="str">
        <f t="shared" si="251"/>
        <v>food trucks</v>
      </c>
      <c r="S2690" s="4">
        <f t="shared" ref="S2690:S2753" si="254">(((Unix_launched_date/60)/60)/24)+DATE(1970,1,1)</f>
        <v>42028.118865740747</v>
      </c>
      <c r="T2690" s="4">
        <f t="shared" ref="T2690:T2753" si="255">(((Unix_deadline/60)/60)/24)+DATE(1970,1,1)</f>
        <v>42059.125</v>
      </c>
      <c r="U2690" s="5">
        <f>VLOOKUP(currency,Tables!$A$1:$C$14,3,FALSE)*pledged</f>
        <v>74</v>
      </c>
    </row>
    <row r="2691" spans="1:21" ht="43.2" x14ac:dyDescent="0.55000000000000004">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si="252"/>
        <v>2.8571428571428571E-5</v>
      </c>
      <c r="P2691" s="16">
        <f t="shared" si="253"/>
        <v>1</v>
      </c>
      <c r="Q2691" t="str">
        <f t="shared" ref="Q2691:Q2754" si="256">LEFT(N2691,FIND("/",N2691,1)-1)</f>
        <v>food</v>
      </c>
      <c r="R2691" t="str">
        <f t="shared" ref="R2691:R2754" si="257">RIGHT(N2691,(LEN(N2691)-FIND("/",N2691,1)))</f>
        <v>food trucks</v>
      </c>
      <c r="S2691" s="4">
        <f t="shared" si="254"/>
        <v>42551.961689814809</v>
      </c>
      <c r="T2691" s="4">
        <f t="shared" si="255"/>
        <v>42581.961689814809</v>
      </c>
      <c r="U2691" s="5">
        <f>VLOOKUP(currency,Tables!$A$1:$C$14,3,FALSE)*pledged</f>
        <v>1</v>
      </c>
    </row>
    <row r="2692" spans="1:21" ht="43.2" x14ac:dyDescent="0.55000000000000004">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16">
        <f t="shared" si="253"/>
        <v>72.762711864406782</v>
      </c>
      <c r="Q2692" t="str">
        <f t="shared" si="256"/>
        <v>food</v>
      </c>
      <c r="R2692" t="str">
        <f t="shared" si="257"/>
        <v>food trucks</v>
      </c>
      <c r="S2692" s="4">
        <f t="shared" si="254"/>
        <v>42113.105046296296</v>
      </c>
      <c r="T2692" s="4">
        <f t="shared" si="255"/>
        <v>42158.105046296296</v>
      </c>
      <c r="U2692" s="5">
        <f>VLOOKUP(currency,Tables!$A$1:$C$14,3,FALSE)*pledged</f>
        <v>8586</v>
      </c>
    </row>
    <row r="2693" spans="1:21" ht="28.8" x14ac:dyDescent="0.55000000000000004">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16">
        <f t="shared" si="253"/>
        <v>17.5</v>
      </c>
      <c r="Q2693" t="str">
        <f t="shared" si="256"/>
        <v>food</v>
      </c>
      <c r="R2693" t="str">
        <f t="shared" si="257"/>
        <v>food trucks</v>
      </c>
      <c r="S2693" s="4">
        <f t="shared" si="254"/>
        <v>42089.724039351851</v>
      </c>
      <c r="T2693" s="4">
        <f t="shared" si="255"/>
        <v>42134.724039351851</v>
      </c>
      <c r="U2693" s="5">
        <f>VLOOKUP(currency,Tables!$A$1:$C$14,3,FALSE)*pledged</f>
        <v>26.6</v>
      </c>
    </row>
    <row r="2694" spans="1:21" ht="43.2" x14ac:dyDescent="0.55000000000000004">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16">
        <f t="shared" si="253"/>
        <v>25</v>
      </c>
      <c r="Q2694" t="str">
        <f t="shared" si="256"/>
        <v>food</v>
      </c>
      <c r="R2694" t="str">
        <f t="shared" si="257"/>
        <v>food trucks</v>
      </c>
      <c r="S2694" s="4">
        <f t="shared" si="254"/>
        <v>42058.334027777775</v>
      </c>
      <c r="T2694" s="4">
        <f t="shared" si="255"/>
        <v>42088.292361111111</v>
      </c>
      <c r="U2694" s="5">
        <f>VLOOKUP(currency,Tables!$A$1:$C$14,3,FALSE)*pledged</f>
        <v>25</v>
      </c>
    </row>
    <row r="2695" spans="1:21" ht="43.2" x14ac:dyDescent="0.55000000000000004">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16">
        <f t="shared" si="253"/>
        <v>13.333333333333334</v>
      </c>
      <c r="Q2695" t="str">
        <f t="shared" si="256"/>
        <v>food</v>
      </c>
      <c r="R2695" t="str">
        <f t="shared" si="257"/>
        <v>food trucks</v>
      </c>
      <c r="S2695" s="4">
        <f t="shared" si="254"/>
        <v>41834.138495370367</v>
      </c>
      <c r="T2695" s="4">
        <f t="shared" si="255"/>
        <v>41864.138495370367</v>
      </c>
      <c r="U2695" s="5">
        <f>VLOOKUP(currency,Tables!$A$1:$C$14,3,FALSE)*pledged</f>
        <v>40</v>
      </c>
    </row>
    <row r="2696" spans="1:21" ht="43.2" x14ac:dyDescent="0.55000000000000004">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16">
        <f t="shared" si="253"/>
        <v>1</v>
      </c>
      <c r="Q2696" t="str">
        <f t="shared" si="256"/>
        <v>food</v>
      </c>
      <c r="R2696" t="str">
        <f t="shared" si="257"/>
        <v>food trucks</v>
      </c>
      <c r="S2696" s="4">
        <f t="shared" si="254"/>
        <v>41878.140497685185</v>
      </c>
      <c r="T2696" s="4">
        <f t="shared" si="255"/>
        <v>41908.140497685185</v>
      </c>
      <c r="U2696" s="5">
        <f>VLOOKUP(currency,Tables!$A$1:$C$14,3,FALSE)*pledged</f>
        <v>1</v>
      </c>
    </row>
    <row r="2697" spans="1:21" ht="28.8" x14ac:dyDescent="0.55000000000000004">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16">
        <f t="shared" si="253"/>
        <v>23.666666666666668</v>
      </c>
      <c r="Q2697" t="str">
        <f t="shared" si="256"/>
        <v>food</v>
      </c>
      <c r="R2697" t="str">
        <f t="shared" si="257"/>
        <v>food trucks</v>
      </c>
      <c r="S2697" s="4">
        <f t="shared" si="254"/>
        <v>42048.181921296295</v>
      </c>
      <c r="T2697" s="4">
        <f t="shared" si="255"/>
        <v>42108.14025462963</v>
      </c>
      <c r="U2697" s="5">
        <f>VLOOKUP(currency,Tables!$A$1:$C$14,3,FALSE)*pledged</f>
        <v>71</v>
      </c>
    </row>
    <row r="2698" spans="1:21" ht="43.2" x14ac:dyDescent="0.55000000000000004">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16">
        <f t="shared" si="253"/>
        <v>89.21052631578948</v>
      </c>
      <c r="Q2698" t="str">
        <f t="shared" si="256"/>
        <v>food</v>
      </c>
      <c r="R2698" t="str">
        <f t="shared" si="257"/>
        <v>food trucks</v>
      </c>
      <c r="S2698" s="4">
        <f t="shared" si="254"/>
        <v>41964.844444444447</v>
      </c>
      <c r="T2698" s="4">
        <f t="shared" si="255"/>
        <v>41998.844444444447</v>
      </c>
      <c r="U2698" s="5">
        <f>VLOOKUP(currency,Tables!$A$1:$C$14,3,FALSE)*pledged</f>
        <v>3390</v>
      </c>
    </row>
    <row r="2699" spans="1:21" ht="43.2" x14ac:dyDescent="0.55000000000000004">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16">
        <f t="shared" si="253"/>
        <v>116.55769230769231</v>
      </c>
      <c r="Q2699" t="str">
        <f t="shared" si="256"/>
        <v>food</v>
      </c>
      <c r="R2699" t="str">
        <f t="shared" si="257"/>
        <v>food trucks</v>
      </c>
      <c r="S2699" s="4">
        <f t="shared" si="254"/>
        <v>42187.940081018518</v>
      </c>
      <c r="T2699" s="4">
        <f t="shared" si="255"/>
        <v>42218.916666666672</v>
      </c>
      <c r="U2699" s="5">
        <f>VLOOKUP(currency,Tables!$A$1:$C$14,3,FALSE)*pledged</f>
        <v>6061</v>
      </c>
    </row>
    <row r="2700" spans="1:21" ht="43.2" x14ac:dyDescent="0.55000000000000004">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16">
        <f t="shared" si="253"/>
        <v>13.005000000000001</v>
      </c>
      <c r="Q2700" t="str">
        <f t="shared" si="256"/>
        <v>food</v>
      </c>
      <c r="R2700" t="str">
        <f t="shared" si="257"/>
        <v>food trucks</v>
      </c>
      <c r="S2700" s="4">
        <f t="shared" si="254"/>
        <v>41787.898240740738</v>
      </c>
      <c r="T2700" s="4">
        <f t="shared" si="255"/>
        <v>41817.898240740738</v>
      </c>
      <c r="U2700" s="5">
        <f>VLOOKUP(currency,Tables!$A$1:$C$14,3,FALSE)*pledged</f>
        <v>26.01</v>
      </c>
    </row>
    <row r="2701" spans="1:21" ht="43.2" x14ac:dyDescent="0.55000000000000004">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252"/>
        <v>0</v>
      </c>
      <c r="P2701" s="16">
        <f t="shared" si="253"/>
        <v>0</v>
      </c>
      <c r="Q2701" t="str">
        <f t="shared" si="256"/>
        <v>food</v>
      </c>
      <c r="R2701" t="str">
        <f t="shared" si="257"/>
        <v>food trucks</v>
      </c>
      <c r="S2701" s="4">
        <f t="shared" si="254"/>
        <v>41829.896562499998</v>
      </c>
      <c r="T2701" s="4">
        <f t="shared" si="255"/>
        <v>41859.896562499998</v>
      </c>
      <c r="U2701" s="5">
        <f>VLOOKUP(currency,Tables!$A$1:$C$14,3,FALSE)*pledged</f>
        <v>0</v>
      </c>
    </row>
    <row r="2702" spans="1:21" ht="43.2" x14ac:dyDescent="0.55000000000000004">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16">
        <f t="shared" si="253"/>
        <v>17.5</v>
      </c>
      <c r="Q2702" t="str">
        <f t="shared" si="256"/>
        <v>food</v>
      </c>
      <c r="R2702" t="str">
        <f t="shared" si="257"/>
        <v>food trucks</v>
      </c>
      <c r="S2702" s="4">
        <f t="shared" si="254"/>
        <v>41870.87467592593</v>
      </c>
      <c r="T2702" s="4">
        <f t="shared" si="255"/>
        <v>41900.87467592593</v>
      </c>
      <c r="U2702" s="5">
        <f>VLOOKUP(currency,Tables!$A$1:$C$14,3,FALSE)*pledged</f>
        <v>70</v>
      </c>
    </row>
    <row r="2703" spans="1:21" ht="43.2" x14ac:dyDescent="0.55000000000000004">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16">
        <f t="shared" si="253"/>
        <v>34.130434782608695</v>
      </c>
      <c r="Q2703" t="str">
        <f t="shared" si="256"/>
        <v>theater</v>
      </c>
      <c r="R2703" t="str">
        <f t="shared" si="257"/>
        <v>spaces</v>
      </c>
      <c r="S2703" s="4">
        <f t="shared" si="254"/>
        <v>42801.774699074071</v>
      </c>
      <c r="T2703" s="4">
        <f t="shared" si="255"/>
        <v>42832.733032407406</v>
      </c>
      <c r="U2703" s="5">
        <f>VLOOKUP(currency,Tables!$A$1:$C$14,3,FALSE)*pledged</f>
        <v>1852.6</v>
      </c>
    </row>
    <row r="2704" spans="1:21" ht="43.2" x14ac:dyDescent="0.55000000000000004">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16">
        <f t="shared" si="253"/>
        <v>132.34615384615384</v>
      </c>
      <c r="Q2704" t="str">
        <f t="shared" si="256"/>
        <v>theater</v>
      </c>
      <c r="R2704" t="str">
        <f t="shared" si="257"/>
        <v>spaces</v>
      </c>
      <c r="S2704" s="4">
        <f t="shared" si="254"/>
        <v>42800.801817129628</v>
      </c>
      <c r="T2704" s="4">
        <f t="shared" si="255"/>
        <v>42830.760150462964</v>
      </c>
      <c r="U2704" s="5">
        <f>VLOOKUP(currency,Tables!$A$1:$C$14,3,FALSE)*pledged</f>
        <v>3441</v>
      </c>
    </row>
    <row r="2705" spans="1:21" ht="28.8" x14ac:dyDescent="0.55000000000000004">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16">
        <f t="shared" si="253"/>
        <v>922.22222222222217</v>
      </c>
      <c r="Q2705" t="str">
        <f t="shared" si="256"/>
        <v>theater</v>
      </c>
      <c r="R2705" t="str">
        <f t="shared" si="257"/>
        <v>spaces</v>
      </c>
      <c r="S2705" s="4">
        <f t="shared" si="254"/>
        <v>42756.690162037034</v>
      </c>
      <c r="T2705" s="4">
        <f t="shared" si="255"/>
        <v>42816.648495370369</v>
      </c>
      <c r="U2705" s="5">
        <f>VLOOKUP(currency,Tables!$A$1:$C$14,3,FALSE)*pledged</f>
        <v>1909</v>
      </c>
    </row>
    <row r="2706" spans="1:21" ht="43.2" x14ac:dyDescent="0.55000000000000004">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16">
        <f t="shared" si="253"/>
        <v>163.57142857142858</v>
      </c>
      <c r="Q2706" t="str">
        <f t="shared" si="256"/>
        <v>theater</v>
      </c>
      <c r="R2706" t="str">
        <f t="shared" si="257"/>
        <v>spaces</v>
      </c>
      <c r="S2706" s="4">
        <f t="shared" si="254"/>
        <v>42787.862430555557</v>
      </c>
      <c r="T2706" s="4">
        <f t="shared" si="255"/>
        <v>42830.820763888885</v>
      </c>
      <c r="U2706" s="5">
        <f>VLOOKUP(currency,Tables!$A$1:$C$14,3,FALSE)*pledged</f>
        <v>1145</v>
      </c>
    </row>
    <row r="2707" spans="1:21" ht="28.8" x14ac:dyDescent="0.55000000000000004">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16">
        <f t="shared" si="253"/>
        <v>217.375</v>
      </c>
      <c r="Q2707" t="str">
        <f t="shared" si="256"/>
        <v>theater</v>
      </c>
      <c r="R2707" t="str">
        <f t="shared" si="257"/>
        <v>spaces</v>
      </c>
      <c r="S2707" s="4">
        <f t="shared" si="254"/>
        <v>42773.916180555556</v>
      </c>
      <c r="T2707" s="4">
        <f t="shared" si="255"/>
        <v>42818.874513888892</v>
      </c>
      <c r="U2707" s="5">
        <f>VLOOKUP(currency,Tables!$A$1:$C$14,3,FALSE)*pledged</f>
        <v>1739</v>
      </c>
    </row>
    <row r="2708" spans="1:21" ht="43.2" x14ac:dyDescent="0.55000000000000004">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16">
        <f t="shared" si="253"/>
        <v>149.44486692015209</v>
      </c>
      <c r="Q2708" t="str">
        <f t="shared" si="256"/>
        <v>theater</v>
      </c>
      <c r="R2708" t="str">
        <f t="shared" si="257"/>
        <v>spaces</v>
      </c>
      <c r="S2708" s="4">
        <f t="shared" si="254"/>
        <v>41899.294942129629</v>
      </c>
      <c r="T2708" s="4">
        <f t="shared" si="255"/>
        <v>41928.290972222225</v>
      </c>
      <c r="U2708" s="5">
        <f>VLOOKUP(currency,Tables!$A$1:$C$14,3,FALSE)*pledged</f>
        <v>39304</v>
      </c>
    </row>
    <row r="2709" spans="1:21" ht="43.2" x14ac:dyDescent="0.55000000000000004">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16">
        <f t="shared" si="253"/>
        <v>71.237487309644663</v>
      </c>
      <c r="Q2709" t="str">
        <f t="shared" si="256"/>
        <v>theater</v>
      </c>
      <c r="R2709" t="str">
        <f t="shared" si="257"/>
        <v>spaces</v>
      </c>
      <c r="S2709" s="4">
        <f t="shared" si="254"/>
        <v>41391.782905092594</v>
      </c>
      <c r="T2709" s="4">
        <f t="shared" si="255"/>
        <v>41421.290972222225</v>
      </c>
      <c r="U2709" s="5">
        <f>VLOOKUP(currency,Tables!$A$1:$C$14,3,FALSE)*pledged</f>
        <v>28067.57</v>
      </c>
    </row>
    <row r="2710" spans="1:21" ht="43.2" x14ac:dyDescent="0.55000000000000004">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16">
        <f t="shared" si="253"/>
        <v>44.464318398474738</v>
      </c>
      <c r="Q2710" t="str">
        <f t="shared" si="256"/>
        <v>theater</v>
      </c>
      <c r="R2710" t="str">
        <f t="shared" si="257"/>
        <v>spaces</v>
      </c>
      <c r="S2710" s="4">
        <f t="shared" si="254"/>
        <v>42512.698217592595</v>
      </c>
      <c r="T2710" s="4">
        <f t="shared" si="255"/>
        <v>42572.698217592595</v>
      </c>
      <c r="U2710" s="5">
        <f>VLOOKUP(currency,Tables!$A$1:$C$14,3,FALSE)*pledged</f>
        <v>61568.852400000003</v>
      </c>
    </row>
    <row r="2711" spans="1:21" ht="43.2" x14ac:dyDescent="0.55000000000000004">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16">
        <f t="shared" si="253"/>
        <v>164.94480519480518</v>
      </c>
      <c r="Q2711" t="str">
        <f t="shared" si="256"/>
        <v>theater</v>
      </c>
      <c r="R2711" t="str">
        <f t="shared" si="257"/>
        <v>spaces</v>
      </c>
      <c r="S2711" s="4">
        <f t="shared" si="254"/>
        <v>42612.149780092594</v>
      </c>
      <c r="T2711" s="4">
        <f t="shared" si="255"/>
        <v>42647.165972222225</v>
      </c>
      <c r="U2711" s="5">
        <f>VLOOKUP(currency,Tables!$A$1:$C$14,3,FALSE)*pledged</f>
        <v>50803</v>
      </c>
    </row>
    <row r="2712" spans="1:21" ht="28.8" x14ac:dyDescent="0.55000000000000004">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16">
        <f t="shared" si="253"/>
        <v>84.871516544117654</v>
      </c>
      <c r="Q2712" t="str">
        <f t="shared" si="256"/>
        <v>theater</v>
      </c>
      <c r="R2712" t="str">
        <f t="shared" si="257"/>
        <v>spaces</v>
      </c>
      <c r="S2712" s="4">
        <f t="shared" si="254"/>
        <v>41828.229490740741</v>
      </c>
      <c r="T2712" s="4">
        <f t="shared" si="255"/>
        <v>41860.083333333336</v>
      </c>
      <c r="U2712" s="5">
        <f>VLOOKUP(currency,Tables!$A$1:$C$14,3,FALSE)*pledged</f>
        <v>92340.21</v>
      </c>
    </row>
    <row r="2713" spans="1:21" ht="43.2" x14ac:dyDescent="0.55000000000000004">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16">
        <f t="shared" si="253"/>
        <v>53.945205479452056</v>
      </c>
      <c r="Q2713" t="str">
        <f t="shared" si="256"/>
        <v>theater</v>
      </c>
      <c r="R2713" t="str">
        <f t="shared" si="257"/>
        <v>spaces</v>
      </c>
      <c r="S2713" s="4">
        <f t="shared" si="254"/>
        <v>41780.745254629634</v>
      </c>
      <c r="T2713" s="4">
        <f t="shared" si="255"/>
        <v>41810.917361111111</v>
      </c>
      <c r="U2713" s="5">
        <f>VLOOKUP(currency,Tables!$A$1:$C$14,3,FALSE)*pledged</f>
        <v>5198.16</v>
      </c>
    </row>
    <row r="2714" spans="1:21" ht="43.2" x14ac:dyDescent="0.55000000000000004">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16">
        <f t="shared" si="253"/>
        <v>50.531468531468533</v>
      </c>
      <c r="Q2714" t="str">
        <f t="shared" si="256"/>
        <v>theater</v>
      </c>
      <c r="R2714" t="str">
        <f t="shared" si="257"/>
        <v>spaces</v>
      </c>
      <c r="S2714" s="4">
        <f t="shared" si="254"/>
        <v>41432.062037037038</v>
      </c>
      <c r="T2714" s="4">
        <f t="shared" si="255"/>
        <v>41468.75</v>
      </c>
      <c r="U2714" s="5">
        <f>VLOOKUP(currency,Tables!$A$1:$C$14,3,FALSE)*pledged</f>
        <v>7226</v>
      </c>
    </row>
    <row r="2715" spans="1:21" ht="43.2" x14ac:dyDescent="0.55000000000000004">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16">
        <f t="shared" si="253"/>
        <v>108.00140845070422</v>
      </c>
      <c r="Q2715" t="str">
        <f t="shared" si="256"/>
        <v>theater</v>
      </c>
      <c r="R2715" t="str">
        <f t="shared" si="257"/>
        <v>spaces</v>
      </c>
      <c r="S2715" s="4">
        <f t="shared" si="254"/>
        <v>42322.653749999998</v>
      </c>
      <c r="T2715" s="4">
        <f t="shared" si="255"/>
        <v>42362.653749999998</v>
      </c>
      <c r="U2715" s="5">
        <f>VLOOKUP(currency,Tables!$A$1:$C$14,3,FALSE)*pledged</f>
        <v>153362</v>
      </c>
    </row>
    <row r="2716" spans="1:21" ht="28.8" x14ac:dyDescent="0.55000000000000004">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16">
        <f t="shared" si="253"/>
        <v>95.373770491803285</v>
      </c>
      <c r="Q2716" t="str">
        <f t="shared" si="256"/>
        <v>theater</v>
      </c>
      <c r="R2716" t="str">
        <f t="shared" si="257"/>
        <v>spaces</v>
      </c>
      <c r="S2716" s="4">
        <f t="shared" si="254"/>
        <v>42629.655046296291</v>
      </c>
      <c r="T2716" s="4">
        <f t="shared" si="255"/>
        <v>42657.958333333328</v>
      </c>
      <c r="U2716" s="5">
        <f>VLOOKUP(currency,Tables!$A$1:$C$14,3,FALSE)*pledged</f>
        <v>29089</v>
      </c>
    </row>
    <row r="2717" spans="1:21" ht="43.2" x14ac:dyDescent="0.55000000000000004">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16">
        <f t="shared" si="253"/>
        <v>57.631016333938291</v>
      </c>
      <c r="Q2717" t="str">
        <f t="shared" si="256"/>
        <v>theater</v>
      </c>
      <c r="R2717" t="str">
        <f t="shared" si="257"/>
        <v>spaces</v>
      </c>
      <c r="S2717" s="4">
        <f t="shared" si="254"/>
        <v>42387.398472222223</v>
      </c>
      <c r="T2717" s="4">
        <f t="shared" si="255"/>
        <v>42421.398472222223</v>
      </c>
      <c r="U2717" s="5">
        <f>VLOOKUP(currency,Tables!$A$1:$C$14,3,FALSE)*pledged</f>
        <v>31754.69</v>
      </c>
    </row>
    <row r="2718" spans="1:21" ht="57.6" x14ac:dyDescent="0.55000000000000004">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16">
        <f t="shared" si="253"/>
        <v>64.160481283422456</v>
      </c>
      <c r="Q2718" t="str">
        <f t="shared" si="256"/>
        <v>theater</v>
      </c>
      <c r="R2718" t="str">
        <f t="shared" si="257"/>
        <v>spaces</v>
      </c>
      <c r="S2718" s="4">
        <f t="shared" si="254"/>
        <v>42255.333252314813</v>
      </c>
      <c r="T2718" s="4">
        <f t="shared" si="255"/>
        <v>42285.333252314813</v>
      </c>
      <c r="U2718" s="5">
        <f>VLOOKUP(currency,Tables!$A$1:$C$14,3,FALSE)*pledged</f>
        <v>14157.6518</v>
      </c>
    </row>
    <row r="2719" spans="1:21" ht="43.2" x14ac:dyDescent="0.55000000000000004">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16">
        <f t="shared" si="253"/>
        <v>92.387692307692305</v>
      </c>
      <c r="Q2719" t="str">
        <f t="shared" si="256"/>
        <v>theater</v>
      </c>
      <c r="R2719" t="str">
        <f t="shared" si="257"/>
        <v>spaces</v>
      </c>
      <c r="S2719" s="4">
        <f t="shared" si="254"/>
        <v>41934.914918981485</v>
      </c>
      <c r="T2719" s="4">
        <f t="shared" si="255"/>
        <v>41979.956585648149</v>
      </c>
      <c r="U2719" s="5">
        <f>VLOOKUP(currency,Tables!$A$1:$C$14,3,FALSE)*pledged</f>
        <v>30026</v>
      </c>
    </row>
    <row r="2720" spans="1:21" ht="43.2" x14ac:dyDescent="0.55000000000000004">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16">
        <f t="shared" si="253"/>
        <v>125.97972972972973</v>
      </c>
      <c r="Q2720" t="str">
        <f t="shared" si="256"/>
        <v>theater</v>
      </c>
      <c r="R2720" t="str">
        <f t="shared" si="257"/>
        <v>spaces</v>
      </c>
      <c r="S2720" s="4">
        <f t="shared" si="254"/>
        <v>42465.596585648149</v>
      </c>
      <c r="T2720" s="4">
        <f t="shared" si="255"/>
        <v>42493.958333333328</v>
      </c>
      <c r="U2720" s="5">
        <f>VLOOKUP(currency,Tables!$A$1:$C$14,3,FALSE)*pledged</f>
        <v>18645</v>
      </c>
    </row>
    <row r="2721" spans="1:21" ht="43.2" x14ac:dyDescent="0.55000000000000004">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16">
        <f t="shared" si="253"/>
        <v>94.637681159420296</v>
      </c>
      <c r="Q2721" t="str">
        <f t="shared" si="256"/>
        <v>theater</v>
      </c>
      <c r="R2721" t="str">
        <f t="shared" si="257"/>
        <v>spaces</v>
      </c>
      <c r="S2721" s="4">
        <f t="shared" si="254"/>
        <v>42418.031180555554</v>
      </c>
      <c r="T2721" s="4">
        <f t="shared" si="255"/>
        <v>42477.989513888882</v>
      </c>
      <c r="U2721" s="5">
        <f>VLOOKUP(currency,Tables!$A$1:$C$14,3,FALSE)*pledged</f>
        <v>6530</v>
      </c>
    </row>
    <row r="2722" spans="1:21" ht="43.2" x14ac:dyDescent="0.55000000000000004">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16">
        <f t="shared" si="253"/>
        <v>170.69942196531792</v>
      </c>
      <c r="Q2722" t="str">
        <f t="shared" si="256"/>
        <v>theater</v>
      </c>
      <c r="R2722" t="str">
        <f t="shared" si="257"/>
        <v>spaces</v>
      </c>
      <c r="S2722" s="4">
        <f t="shared" si="254"/>
        <v>42655.465891203698</v>
      </c>
      <c r="T2722" s="4">
        <f t="shared" si="255"/>
        <v>42685.507557870369</v>
      </c>
      <c r="U2722" s="5">
        <f>VLOOKUP(currency,Tables!$A$1:$C$14,3,FALSE)*pledged</f>
        <v>29531</v>
      </c>
    </row>
    <row r="2723" spans="1:21" ht="43.2" x14ac:dyDescent="0.55000000000000004">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16">
        <f t="shared" si="253"/>
        <v>40.762081784386616</v>
      </c>
      <c r="Q2723" t="str">
        <f t="shared" si="256"/>
        <v>technology</v>
      </c>
      <c r="R2723" t="str">
        <f t="shared" si="257"/>
        <v>hardware</v>
      </c>
      <c r="S2723" s="4">
        <f t="shared" si="254"/>
        <v>41493.543958333335</v>
      </c>
      <c r="T2723" s="4">
        <f t="shared" si="255"/>
        <v>41523.791666666664</v>
      </c>
      <c r="U2723" s="5">
        <f>VLOOKUP(currency,Tables!$A$1:$C$14,3,FALSE)*pledged</f>
        <v>14473.800000000001</v>
      </c>
    </row>
    <row r="2724" spans="1:21" ht="43.2" x14ac:dyDescent="0.55000000000000004">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16">
        <f t="shared" si="253"/>
        <v>68.254054054054052</v>
      </c>
      <c r="Q2724" t="str">
        <f t="shared" si="256"/>
        <v>technology</v>
      </c>
      <c r="R2724" t="str">
        <f t="shared" si="257"/>
        <v>hardware</v>
      </c>
      <c r="S2724" s="4">
        <f t="shared" si="254"/>
        <v>42704.857094907406</v>
      </c>
      <c r="T2724" s="4">
        <f t="shared" si="255"/>
        <v>42764.857094907406</v>
      </c>
      <c r="U2724" s="5">
        <f>VLOOKUP(currency,Tables!$A$1:$C$14,3,FALSE)*pledged</f>
        <v>12627</v>
      </c>
    </row>
    <row r="2725" spans="1:21" ht="43.2" x14ac:dyDescent="0.55000000000000004">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16">
        <f t="shared" si="253"/>
        <v>95.48863636363636</v>
      </c>
      <c r="Q2725" t="str">
        <f t="shared" si="256"/>
        <v>technology</v>
      </c>
      <c r="R2725" t="str">
        <f t="shared" si="257"/>
        <v>hardware</v>
      </c>
      <c r="S2725" s="4">
        <f t="shared" si="254"/>
        <v>41944.83898148148</v>
      </c>
      <c r="T2725" s="4">
        <f t="shared" si="255"/>
        <v>42004.880648148144</v>
      </c>
      <c r="U2725" s="5">
        <f>VLOOKUP(currency,Tables!$A$1:$C$14,3,FALSE)*pledged</f>
        <v>16806</v>
      </c>
    </row>
    <row r="2726" spans="1:21" ht="43.2" x14ac:dyDescent="0.55000000000000004">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16">
        <f t="shared" si="253"/>
        <v>7.1902649656526005</v>
      </c>
      <c r="Q2726" t="str">
        <f t="shared" si="256"/>
        <v>technology</v>
      </c>
      <c r="R2726" t="str">
        <f t="shared" si="257"/>
        <v>hardware</v>
      </c>
      <c r="S2726" s="4">
        <f t="shared" si="254"/>
        <v>42199.32707175926</v>
      </c>
      <c r="T2726" s="4">
        <f t="shared" si="255"/>
        <v>42231.32707175926</v>
      </c>
      <c r="U2726" s="5">
        <f>VLOOKUP(currency,Tables!$A$1:$C$14,3,FALSE)*pledged</f>
        <v>9671.481600000001</v>
      </c>
    </row>
    <row r="2727" spans="1:21" ht="28.8" x14ac:dyDescent="0.55000000000000004">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16">
        <f t="shared" si="253"/>
        <v>511.65486725663715</v>
      </c>
      <c r="Q2727" t="str">
        <f t="shared" si="256"/>
        <v>technology</v>
      </c>
      <c r="R2727" t="str">
        <f t="shared" si="257"/>
        <v>hardware</v>
      </c>
      <c r="S2727" s="4">
        <f t="shared" si="254"/>
        <v>42745.744618055556</v>
      </c>
      <c r="T2727" s="4">
        <f t="shared" si="255"/>
        <v>42795.744618055556</v>
      </c>
      <c r="U2727" s="5">
        <f>VLOOKUP(currency,Tables!$A$1:$C$14,3,FALSE)*pledged</f>
        <v>43940.92</v>
      </c>
    </row>
    <row r="2728" spans="1:21" x14ac:dyDescent="0.55000000000000004">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16">
        <f t="shared" si="253"/>
        <v>261.74504950495049</v>
      </c>
      <c r="Q2728" t="str">
        <f t="shared" si="256"/>
        <v>technology</v>
      </c>
      <c r="R2728" t="str">
        <f t="shared" si="257"/>
        <v>hardware</v>
      </c>
      <c r="S2728" s="4">
        <f t="shared" si="254"/>
        <v>42452.579988425925</v>
      </c>
      <c r="T2728" s="4">
        <f t="shared" si="255"/>
        <v>42482.579988425925</v>
      </c>
      <c r="U2728" s="5">
        <f>VLOOKUP(currency,Tables!$A$1:$C$14,3,FALSE)*pledged</f>
        <v>105745</v>
      </c>
    </row>
    <row r="2729" spans="1:21" ht="43.2" x14ac:dyDescent="0.55000000000000004">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16">
        <f t="shared" si="253"/>
        <v>69.760961810466767</v>
      </c>
      <c r="Q2729" t="str">
        <f t="shared" si="256"/>
        <v>technology</v>
      </c>
      <c r="R2729" t="str">
        <f t="shared" si="257"/>
        <v>hardware</v>
      </c>
      <c r="S2729" s="4">
        <f t="shared" si="254"/>
        <v>42198.676655092597</v>
      </c>
      <c r="T2729" s="4">
        <f t="shared" si="255"/>
        <v>42223.676655092597</v>
      </c>
      <c r="U2729" s="5">
        <f>VLOOKUP(currency,Tables!$A$1:$C$14,3,FALSE)*pledged</f>
        <v>49321</v>
      </c>
    </row>
    <row r="2730" spans="1:21" ht="28.8" x14ac:dyDescent="0.55000000000000004">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16">
        <f t="shared" si="253"/>
        <v>77.229591836734699</v>
      </c>
      <c r="Q2730" t="str">
        <f t="shared" si="256"/>
        <v>technology</v>
      </c>
      <c r="R2730" t="str">
        <f t="shared" si="257"/>
        <v>hardware</v>
      </c>
      <c r="S2730" s="4">
        <f t="shared" si="254"/>
        <v>42333.59993055556</v>
      </c>
      <c r="T2730" s="4">
        <f t="shared" si="255"/>
        <v>42368.59993055556</v>
      </c>
      <c r="U2730" s="5">
        <f>VLOOKUP(currency,Tables!$A$1:$C$14,3,FALSE)*pledged</f>
        <v>30274</v>
      </c>
    </row>
    <row r="2731" spans="1:21" ht="28.8" x14ac:dyDescent="0.55000000000000004">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16">
        <f t="shared" si="253"/>
        <v>340.56521739130437</v>
      </c>
      <c r="Q2731" t="str">
        <f t="shared" si="256"/>
        <v>technology</v>
      </c>
      <c r="R2731" t="str">
        <f t="shared" si="257"/>
        <v>hardware</v>
      </c>
      <c r="S2731" s="4">
        <f t="shared" si="254"/>
        <v>42095.240706018521</v>
      </c>
      <c r="T2731" s="4">
        <f t="shared" si="255"/>
        <v>42125.240706018521</v>
      </c>
      <c r="U2731" s="5">
        <f>VLOOKUP(currency,Tables!$A$1:$C$14,3,FALSE)*pledged</f>
        <v>7833</v>
      </c>
    </row>
    <row r="2732" spans="1:21" ht="28.8" x14ac:dyDescent="0.55000000000000004">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16">
        <f t="shared" si="253"/>
        <v>67.417903225806455</v>
      </c>
      <c r="Q2732" t="str">
        <f t="shared" si="256"/>
        <v>technology</v>
      </c>
      <c r="R2732" t="str">
        <f t="shared" si="257"/>
        <v>hardware</v>
      </c>
      <c r="S2732" s="4">
        <f t="shared" si="254"/>
        <v>41351.541377314818</v>
      </c>
      <c r="T2732" s="4">
        <f t="shared" si="255"/>
        <v>41386.541377314818</v>
      </c>
      <c r="U2732" s="5">
        <f>VLOOKUP(currency,Tables!$A$1:$C$14,3,FALSE)*pledged</f>
        <v>45979.01</v>
      </c>
    </row>
    <row r="2733" spans="1:21" ht="43.2" x14ac:dyDescent="0.55000000000000004">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16">
        <f t="shared" si="253"/>
        <v>845.70270270270271</v>
      </c>
      <c r="Q2733" t="str">
        <f t="shared" si="256"/>
        <v>technology</v>
      </c>
      <c r="R2733" t="str">
        <f t="shared" si="257"/>
        <v>hardware</v>
      </c>
      <c r="S2733" s="4">
        <f t="shared" si="254"/>
        <v>41872.525717592594</v>
      </c>
      <c r="T2733" s="4">
        <f t="shared" si="255"/>
        <v>41930.166666666664</v>
      </c>
      <c r="U2733" s="5">
        <f>VLOOKUP(currency,Tables!$A$1:$C$14,3,FALSE)*pledged</f>
        <v>31291</v>
      </c>
    </row>
    <row r="2734" spans="1:21" ht="43.2" x14ac:dyDescent="0.55000000000000004">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16">
        <f t="shared" si="253"/>
        <v>97.191780821917803</v>
      </c>
      <c r="Q2734" t="str">
        <f t="shared" si="256"/>
        <v>technology</v>
      </c>
      <c r="R2734" t="str">
        <f t="shared" si="257"/>
        <v>hardware</v>
      </c>
      <c r="S2734" s="4">
        <f t="shared" si="254"/>
        <v>41389.808194444442</v>
      </c>
      <c r="T2734" s="4">
        <f t="shared" si="255"/>
        <v>41422</v>
      </c>
      <c r="U2734" s="5">
        <f>VLOOKUP(currency,Tables!$A$1:$C$14,3,FALSE)*pledged</f>
        <v>14190</v>
      </c>
    </row>
    <row r="2735" spans="1:21" ht="43.2" x14ac:dyDescent="0.55000000000000004">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16">
        <f t="shared" si="253"/>
        <v>451.84033613445376</v>
      </c>
      <c r="Q2735" t="str">
        <f t="shared" si="256"/>
        <v>technology</v>
      </c>
      <c r="R2735" t="str">
        <f t="shared" si="257"/>
        <v>hardware</v>
      </c>
      <c r="S2735" s="4">
        <f t="shared" si="254"/>
        <v>42044.272847222222</v>
      </c>
      <c r="T2735" s="4">
        <f t="shared" si="255"/>
        <v>42104.231180555551</v>
      </c>
      <c r="U2735" s="5">
        <f>VLOOKUP(currency,Tables!$A$1:$C$14,3,FALSE)*pledged</f>
        <v>53769</v>
      </c>
    </row>
    <row r="2736" spans="1:21" ht="43.2" x14ac:dyDescent="0.55000000000000004">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16">
        <f t="shared" si="253"/>
        <v>138.66871165644173</v>
      </c>
      <c r="Q2736" t="str">
        <f t="shared" si="256"/>
        <v>technology</v>
      </c>
      <c r="R2736" t="str">
        <f t="shared" si="257"/>
        <v>hardware</v>
      </c>
      <c r="S2736" s="4">
        <f t="shared" si="254"/>
        <v>42626.668888888889</v>
      </c>
      <c r="T2736" s="4">
        <f t="shared" si="255"/>
        <v>42656.915972222225</v>
      </c>
      <c r="U2736" s="5">
        <f>VLOOKUP(currency,Tables!$A$1:$C$14,3,FALSE)*pledged</f>
        <v>22603</v>
      </c>
    </row>
    <row r="2737" spans="1:21" ht="43.2" x14ac:dyDescent="0.55000000000000004">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16">
        <f t="shared" si="253"/>
        <v>21.640147492625371</v>
      </c>
      <c r="Q2737" t="str">
        <f t="shared" si="256"/>
        <v>technology</v>
      </c>
      <c r="R2737" t="str">
        <f t="shared" si="257"/>
        <v>hardware</v>
      </c>
      <c r="S2737" s="4">
        <f t="shared" si="254"/>
        <v>41316.120949074073</v>
      </c>
      <c r="T2737" s="4">
        <f t="shared" si="255"/>
        <v>41346.833333333336</v>
      </c>
      <c r="U2737" s="5">
        <f>VLOOKUP(currency,Tables!$A$1:$C$14,3,FALSE)*pledged</f>
        <v>9683.5331999999999</v>
      </c>
    </row>
    <row r="2738" spans="1:21" ht="57.6" x14ac:dyDescent="0.55000000000000004">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16">
        <f t="shared" si="253"/>
        <v>169.51724137931035</v>
      </c>
      <c r="Q2738" t="str">
        <f t="shared" si="256"/>
        <v>technology</v>
      </c>
      <c r="R2738" t="str">
        <f t="shared" si="257"/>
        <v>hardware</v>
      </c>
      <c r="S2738" s="4">
        <f t="shared" si="254"/>
        <v>41722.666354166664</v>
      </c>
      <c r="T2738" s="4">
        <f t="shared" si="255"/>
        <v>41752.666354166664</v>
      </c>
      <c r="U2738" s="5">
        <f>VLOOKUP(currency,Tables!$A$1:$C$14,3,FALSE)*pledged</f>
        <v>7472.32</v>
      </c>
    </row>
    <row r="2739" spans="1:21" ht="43.2" x14ac:dyDescent="0.55000000000000004">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16">
        <f t="shared" si="253"/>
        <v>161.88210526315791</v>
      </c>
      <c r="Q2739" t="str">
        <f t="shared" si="256"/>
        <v>technology</v>
      </c>
      <c r="R2739" t="str">
        <f t="shared" si="257"/>
        <v>hardware</v>
      </c>
      <c r="S2739" s="4">
        <f t="shared" si="254"/>
        <v>41611.917673611111</v>
      </c>
      <c r="T2739" s="4">
        <f t="shared" si="255"/>
        <v>41654.791666666664</v>
      </c>
      <c r="U2739" s="5">
        <f>VLOOKUP(currency,Tables!$A$1:$C$14,3,FALSE)*pledged</f>
        <v>73818.240000000005</v>
      </c>
    </row>
    <row r="2740" spans="1:21" ht="43.2" x14ac:dyDescent="0.55000000000000004">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16">
        <f t="shared" si="253"/>
        <v>493.13333333333333</v>
      </c>
      <c r="Q2740" t="str">
        <f t="shared" si="256"/>
        <v>technology</v>
      </c>
      <c r="R2740" t="str">
        <f t="shared" si="257"/>
        <v>hardware</v>
      </c>
      <c r="S2740" s="4">
        <f t="shared" si="254"/>
        <v>42620.143564814818</v>
      </c>
      <c r="T2740" s="4">
        <f t="shared" si="255"/>
        <v>42680.143564814818</v>
      </c>
      <c r="U2740" s="5">
        <f>VLOOKUP(currency,Tables!$A$1:$C$14,3,FALSE)*pledged</f>
        <v>7397</v>
      </c>
    </row>
    <row r="2741" spans="1:21" ht="43.2" x14ac:dyDescent="0.55000000000000004">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16">
        <f t="shared" si="253"/>
        <v>22.120418848167539</v>
      </c>
      <c r="Q2741" t="str">
        <f t="shared" si="256"/>
        <v>technology</v>
      </c>
      <c r="R2741" t="str">
        <f t="shared" si="257"/>
        <v>hardware</v>
      </c>
      <c r="S2741" s="4">
        <f t="shared" si="254"/>
        <v>41719.887928240743</v>
      </c>
      <c r="T2741" s="4">
        <f t="shared" si="255"/>
        <v>41764.887928240743</v>
      </c>
      <c r="U2741" s="5">
        <f>VLOOKUP(currency,Tables!$A$1:$C$14,3,FALSE)*pledged</f>
        <v>5577</v>
      </c>
    </row>
    <row r="2742" spans="1:21" ht="28.8" x14ac:dyDescent="0.55000000000000004">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16">
        <f t="shared" si="253"/>
        <v>18.235294117647058</v>
      </c>
      <c r="Q2742" t="str">
        <f t="shared" si="256"/>
        <v>technology</v>
      </c>
      <c r="R2742" t="str">
        <f t="shared" si="257"/>
        <v>hardware</v>
      </c>
      <c r="S2742" s="4">
        <f t="shared" si="254"/>
        <v>42045.031851851847</v>
      </c>
      <c r="T2742" s="4">
        <f t="shared" si="255"/>
        <v>42074.99018518519</v>
      </c>
      <c r="U2742" s="5">
        <f>VLOOKUP(currency,Tables!$A$1:$C$14,3,FALSE)*pledged</f>
        <v>310</v>
      </c>
    </row>
    <row r="2743" spans="1:21" ht="28.8" x14ac:dyDescent="0.55000000000000004">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16">
        <f t="shared" si="253"/>
        <v>8.75</v>
      </c>
      <c r="Q2743" t="str">
        <f t="shared" si="256"/>
        <v>publishing</v>
      </c>
      <c r="R2743" t="str">
        <f t="shared" si="257"/>
        <v>children's books</v>
      </c>
      <c r="S2743" s="4">
        <f t="shared" si="254"/>
        <v>41911.657430555555</v>
      </c>
      <c r="T2743" s="4">
        <f t="shared" si="255"/>
        <v>41932.088194444441</v>
      </c>
      <c r="U2743" s="5">
        <f>VLOOKUP(currency,Tables!$A$1:$C$14,3,FALSE)*pledged</f>
        <v>35</v>
      </c>
    </row>
    <row r="2744" spans="1:21" ht="43.2" x14ac:dyDescent="0.55000000000000004">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16">
        <f t="shared" si="253"/>
        <v>40.611111111111114</v>
      </c>
      <c r="Q2744" t="str">
        <f t="shared" si="256"/>
        <v>publishing</v>
      </c>
      <c r="R2744" t="str">
        <f t="shared" si="257"/>
        <v>children's books</v>
      </c>
      <c r="S2744" s="4">
        <f t="shared" si="254"/>
        <v>41030.719756944447</v>
      </c>
      <c r="T2744" s="4">
        <f t="shared" si="255"/>
        <v>41044.719756944447</v>
      </c>
      <c r="U2744" s="5">
        <f>VLOOKUP(currency,Tables!$A$1:$C$14,3,FALSE)*pledged</f>
        <v>731</v>
      </c>
    </row>
    <row r="2745" spans="1:21" ht="57.6" x14ac:dyDescent="0.55000000000000004">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252"/>
        <v>0</v>
      </c>
      <c r="P2745" s="16">
        <f t="shared" si="253"/>
        <v>0</v>
      </c>
      <c r="Q2745" t="str">
        <f t="shared" si="256"/>
        <v>publishing</v>
      </c>
      <c r="R2745" t="str">
        <f t="shared" si="257"/>
        <v>children's books</v>
      </c>
      <c r="S2745" s="4">
        <f t="shared" si="254"/>
        <v>42632.328784722224</v>
      </c>
      <c r="T2745" s="4">
        <f t="shared" si="255"/>
        <v>42662.328784722224</v>
      </c>
      <c r="U2745" s="5">
        <f>VLOOKUP(currency,Tables!$A$1:$C$14,3,FALSE)*pledged</f>
        <v>0</v>
      </c>
    </row>
    <row r="2746" spans="1:21" ht="43.2" x14ac:dyDescent="0.55000000000000004">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16">
        <f t="shared" si="253"/>
        <v>37.954545454545453</v>
      </c>
      <c r="Q2746" t="str">
        <f t="shared" si="256"/>
        <v>publishing</v>
      </c>
      <c r="R2746" t="str">
        <f t="shared" si="257"/>
        <v>children's books</v>
      </c>
      <c r="S2746" s="4">
        <f t="shared" si="254"/>
        <v>40938.062476851854</v>
      </c>
      <c r="T2746" s="4">
        <f t="shared" si="255"/>
        <v>40968.062476851854</v>
      </c>
      <c r="U2746" s="5">
        <f>VLOOKUP(currency,Tables!$A$1:$C$14,3,FALSE)*pledged</f>
        <v>835</v>
      </c>
    </row>
    <row r="2747" spans="1:21" ht="43.2" x14ac:dyDescent="0.55000000000000004">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16">
        <f t="shared" si="253"/>
        <v>35.734693877551024</v>
      </c>
      <c r="Q2747" t="str">
        <f t="shared" si="256"/>
        <v>publishing</v>
      </c>
      <c r="R2747" t="str">
        <f t="shared" si="257"/>
        <v>children's books</v>
      </c>
      <c r="S2747" s="4">
        <f t="shared" si="254"/>
        <v>41044.988055555557</v>
      </c>
      <c r="T2747" s="4">
        <f t="shared" si="255"/>
        <v>41104.988055555557</v>
      </c>
      <c r="U2747" s="5">
        <f>VLOOKUP(currency,Tables!$A$1:$C$14,3,FALSE)*pledged</f>
        <v>1751</v>
      </c>
    </row>
    <row r="2748" spans="1:21" ht="43.2" x14ac:dyDescent="0.55000000000000004">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16">
        <f t="shared" si="253"/>
        <v>42.157894736842103</v>
      </c>
      <c r="Q2748" t="str">
        <f t="shared" si="256"/>
        <v>publishing</v>
      </c>
      <c r="R2748" t="str">
        <f t="shared" si="257"/>
        <v>children's books</v>
      </c>
      <c r="S2748" s="4">
        <f t="shared" si="254"/>
        <v>41850.781377314815</v>
      </c>
      <c r="T2748" s="4">
        <f t="shared" si="255"/>
        <v>41880.781377314815</v>
      </c>
      <c r="U2748" s="5">
        <f>VLOOKUP(currency,Tables!$A$1:$C$14,3,FALSE)*pledged</f>
        <v>801</v>
      </c>
    </row>
    <row r="2749" spans="1:21" ht="43.2" x14ac:dyDescent="0.55000000000000004">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16">
        <f t="shared" si="253"/>
        <v>35</v>
      </c>
      <c r="Q2749" t="str">
        <f t="shared" si="256"/>
        <v>publishing</v>
      </c>
      <c r="R2749" t="str">
        <f t="shared" si="257"/>
        <v>children's books</v>
      </c>
      <c r="S2749" s="4">
        <f t="shared" si="254"/>
        <v>41044.64811342593</v>
      </c>
      <c r="T2749" s="4">
        <f t="shared" si="255"/>
        <v>41076.131944444445</v>
      </c>
      <c r="U2749" s="5">
        <f>VLOOKUP(currency,Tables!$A$1:$C$14,3,FALSE)*pledged</f>
        <v>140</v>
      </c>
    </row>
    <row r="2750" spans="1:21" ht="43.2" x14ac:dyDescent="0.55000000000000004">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252"/>
        <v>1.06E-2</v>
      </c>
      <c r="P2750" s="16">
        <f t="shared" si="253"/>
        <v>13.25</v>
      </c>
      <c r="Q2750" t="str">
        <f t="shared" si="256"/>
        <v>publishing</v>
      </c>
      <c r="R2750" t="str">
        <f t="shared" si="257"/>
        <v>children's books</v>
      </c>
      <c r="S2750" s="4">
        <f t="shared" si="254"/>
        <v>42585.7106712963</v>
      </c>
      <c r="T2750" s="4">
        <f t="shared" si="255"/>
        <v>42615.7106712963</v>
      </c>
      <c r="U2750" s="5">
        <f>VLOOKUP(currency,Tables!$A$1:$C$14,3,FALSE)*pledged</f>
        <v>53</v>
      </c>
    </row>
    <row r="2751" spans="1:21" ht="28.8" x14ac:dyDescent="0.55000000000000004">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16">
        <f t="shared" si="253"/>
        <v>55</v>
      </c>
      <c r="Q2751" t="str">
        <f t="shared" si="256"/>
        <v>publishing</v>
      </c>
      <c r="R2751" t="str">
        <f t="shared" si="257"/>
        <v>children's books</v>
      </c>
      <c r="S2751" s="4">
        <f t="shared" si="254"/>
        <v>42068.799039351856</v>
      </c>
      <c r="T2751" s="4">
        <f t="shared" si="255"/>
        <v>42098.757372685184</v>
      </c>
      <c r="U2751" s="5">
        <f>VLOOKUP(currency,Tables!$A$1:$C$14,3,FALSE)*pledged</f>
        <v>110</v>
      </c>
    </row>
    <row r="2752" spans="1:21" ht="43.2" x14ac:dyDescent="0.55000000000000004">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252"/>
        <v>0</v>
      </c>
      <c r="P2752" s="16">
        <f t="shared" si="253"/>
        <v>0</v>
      </c>
      <c r="Q2752" t="str">
        <f t="shared" si="256"/>
        <v>publishing</v>
      </c>
      <c r="R2752" t="str">
        <f t="shared" si="257"/>
        <v>children's books</v>
      </c>
      <c r="S2752" s="4">
        <f t="shared" si="254"/>
        <v>41078.899826388886</v>
      </c>
      <c r="T2752" s="4">
        <f t="shared" si="255"/>
        <v>41090.833333333336</v>
      </c>
      <c r="U2752" s="5">
        <f>VLOOKUP(currency,Tables!$A$1:$C$14,3,FALSE)*pledged</f>
        <v>0</v>
      </c>
    </row>
    <row r="2753" spans="1:21" ht="43.2" x14ac:dyDescent="0.55000000000000004">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252"/>
        <v>0</v>
      </c>
      <c r="P2753" s="16">
        <f t="shared" si="253"/>
        <v>0</v>
      </c>
      <c r="Q2753" t="str">
        <f t="shared" si="256"/>
        <v>publishing</v>
      </c>
      <c r="R2753" t="str">
        <f t="shared" si="257"/>
        <v>children's books</v>
      </c>
      <c r="S2753" s="4">
        <f t="shared" si="254"/>
        <v>41747.887060185189</v>
      </c>
      <c r="T2753" s="4">
        <f t="shared" si="255"/>
        <v>41807.887060185189</v>
      </c>
      <c r="U2753" s="5">
        <f>VLOOKUP(currency,Tables!$A$1:$C$14,3,FALSE)*pledged</f>
        <v>0</v>
      </c>
    </row>
    <row r="2754" spans="1:21" ht="43.2" x14ac:dyDescent="0.55000000000000004">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ref="O2754:O2817" si="258">pledged/goal</f>
        <v>0.11458333333333333</v>
      </c>
      <c r="P2754" s="16">
        <f t="shared" ref="P2754:P2817" si="259">IF(pledged=0,0,pledged/backers_count)</f>
        <v>39.285714285714285</v>
      </c>
      <c r="Q2754" t="str">
        <f t="shared" si="256"/>
        <v>publishing</v>
      </c>
      <c r="R2754" t="str">
        <f t="shared" si="257"/>
        <v>children's books</v>
      </c>
      <c r="S2754" s="4">
        <f t="shared" ref="S2754:S2817" si="260">(((Unix_launched_date/60)/60)/24)+DATE(1970,1,1)</f>
        <v>40855.765092592592</v>
      </c>
      <c r="T2754" s="4">
        <f t="shared" ref="T2754:T2817" si="261">(((Unix_deadline/60)/60)/24)+DATE(1970,1,1)</f>
        <v>40895.765092592592</v>
      </c>
      <c r="U2754" s="5">
        <f>VLOOKUP(currency,Tables!$A$1:$C$14,3,FALSE)*pledged</f>
        <v>550</v>
      </c>
    </row>
    <row r="2755" spans="1:21" ht="43.2" x14ac:dyDescent="0.55000000000000004">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si="258"/>
        <v>0.19</v>
      </c>
      <c r="P2755" s="16">
        <f t="shared" si="259"/>
        <v>47.5</v>
      </c>
      <c r="Q2755" t="str">
        <f t="shared" ref="Q2755:Q2818" si="262">LEFT(N2755,FIND("/",N2755,1)-1)</f>
        <v>publishing</v>
      </c>
      <c r="R2755" t="str">
        <f t="shared" ref="R2755:R2818" si="263">RIGHT(N2755,(LEN(N2755)-FIND("/",N2755,1)))</f>
        <v>children's books</v>
      </c>
      <c r="S2755" s="4">
        <f t="shared" si="260"/>
        <v>41117.900729166664</v>
      </c>
      <c r="T2755" s="4">
        <f t="shared" si="261"/>
        <v>41147.900729166664</v>
      </c>
      <c r="U2755" s="5">
        <f>VLOOKUP(currency,Tables!$A$1:$C$14,3,FALSE)*pledged</f>
        <v>380</v>
      </c>
    </row>
    <row r="2756" spans="1:21" ht="43.2" x14ac:dyDescent="0.55000000000000004">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258"/>
        <v>0</v>
      </c>
      <c r="P2756" s="16">
        <f t="shared" si="259"/>
        <v>0</v>
      </c>
      <c r="Q2756" t="str">
        <f t="shared" si="262"/>
        <v>publishing</v>
      </c>
      <c r="R2756" t="str">
        <f t="shared" si="263"/>
        <v>children's books</v>
      </c>
      <c r="S2756" s="4">
        <f t="shared" si="260"/>
        <v>41863.636006944449</v>
      </c>
      <c r="T2756" s="4">
        <f t="shared" si="261"/>
        <v>41893.636006944449</v>
      </c>
      <c r="U2756" s="5">
        <f>VLOOKUP(currency,Tables!$A$1:$C$14,3,FALSE)*pledged</f>
        <v>0</v>
      </c>
    </row>
    <row r="2757" spans="1:21" ht="43.2" x14ac:dyDescent="0.55000000000000004">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258"/>
        <v>0.52</v>
      </c>
      <c r="P2757" s="16">
        <f t="shared" si="259"/>
        <v>17.333333333333332</v>
      </c>
      <c r="Q2757" t="str">
        <f t="shared" si="262"/>
        <v>publishing</v>
      </c>
      <c r="R2757" t="str">
        <f t="shared" si="263"/>
        <v>children's books</v>
      </c>
      <c r="S2757" s="4">
        <f t="shared" si="260"/>
        <v>42072.790821759263</v>
      </c>
      <c r="T2757" s="4">
        <f t="shared" si="261"/>
        <v>42102.790821759263</v>
      </c>
      <c r="U2757" s="5">
        <f>VLOOKUP(currency,Tables!$A$1:$C$14,3,FALSE)*pledged</f>
        <v>306.8</v>
      </c>
    </row>
    <row r="2758" spans="1:21" ht="43.2" x14ac:dyDescent="0.55000000000000004">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16">
        <f t="shared" si="259"/>
        <v>31.757575757575758</v>
      </c>
      <c r="Q2758" t="str">
        <f t="shared" si="262"/>
        <v>publishing</v>
      </c>
      <c r="R2758" t="str">
        <f t="shared" si="263"/>
        <v>children's books</v>
      </c>
      <c r="S2758" s="4">
        <f t="shared" si="260"/>
        <v>41620.90047453704</v>
      </c>
      <c r="T2758" s="4">
        <f t="shared" si="261"/>
        <v>41650.90047453704</v>
      </c>
      <c r="U2758" s="5">
        <f>VLOOKUP(currency,Tables!$A$1:$C$14,3,FALSE)*pledged</f>
        <v>1048</v>
      </c>
    </row>
    <row r="2759" spans="1:21" ht="28.8" x14ac:dyDescent="0.55000000000000004">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16">
        <f t="shared" si="259"/>
        <v>5</v>
      </c>
      <c r="Q2759" t="str">
        <f t="shared" si="262"/>
        <v>publishing</v>
      </c>
      <c r="R2759" t="str">
        <f t="shared" si="263"/>
        <v>children's books</v>
      </c>
      <c r="S2759" s="4">
        <f t="shared" si="260"/>
        <v>42573.65662037037</v>
      </c>
      <c r="T2759" s="4">
        <f t="shared" si="261"/>
        <v>42588.65662037037</v>
      </c>
      <c r="U2759" s="5">
        <f>VLOOKUP(currency,Tables!$A$1:$C$14,3,FALSE)*pledged</f>
        <v>10</v>
      </c>
    </row>
    <row r="2760" spans="1:21" ht="43.2" x14ac:dyDescent="0.55000000000000004">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16">
        <f t="shared" si="259"/>
        <v>39</v>
      </c>
      <c r="Q2760" t="str">
        <f t="shared" si="262"/>
        <v>publishing</v>
      </c>
      <c r="R2760" t="str">
        <f t="shared" si="263"/>
        <v>children's books</v>
      </c>
      <c r="S2760" s="4">
        <f t="shared" si="260"/>
        <v>42639.441932870366</v>
      </c>
      <c r="T2760" s="4">
        <f t="shared" si="261"/>
        <v>42653.441932870366</v>
      </c>
      <c r="U2760" s="5">
        <f>VLOOKUP(currency,Tables!$A$1:$C$14,3,FALSE)*pledged</f>
        <v>170.82</v>
      </c>
    </row>
    <row r="2761" spans="1:21" ht="43.2" x14ac:dyDescent="0.55000000000000004">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258"/>
        <v>0.105</v>
      </c>
      <c r="P2761" s="16">
        <f t="shared" si="259"/>
        <v>52.5</v>
      </c>
      <c r="Q2761" t="str">
        <f t="shared" si="262"/>
        <v>publishing</v>
      </c>
      <c r="R2761" t="str">
        <f t="shared" si="263"/>
        <v>children's books</v>
      </c>
      <c r="S2761" s="4">
        <f t="shared" si="260"/>
        <v>42524.36650462963</v>
      </c>
      <c r="T2761" s="4">
        <f t="shared" si="261"/>
        <v>42567.36650462963</v>
      </c>
      <c r="U2761" s="5">
        <f>VLOOKUP(currency,Tables!$A$1:$C$14,3,FALSE)*pledged</f>
        <v>76.649999999999991</v>
      </c>
    </row>
    <row r="2762" spans="1:21" ht="43.2" x14ac:dyDescent="0.55000000000000004">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258"/>
        <v>0</v>
      </c>
      <c r="P2762" s="16">
        <f t="shared" si="259"/>
        <v>0</v>
      </c>
      <c r="Q2762" t="str">
        <f t="shared" si="262"/>
        <v>publishing</v>
      </c>
      <c r="R2762" t="str">
        <f t="shared" si="263"/>
        <v>children's books</v>
      </c>
      <c r="S2762" s="4">
        <f t="shared" si="260"/>
        <v>41415.461319444446</v>
      </c>
      <c r="T2762" s="4">
        <f t="shared" si="261"/>
        <v>41445.461319444446</v>
      </c>
      <c r="U2762" s="5">
        <f>VLOOKUP(currency,Tables!$A$1:$C$14,3,FALSE)*pledged</f>
        <v>0</v>
      </c>
    </row>
    <row r="2763" spans="1:21" ht="28.8" x14ac:dyDescent="0.55000000000000004">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16">
        <f t="shared" si="259"/>
        <v>9</v>
      </c>
      <c r="Q2763" t="str">
        <f t="shared" si="262"/>
        <v>publishing</v>
      </c>
      <c r="R2763" t="str">
        <f t="shared" si="263"/>
        <v>children's books</v>
      </c>
      <c r="S2763" s="4">
        <f t="shared" si="260"/>
        <v>41247.063576388886</v>
      </c>
      <c r="T2763" s="4">
        <f t="shared" si="261"/>
        <v>41277.063576388886</v>
      </c>
      <c r="U2763" s="5">
        <f>VLOOKUP(currency,Tables!$A$1:$C$14,3,FALSE)*pledged</f>
        <v>36</v>
      </c>
    </row>
    <row r="2764" spans="1:21" ht="43.2" x14ac:dyDescent="0.55000000000000004">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16">
        <f t="shared" si="259"/>
        <v>25</v>
      </c>
      <c r="Q2764" t="str">
        <f t="shared" si="262"/>
        <v>publishing</v>
      </c>
      <c r="R2764" t="str">
        <f t="shared" si="263"/>
        <v>children's books</v>
      </c>
      <c r="S2764" s="4">
        <f t="shared" si="260"/>
        <v>40927.036979166667</v>
      </c>
      <c r="T2764" s="4">
        <f t="shared" si="261"/>
        <v>40986.995312500003</v>
      </c>
      <c r="U2764" s="5">
        <f>VLOOKUP(currency,Tables!$A$1:$C$14,3,FALSE)*pledged</f>
        <v>25</v>
      </c>
    </row>
    <row r="2765" spans="1:21" ht="28.8" x14ac:dyDescent="0.55000000000000004">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16">
        <f t="shared" si="259"/>
        <v>30</v>
      </c>
      <c r="Q2765" t="str">
        <f t="shared" si="262"/>
        <v>publishing</v>
      </c>
      <c r="R2765" t="str">
        <f t="shared" si="263"/>
        <v>children's books</v>
      </c>
      <c r="S2765" s="4">
        <f t="shared" si="260"/>
        <v>41373.579675925925</v>
      </c>
      <c r="T2765" s="4">
        <f t="shared" si="261"/>
        <v>41418.579675925925</v>
      </c>
      <c r="U2765" s="5">
        <f>VLOOKUP(currency,Tables!$A$1:$C$14,3,FALSE)*pledged</f>
        <v>90</v>
      </c>
    </row>
    <row r="2766" spans="1:21" ht="43.2" x14ac:dyDescent="0.55000000000000004">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258"/>
        <v>1.125E-2</v>
      </c>
      <c r="P2766" s="16">
        <f t="shared" si="259"/>
        <v>11.25</v>
      </c>
      <c r="Q2766" t="str">
        <f t="shared" si="262"/>
        <v>publishing</v>
      </c>
      <c r="R2766" t="str">
        <f t="shared" si="263"/>
        <v>children's books</v>
      </c>
      <c r="S2766" s="4">
        <f t="shared" si="260"/>
        <v>41030.292025462964</v>
      </c>
      <c r="T2766" s="4">
        <f t="shared" si="261"/>
        <v>41059.791666666664</v>
      </c>
      <c r="U2766" s="5">
        <f>VLOOKUP(currency,Tables!$A$1:$C$14,3,FALSE)*pledged</f>
        <v>45</v>
      </c>
    </row>
    <row r="2767" spans="1:21" ht="43.2" x14ac:dyDescent="0.55000000000000004">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258"/>
        <v>0</v>
      </c>
      <c r="P2767" s="16">
        <f t="shared" si="259"/>
        <v>0</v>
      </c>
      <c r="Q2767" t="str">
        <f t="shared" si="262"/>
        <v>publishing</v>
      </c>
      <c r="R2767" t="str">
        <f t="shared" si="263"/>
        <v>children's books</v>
      </c>
      <c r="S2767" s="4">
        <f t="shared" si="260"/>
        <v>41194.579027777778</v>
      </c>
      <c r="T2767" s="4">
        <f t="shared" si="261"/>
        <v>41210.579027777778</v>
      </c>
      <c r="U2767" s="5">
        <f>VLOOKUP(currency,Tables!$A$1:$C$14,3,FALSE)*pledged</f>
        <v>0</v>
      </c>
    </row>
    <row r="2768" spans="1:21" ht="43.2" x14ac:dyDescent="0.55000000000000004">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258"/>
        <v>0.02</v>
      </c>
      <c r="P2768" s="16">
        <f t="shared" si="259"/>
        <v>25</v>
      </c>
      <c r="Q2768" t="str">
        <f t="shared" si="262"/>
        <v>publishing</v>
      </c>
      <c r="R2768" t="str">
        <f t="shared" si="263"/>
        <v>children's books</v>
      </c>
      <c r="S2768" s="4">
        <f t="shared" si="260"/>
        <v>40736.668032407404</v>
      </c>
      <c r="T2768" s="4">
        <f t="shared" si="261"/>
        <v>40766.668032407404</v>
      </c>
      <c r="U2768" s="5">
        <f>VLOOKUP(currency,Tables!$A$1:$C$14,3,FALSE)*pledged</f>
        <v>100</v>
      </c>
    </row>
    <row r="2769" spans="1:21" ht="43.2" x14ac:dyDescent="0.55000000000000004">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16">
        <f t="shared" si="259"/>
        <v>11.333333333333334</v>
      </c>
      <c r="Q2769" t="str">
        <f t="shared" si="262"/>
        <v>publishing</v>
      </c>
      <c r="R2769" t="str">
        <f t="shared" si="263"/>
        <v>children's books</v>
      </c>
      <c r="S2769" s="4">
        <f t="shared" si="260"/>
        <v>42172.958912037036</v>
      </c>
      <c r="T2769" s="4">
        <f t="shared" si="261"/>
        <v>42232.958912037036</v>
      </c>
      <c r="U2769" s="5">
        <f>VLOOKUP(currency,Tables!$A$1:$C$14,3,FALSE)*pledged</f>
        <v>25.84</v>
      </c>
    </row>
    <row r="2770" spans="1:21" ht="43.2" x14ac:dyDescent="0.55000000000000004">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16">
        <f t="shared" si="259"/>
        <v>29.470588235294116</v>
      </c>
      <c r="Q2770" t="str">
        <f t="shared" si="262"/>
        <v>publishing</v>
      </c>
      <c r="R2770" t="str">
        <f t="shared" si="263"/>
        <v>children's books</v>
      </c>
      <c r="S2770" s="4">
        <f t="shared" si="260"/>
        <v>40967.614849537036</v>
      </c>
      <c r="T2770" s="4">
        <f t="shared" si="261"/>
        <v>40997.573182870372</v>
      </c>
      <c r="U2770" s="5">
        <f>VLOOKUP(currency,Tables!$A$1:$C$14,3,FALSE)*pledged</f>
        <v>1002</v>
      </c>
    </row>
    <row r="2771" spans="1:21" ht="43.2" x14ac:dyDescent="0.55000000000000004">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16">
        <f t="shared" si="259"/>
        <v>1</v>
      </c>
      <c r="Q2771" t="str">
        <f t="shared" si="262"/>
        <v>publishing</v>
      </c>
      <c r="R2771" t="str">
        <f t="shared" si="263"/>
        <v>children's books</v>
      </c>
      <c r="S2771" s="4">
        <f t="shared" si="260"/>
        <v>41745.826273148145</v>
      </c>
      <c r="T2771" s="4">
        <f t="shared" si="261"/>
        <v>41795.826273148145</v>
      </c>
      <c r="U2771" s="5">
        <f>VLOOKUP(currency,Tables!$A$1:$C$14,3,FALSE)*pledged</f>
        <v>2.64</v>
      </c>
    </row>
    <row r="2772" spans="1:21" ht="43.2" x14ac:dyDescent="0.55000000000000004">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16">
        <f t="shared" si="259"/>
        <v>63.098484848484851</v>
      </c>
      <c r="Q2772" t="str">
        <f t="shared" si="262"/>
        <v>publishing</v>
      </c>
      <c r="R2772" t="str">
        <f t="shared" si="263"/>
        <v>children's books</v>
      </c>
      <c r="S2772" s="4">
        <f t="shared" si="260"/>
        <v>41686.705208333333</v>
      </c>
      <c r="T2772" s="4">
        <f t="shared" si="261"/>
        <v>41716.663541666669</v>
      </c>
      <c r="U2772" s="5">
        <f>VLOOKUP(currency,Tables!$A$1:$C$14,3,FALSE)*pledged</f>
        <v>2082.25</v>
      </c>
    </row>
    <row r="2773" spans="1:21" ht="43.2" x14ac:dyDescent="0.55000000000000004">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258"/>
        <v>0</v>
      </c>
      <c r="P2773" s="16">
        <f t="shared" si="259"/>
        <v>0</v>
      </c>
      <c r="Q2773" t="str">
        <f t="shared" si="262"/>
        <v>publishing</v>
      </c>
      <c r="R2773" t="str">
        <f t="shared" si="263"/>
        <v>children's books</v>
      </c>
      <c r="S2773" s="4">
        <f t="shared" si="260"/>
        <v>41257.531712962962</v>
      </c>
      <c r="T2773" s="4">
        <f t="shared" si="261"/>
        <v>41306.708333333336</v>
      </c>
      <c r="U2773" s="5">
        <f>VLOOKUP(currency,Tables!$A$1:$C$14,3,FALSE)*pledged</f>
        <v>0</v>
      </c>
    </row>
    <row r="2774" spans="1:21" ht="43.2" x14ac:dyDescent="0.55000000000000004">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258"/>
        <v>0</v>
      </c>
      <c r="P2774" s="16">
        <f t="shared" si="259"/>
        <v>0</v>
      </c>
      <c r="Q2774" t="str">
        <f t="shared" si="262"/>
        <v>publishing</v>
      </c>
      <c r="R2774" t="str">
        <f t="shared" si="263"/>
        <v>children's books</v>
      </c>
      <c r="S2774" s="4">
        <f t="shared" si="260"/>
        <v>41537.869143518517</v>
      </c>
      <c r="T2774" s="4">
        <f t="shared" si="261"/>
        <v>41552.869143518517</v>
      </c>
      <c r="U2774" s="5">
        <f>VLOOKUP(currency,Tables!$A$1:$C$14,3,FALSE)*pledged</f>
        <v>0</v>
      </c>
    </row>
    <row r="2775" spans="1:21" ht="43.2" x14ac:dyDescent="0.55000000000000004">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16">
        <f t="shared" si="259"/>
        <v>1</v>
      </c>
      <c r="Q2775" t="str">
        <f t="shared" si="262"/>
        <v>publishing</v>
      </c>
      <c r="R2775" t="str">
        <f t="shared" si="263"/>
        <v>children's books</v>
      </c>
      <c r="S2775" s="4">
        <f t="shared" si="260"/>
        <v>42474.86482638889</v>
      </c>
      <c r="T2775" s="4">
        <f t="shared" si="261"/>
        <v>42484.86482638889</v>
      </c>
      <c r="U2775" s="5">
        <f>VLOOKUP(currency,Tables!$A$1:$C$14,3,FALSE)*pledged</f>
        <v>0.76</v>
      </c>
    </row>
    <row r="2776" spans="1:21" ht="43.2" x14ac:dyDescent="0.55000000000000004">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16">
        <f t="shared" si="259"/>
        <v>43.846153846153847</v>
      </c>
      <c r="Q2776" t="str">
        <f t="shared" si="262"/>
        <v>publishing</v>
      </c>
      <c r="R2776" t="str">
        <f t="shared" si="263"/>
        <v>children's books</v>
      </c>
      <c r="S2776" s="4">
        <f t="shared" si="260"/>
        <v>41311.126481481479</v>
      </c>
      <c r="T2776" s="4">
        <f t="shared" si="261"/>
        <v>41341.126481481479</v>
      </c>
      <c r="U2776" s="5">
        <f>VLOOKUP(currency,Tables!$A$1:$C$14,3,FALSE)*pledged</f>
        <v>570</v>
      </c>
    </row>
    <row r="2777" spans="1:21" ht="43.2" x14ac:dyDescent="0.55000000000000004">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258"/>
        <v>0.03</v>
      </c>
      <c r="P2777" s="16">
        <f t="shared" si="259"/>
        <v>75</v>
      </c>
      <c r="Q2777" t="str">
        <f t="shared" si="262"/>
        <v>publishing</v>
      </c>
      <c r="R2777" t="str">
        <f t="shared" si="263"/>
        <v>children's books</v>
      </c>
      <c r="S2777" s="4">
        <f t="shared" si="260"/>
        <v>40863.013356481482</v>
      </c>
      <c r="T2777" s="4">
        <f t="shared" si="261"/>
        <v>40893.013356481482</v>
      </c>
      <c r="U2777" s="5">
        <f>VLOOKUP(currency,Tables!$A$1:$C$14,3,FALSE)*pledged</f>
        <v>150</v>
      </c>
    </row>
    <row r="2778" spans="1:21" ht="57.6" x14ac:dyDescent="0.55000000000000004">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16">
        <f t="shared" si="259"/>
        <v>45.972222222222221</v>
      </c>
      <c r="Q2778" t="str">
        <f t="shared" si="262"/>
        <v>publishing</v>
      </c>
      <c r="R2778" t="str">
        <f t="shared" si="263"/>
        <v>children's books</v>
      </c>
      <c r="S2778" s="4">
        <f t="shared" si="260"/>
        <v>42136.297175925924</v>
      </c>
      <c r="T2778" s="4">
        <f t="shared" si="261"/>
        <v>42167.297175925924</v>
      </c>
      <c r="U2778" s="5">
        <f>VLOOKUP(currency,Tables!$A$1:$C$14,3,FALSE)*pledged</f>
        <v>1655</v>
      </c>
    </row>
    <row r="2779" spans="1:21" ht="43.2" x14ac:dyDescent="0.55000000000000004">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16">
        <f t="shared" si="259"/>
        <v>10</v>
      </c>
      <c r="Q2779" t="str">
        <f t="shared" si="262"/>
        <v>publishing</v>
      </c>
      <c r="R2779" t="str">
        <f t="shared" si="263"/>
        <v>children's books</v>
      </c>
      <c r="S2779" s="4">
        <f t="shared" si="260"/>
        <v>42172.669027777782</v>
      </c>
      <c r="T2779" s="4">
        <f t="shared" si="261"/>
        <v>42202.669027777782</v>
      </c>
      <c r="U2779" s="5">
        <f>VLOOKUP(currency,Tables!$A$1:$C$14,3,FALSE)*pledged</f>
        <v>10</v>
      </c>
    </row>
    <row r="2780" spans="1:21" ht="57.6" x14ac:dyDescent="0.55000000000000004">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16">
        <f t="shared" si="259"/>
        <v>93.666666666666671</v>
      </c>
      <c r="Q2780" t="str">
        <f t="shared" si="262"/>
        <v>publishing</v>
      </c>
      <c r="R2780" t="str">
        <f t="shared" si="263"/>
        <v>children's books</v>
      </c>
      <c r="S2780" s="4">
        <f t="shared" si="260"/>
        <v>41846.978078703702</v>
      </c>
      <c r="T2780" s="4">
        <f t="shared" si="261"/>
        <v>41876.978078703702</v>
      </c>
      <c r="U2780" s="5">
        <f>VLOOKUP(currency,Tables!$A$1:$C$14,3,FALSE)*pledged</f>
        <v>1405</v>
      </c>
    </row>
    <row r="2781" spans="1:21" ht="43.2" x14ac:dyDescent="0.55000000000000004">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258"/>
        <v>2.12E-2</v>
      </c>
      <c r="P2781" s="16">
        <f t="shared" si="259"/>
        <v>53</v>
      </c>
      <c r="Q2781" t="str">
        <f t="shared" si="262"/>
        <v>publishing</v>
      </c>
      <c r="R2781" t="str">
        <f t="shared" si="263"/>
        <v>children's books</v>
      </c>
      <c r="S2781" s="4">
        <f t="shared" si="260"/>
        <v>42300.585891203707</v>
      </c>
      <c r="T2781" s="4">
        <f t="shared" si="261"/>
        <v>42330.627557870372</v>
      </c>
      <c r="U2781" s="5">
        <f>VLOOKUP(currency,Tables!$A$1:$C$14,3,FALSE)*pledged</f>
        <v>53</v>
      </c>
    </row>
    <row r="2782" spans="1:21" ht="28.8" x14ac:dyDescent="0.55000000000000004">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258"/>
        <v>0</v>
      </c>
      <c r="P2782" s="16">
        <f t="shared" si="259"/>
        <v>0</v>
      </c>
      <c r="Q2782" t="str">
        <f t="shared" si="262"/>
        <v>publishing</v>
      </c>
      <c r="R2782" t="str">
        <f t="shared" si="263"/>
        <v>children's books</v>
      </c>
      <c r="S2782" s="4">
        <f t="shared" si="260"/>
        <v>42774.447777777779</v>
      </c>
      <c r="T2782" s="4">
        <f t="shared" si="261"/>
        <v>42804.447777777779</v>
      </c>
      <c r="U2782" s="5">
        <f>VLOOKUP(currency,Tables!$A$1:$C$14,3,FALSE)*pledged</f>
        <v>0</v>
      </c>
    </row>
    <row r="2783" spans="1:21" ht="28.8" x14ac:dyDescent="0.55000000000000004">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16">
        <f t="shared" si="259"/>
        <v>47</v>
      </c>
      <c r="Q2783" t="str">
        <f t="shared" si="262"/>
        <v>theater</v>
      </c>
      <c r="R2783" t="str">
        <f t="shared" si="263"/>
        <v>plays</v>
      </c>
      <c r="S2783" s="4">
        <f t="shared" si="260"/>
        <v>42018.94159722222</v>
      </c>
      <c r="T2783" s="4">
        <f t="shared" si="261"/>
        <v>42047.291666666672</v>
      </c>
      <c r="U2783" s="5">
        <f>VLOOKUP(currency,Tables!$A$1:$C$14,3,FALSE)*pledged</f>
        <v>1316</v>
      </c>
    </row>
    <row r="2784" spans="1:21" ht="28.8" x14ac:dyDescent="0.55000000000000004">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258"/>
        <v>1.2</v>
      </c>
      <c r="P2784" s="16">
        <f t="shared" si="259"/>
        <v>66.666666666666671</v>
      </c>
      <c r="Q2784" t="str">
        <f t="shared" si="262"/>
        <v>theater</v>
      </c>
      <c r="R2784" t="str">
        <f t="shared" si="263"/>
        <v>plays</v>
      </c>
      <c r="S2784" s="4">
        <f t="shared" si="260"/>
        <v>42026.924976851849</v>
      </c>
      <c r="T2784" s="4">
        <f t="shared" si="261"/>
        <v>42052.207638888889</v>
      </c>
      <c r="U2784" s="5">
        <f>VLOOKUP(currency,Tables!$A$1:$C$14,3,FALSE)*pledged</f>
        <v>1200</v>
      </c>
    </row>
    <row r="2785" spans="1:21" ht="43.2" x14ac:dyDescent="0.55000000000000004">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16">
        <f t="shared" si="259"/>
        <v>18.770491803278688</v>
      </c>
      <c r="Q2785" t="str">
        <f t="shared" si="262"/>
        <v>theater</v>
      </c>
      <c r="R2785" t="str">
        <f t="shared" si="263"/>
        <v>plays</v>
      </c>
      <c r="S2785" s="4">
        <f t="shared" si="260"/>
        <v>42103.535254629634</v>
      </c>
      <c r="T2785" s="4">
        <f t="shared" si="261"/>
        <v>42117.535254629634</v>
      </c>
      <c r="U2785" s="5">
        <f>VLOOKUP(currency,Tables!$A$1:$C$14,3,FALSE)*pledged</f>
        <v>1511.4</v>
      </c>
    </row>
    <row r="2786" spans="1:21" ht="43.2" x14ac:dyDescent="0.55000000000000004">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16">
        <f t="shared" si="259"/>
        <v>66.111111111111114</v>
      </c>
      <c r="Q2786" t="str">
        <f t="shared" si="262"/>
        <v>theater</v>
      </c>
      <c r="R2786" t="str">
        <f t="shared" si="263"/>
        <v>plays</v>
      </c>
      <c r="S2786" s="4">
        <f t="shared" si="260"/>
        <v>41920.787534722222</v>
      </c>
      <c r="T2786" s="4">
        <f t="shared" si="261"/>
        <v>41941.787534722222</v>
      </c>
      <c r="U2786" s="5">
        <f>VLOOKUP(currency,Tables!$A$1:$C$14,3,FALSE)*pledged</f>
        <v>7140</v>
      </c>
    </row>
    <row r="2787" spans="1:21" ht="43.2" x14ac:dyDescent="0.55000000000000004">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16">
        <f t="shared" si="259"/>
        <v>36.859154929577464</v>
      </c>
      <c r="Q2787" t="str">
        <f t="shared" si="262"/>
        <v>theater</v>
      </c>
      <c r="R2787" t="str">
        <f t="shared" si="263"/>
        <v>plays</v>
      </c>
      <c r="S2787" s="4">
        <f t="shared" si="260"/>
        <v>42558.189432870371</v>
      </c>
      <c r="T2787" s="4">
        <f t="shared" si="261"/>
        <v>42587.875</v>
      </c>
      <c r="U2787" s="5">
        <f>VLOOKUP(currency,Tables!$A$1:$C$14,3,FALSE)*pledged</f>
        <v>5234</v>
      </c>
    </row>
    <row r="2788" spans="1:21" ht="28.8" x14ac:dyDescent="0.55000000000000004">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16">
        <f t="shared" si="259"/>
        <v>39.810810810810814</v>
      </c>
      <c r="Q2788" t="str">
        <f t="shared" si="262"/>
        <v>theater</v>
      </c>
      <c r="R2788" t="str">
        <f t="shared" si="263"/>
        <v>plays</v>
      </c>
      <c r="S2788" s="4">
        <f t="shared" si="260"/>
        <v>41815.569212962961</v>
      </c>
      <c r="T2788" s="4">
        <f t="shared" si="261"/>
        <v>41829.569212962961</v>
      </c>
      <c r="U2788" s="5">
        <f>VLOOKUP(currency,Tables!$A$1:$C$14,3,FALSE)*pledged</f>
        <v>3888.7200000000003</v>
      </c>
    </row>
    <row r="2789" spans="1:21" ht="43.2" x14ac:dyDescent="0.55000000000000004">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16">
        <f t="shared" si="259"/>
        <v>31.5</v>
      </c>
      <c r="Q2789" t="str">
        <f t="shared" si="262"/>
        <v>theater</v>
      </c>
      <c r="R2789" t="str">
        <f t="shared" si="263"/>
        <v>plays</v>
      </c>
      <c r="S2789" s="4">
        <f t="shared" si="260"/>
        <v>41808.198518518519</v>
      </c>
      <c r="T2789" s="4">
        <f t="shared" si="261"/>
        <v>41838.198518518519</v>
      </c>
      <c r="U2789" s="5">
        <f>VLOOKUP(currency,Tables!$A$1:$C$14,3,FALSE)*pledged</f>
        <v>1197</v>
      </c>
    </row>
    <row r="2790" spans="1:21" ht="43.2" x14ac:dyDescent="0.55000000000000004">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16">
        <f t="shared" si="259"/>
        <v>102.5</v>
      </c>
      <c r="Q2790" t="str">
        <f t="shared" si="262"/>
        <v>theater</v>
      </c>
      <c r="R2790" t="str">
        <f t="shared" si="263"/>
        <v>plays</v>
      </c>
      <c r="S2790" s="4">
        <f t="shared" si="260"/>
        <v>42550.701886574068</v>
      </c>
      <c r="T2790" s="4">
        <f t="shared" si="261"/>
        <v>42580.701886574068</v>
      </c>
      <c r="U2790" s="5">
        <f>VLOOKUP(currency,Tables!$A$1:$C$14,3,FALSE)*pledged</f>
        <v>2050</v>
      </c>
    </row>
    <row r="2791" spans="1:21" ht="28.8" x14ac:dyDescent="0.55000000000000004">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16">
        <f t="shared" si="259"/>
        <v>126.45833333333333</v>
      </c>
      <c r="Q2791" t="str">
        <f t="shared" si="262"/>
        <v>theater</v>
      </c>
      <c r="R2791" t="str">
        <f t="shared" si="263"/>
        <v>plays</v>
      </c>
      <c r="S2791" s="4">
        <f t="shared" si="260"/>
        <v>42056.013124999998</v>
      </c>
      <c r="T2791" s="4">
        <f t="shared" si="261"/>
        <v>42075.166666666672</v>
      </c>
      <c r="U2791" s="5">
        <f>VLOOKUP(currency,Tables!$A$1:$C$14,3,FALSE)*pledged</f>
        <v>3035</v>
      </c>
    </row>
    <row r="2792" spans="1:21" ht="43.2" x14ac:dyDescent="0.55000000000000004">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16">
        <f t="shared" si="259"/>
        <v>47.878787878787875</v>
      </c>
      <c r="Q2792" t="str">
        <f t="shared" si="262"/>
        <v>theater</v>
      </c>
      <c r="R2792" t="str">
        <f t="shared" si="263"/>
        <v>plays</v>
      </c>
      <c r="S2792" s="4">
        <f t="shared" si="260"/>
        <v>42016.938692129625</v>
      </c>
      <c r="T2792" s="4">
        <f t="shared" si="261"/>
        <v>42046.938692129625</v>
      </c>
      <c r="U2792" s="5">
        <f>VLOOKUP(currency,Tables!$A$1:$C$14,3,FALSE)*pledged</f>
        <v>3160</v>
      </c>
    </row>
    <row r="2793" spans="1:21" ht="43.2" x14ac:dyDescent="0.55000000000000004">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16">
        <f t="shared" si="259"/>
        <v>73.214285714285708</v>
      </c>
      <c r="Q2793" t="str">
        <f t="shared" si="262"/>
        <v>theater</v>
      </c>
      <c r="R2793" t="str">
        <f t="shared" si="263"/>
        <v>plays</v>
      </c>
      <c r="S2793" s="4">
        <f t="shared" si="260"/>
        <v>42591.899988425925</v>
      </c>
      <c r="T2793" s="4">
        <f t="shared" si="261"/>
        <v>42622.166666666672</v>
      </c>
      <c r="U2793" s="5">
        <f>VLOOKUP(currency,Tables!$A$1:$C$14,3,FALSE)*pledged</f>
        <v>2050</v>
      </c>
    </row>
    <row r="2794" spans="1:21" ht="43.2" x14ac:dyDescent="0.55000000000000004">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16">
        <f t="shared" si="259"/>
        <v>89.666666666666671</v>
      </c>
      <c r="Q2794" t="str">
        <f t="shared" si="262"/>
        <v>theater</v>
      </c>
      <c r="R2794" t="str">
        <f t="shared" si="263"/>
        <v>plays</v>
      </c>
      <c r="S2794" s="4">
        <f t="shared" si="260"/>
        <v>42183.231006944443</v>
      </c>
      <c r="T2794" s="4">
        <f t="shared" si="261"/>
        <v>42228.231006944443</v>
      </c>
      <c r="U2794" s="5">
        <f>VLOOKUP(currency,Tables!$A$1:$C$14,3,FALSE)*pledged</f>
        <v>2152</v>
      </c>
    </row>
    <row r="2795" spans="1:21" ht="57.6" x14ac:dyDescent="0.55000000000000004">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16">
        <f t="shared" si="259"/>
        <v>151.4623287671233</v>
      </c>
      <c r="Q2795" t="str">
        <f t="shared" si="262"/>
        <v>theater</v>
      </c>
      <c r="R2795" t="str">
        <f t="shared" si="263"/>
        <v>plays</v>
      </c>
      <c r="S2795" s="4">
        <f t="shared" si="260"/>
        <v>42176.419039351851</v>
      </c>
      <c r="T2795" s="4">
        <f t="shared" si="261"/>
        <v>42206.419039351851</v>
      </c>
      <c r="U2795" s="5">
        <f>VLOOKUP(currency,Tables!$A$1:$C$14,3,FALSE)*pledged</f>
        <v>8071.4274999999998</v>
      </c>
    </row>
    <row r="2796" spans="1:21" ht="57.6" x14ac:dyDescent="0.55000000000000004">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258"/>
        <v>1.5</v>
      </c>
      <c r="P2796" s="16">
        <f t="shared" si="259"/>
        <v>25</v>
      </c>
      <c r="Q2796" t="str">
        <f t="shared" si="262"/>
        <v>theater</v>
      </c>
      <c r="R2796" t="str">
        <f t="shared" si="263"/>
        <v>plays</v>
      </c>
      <c r="S2796" s="4">
        <f t="shared" si="260"/>
        <v>42416.691655092596</v>
      </c>
      <c r="T2796" s="4">
        <f t="shared" si="261"/>
        <v>42432.791666666672</v>
      </c>
      <c r="U2796" s="5">
        <f>VLOOKUP(currency,Tables!$A$1:$C$14,3,FALSE)*pledged</f>
        <v>99</v>
      </c>
    </row>
    <row r="2797" spans="1:21" ht="43.2" x14ac:dyDescent="0.55000000000000004">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16">
        <f t="shared" si="259"/>
        <v>36.5</v>
      </c>
      <c r="Q2797" t="str">
        <f t="shared" si="262"/>
        <v>theater</v>
      </c>
      <c r="R2797" t="str">
        <f t="shared" si="263"/>
        <v>plays</v>
      </c>
      <c r="S2797" s="4">
        <f t="shared" si="260"/>
        <v>41780.525937500002</v>
      </c>
      <c r="T2797" s="4">
        <f t="shared" si="261"/>
        <v>41796.958333333336</v>
      </c>
      <c r="U2797" s="5">
        <f>VLOOKUP(currency,Tables!$A$1:$C$14,3,FALSE)*pledged</f>
        <v>730</v>
      </c>
    </row>
    <row r="2798" spans="1:21" ht="43.2" x14ac:dyDescent="0.55000000000000004">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258"/>
        <v>1.155</v>
      </c>
      <c r="P2798" s="16">
        <f t="shared" si="259"/>
        <v>44</v>
      </c>
      <c r="Q2798" t="str">
        <f t="shared" si="262"/>
        <v>theater</v>
      </c>
      <c r="R2798" t="str">
        <f t="shared" si="263"/>
        <v>plays</v>
      </c>
      <c r="S2798" s="4">
        <f t="shared" si="260"/>
        <v>41795.528101851851</v>
      </c>
      <c r="T2798" s="4">
        <f t="shared" si="261"/>
        <v>41825.528101851851</v>
      </c>
      <c r="U2798" s="5">
        <f>VLOOKUP(currency,Tables!$A$1:$C$14,3,FALSE)*pledged</f>
        <v>1219.68</v>
      </c>
    </row>
    <row r="2799" spans="1:21" ht="43.2" x14ac:dyDescent="0.55000000000000004">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16">
        <f t="shared" si="259"/>
        <v>87.357553191489373</v>
      </c>
      <c r="Q2799" t="str">
        <f t="shared" si="262"/>
        <v>theater</v>
      </c>
      <c r="R2799" t="str">
        <f t="shared" si="263"/>
        <v>plays</v>
      </c>
      <c r="S2799" s="4">
        <f t="shared" si="260"/>
        <v>41798.94027777778</v>
      </c>
      <c r="T2799" s="4">
        <f t="shared" si="261"/>
        <v>41828.94027777778</v>
      </c>
      <c r="U2799" s="5">
        <f>VLOOKUP(currency,Tables!$A$1:$C$14,3,FALSE)*pledged</f>
        <v>10839.325200000001</v>
      </c>
    </row>
    <row r="2800" spans="1:21" ht="43.2" x14ac:dyDescent="0.55000000000000004">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16">
        <f t="shared" si="259"/>
        <v>36.474820143884891</v>
      </c>
      <c r="Q2800" t="str">
        <f t="shared" si="262"/>
        <v>theater</v>
      </c>
      <c r="R2800" t="str">
        <f t="shared" si="263"/>
        <v>plays</v>
      </c>
      <c r="S2800" s="4">
        <f t="shared" si="260"/>
        <v>42201.675011574072</v>
      </c>
      <c r="T2800" s="4">
        <f t="shared" si="261"/>
        <v>42216.666666666672</v>
      </c>
      <c r="U2800" s="5">
        <f>VLOOKUP(currency,Tables!$A$1:$C$14,3,FALSE)*pledged</f>
        <v>6692.4000000000005</v>
      </c>
    </row>
    <row r="2801" spans="1:21" ht="43.2" x14ac:dyDescent="0.55000000000000004">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16">
        <f t="shared" si="259"/>
        <v>44.859538461538463</v>
      </c>
      <c r="Q2801" t="str">
        <f t="shared" si="262"/>
        <v>theater</v>
      </c>
      <c r="R2801" t="str">
        <f t="shared" si="263"/>
        <v>plays</v>
      </c>
      <c r="S2801" s="4">
        <f t="shared" si="260"/>
        <v>42507.264699074076</v>
      </c>
      <c r="T2801" s="4">
        <f t="shared" si="261"/>
        <v>42538.666666666672</v>
      </c>
      <c r="U2801" s="5">
        <f>VLOOKUP(currency,Tables!$A$1:$C$14,3,FALSE)*pledged</f>
        <v>7697.8968000000004</v>
      </c>
    </row>
    <row r="2802" spans="1:21" ht="43.2" x14ac:dyDescent="0.55000000000000004">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258"/>
        <v>1.33</v>
      </c>
      <c r="P2802" s="16">
        <f t="shared" si="259"/>
        <v>42.903225806451616</v>
      </c>
      <c r="Q2802" t="str">
        <f t="shared" si="262"/>
        <v>theater</v>
      </c>
      <c r="R2802" t="str">
        <f t="shared" si="263"/>
        <v>plays</v>
      </c>
      <c r="S2802" s="4">
        <f t="shared" si="260"/>
        <v>41948.552847222221</v>
      </c>
      <c r="T2802" s="4">
        <f t="shared" si="261"/>
        <v>42008.552847222221</v>
      </c>
      <c r="U2802" s="5">
        <f>VLOOKUP(currency,Tables!$A$1:$C$14,3,FALSE)*pledged</f>
        <v>1755.6000000000001</v>
      </c>
    </row>
    <row r="2803" spans="1:21" ht="43.2" x14ac:dyDescent="0.55000000000000004">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16">
        <f t="shared" si="259"/>
        <v>51.230769230769234</v>
      </c>
      <c r="Q2803" t="str">
        <f t="shared" si="262"/>
        <v>theater</v>
      </c>
      <c r="R2803" t="str">
        <f t="shared" si="263"/>
        <v>plays</v>
      </c>
      <c r="S2803" s="4">
        <f t="shared" si="260"/>
        <v>41900.243159722224</v>
      </c>
      <c r="T2803" s="4">
        <f t="shared" si="261"/>
        <v>41922.458333333336</v>
      </c>
      <c r="U2803" s="5">
        <f>VLOOKUP(currency,Tables!$A$1:$C$14,3,FALSE)*pledged</f>
        <v>486.18</v>
      </c>
    </row>
    <row r="2804" spans="1:21" ht="43.2" x14ac:dyDescent="0.55000000000000004">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16">
        <f t="shared" si="259"/>
        <v>33.944444444444443</v>
      </c>
      <c r="Q2804" t="str">
        <f t="shared" si="262"/>
        <v>theater</v>
      </c>
      <c r="R2804" t="str">
        <f t="shared" si="263"/>
        <v>plays</v>
      </c>
      <c r="S2804" s="4">
        <f t="shared" si="260"/>
        <v>42192.64707175926</v>
      </c>
      <c r="T2804" s="4">
        <f t="shared" si="261"/>
        <v>42222.64707175926</v>
      </c>
      <c r="U2804" s="5">
        <f>VLOOKUP(currency,Tables!$A$1:$C$14,3,FALSE)*pledged</f>
        <v>4032.6000000000004</v>
      </c>
    </row>
    <row r="2805" spans="1:21" ht="43.2" x14ac:dyDescent="0.55000000000000004">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16">
        <f t="shared" si="259"/>
        <v>90.744680851063833</v>
      </c>
      <c r="Q2805" t="str">
        <f t="shared" si="262"/>
        <v>theater</v>
      </c>
      <c r="R2805" t="str">
        <f t="shared" si="263"/>
        <v>plays</v>
      </c>
      <c r="S2805" s="4">
        <f t="shared" si="260"/>
        <v>42158.065694444449</v>
      </c>
      <c r="T2805" s="4">
        <f t="shared" si="261"/>
        <v>42201</v>
      </c>
      <c r="U2805" s="5">
        <f>VLOOKUP(currency,Tables!$A$1:$C$14,3,FALSE)*pledged</f>
        <v>12795</v>
      </c>
    </row>
    <row r="2806" spans="1:21" ht="43.2" x14ac:dyDescent="0.55000000000000004">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16">
        <f t="shared" si="259"/>
        <v>50</v>
      </c>
      <c r="Q2806" t="str">
        <f t="shared" si="262"/>
        <v>theater</v>
      </c>
      <c r="R2806" t="str">
        <f t="shared" si="263"/>
        <v>plays</v>
      </c>
      <c r="S2806" s="4">
        <f t="shared" si="260"/>
        <v>41881.453587962962</v>
      </c>
      <c r="T2806" s="4">
        <f t="shared" si="261"/>
        <v>41911.453587962962</v>
      </c>
      <c r="U2806" s="5">
        <f>VLOOKUP(currency,Tables!$A$1:$C$14,3,FALSE)*pledged</f>
        <v>1518</v>
      </c>
    </row>
    <row r="2807" spans="1:21" ht="57.6" x14ac:dyDescent="0.55000000000000004">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16">
        <f t="shared" si="259"/>
        <v>24.444444444444443</v>
      </c>
      <c r="Q2807" t="str">
        <f t="shared" si="262"/>
        <v>theater</v>
      </c>
      <c r="R2807" t="str">
        <f t="shared" si="263"/>
        <v>plays</v>
      </c>
      <c r="S2807" s="4">
        <f t="shared" si="260"/>
        <v>42213.505474537036</v>
      </c>
      <c r="T2807" s="4">
        <f t="shared" si="261"/>
        <v>42238.505474537036</v>
      </c>
      <c r="U2807" s="5">
        <f>VLOOKUP(currency,Tables!$A$1:$C$14,3,FALSE)*pledged</f>
        <v>580.80000000000007</v>
      </c>
    </row>
    <row r="2808" spans="1:21" ht="43.2" x14ac:dyDescent="0.55000000000000004">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16">
        <f t="shared" si="259"/>
        <v>44.25</v>
      </c>
      <c r="Q2808" t="str">
        <f t="shared" si="262"/>
        <v>theater</v>
      </c>
      <c r="R2808" t="str">
        <f t="shared" si="263"/>
        <v>plays</v>
      </c>
      <c r="S2808" s="4">
        <f t="shared" si="260"/>
        <v>42185.267245370371</v>
      </c>
      <c r="T2808" s="4">
        <f t="shared" si="261"/>
        <v>42221.458333333328</v>
      </c>
      <c r="U2808" s="5">
        <f>VLOOKUP(currency,Tables!$A$1:$C$14,3,FALSE)*pledged</f>
        <v>4439.16</v>
      </c>
    </row>
    <row r="2809" spans="1:21" x14ac:dyDescent="0.55000000000000004">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258"/>
        <v>1.26</v>
      </c>
      <c r="P2809" s="16">
        <f t="shared" si="259"/>
        <v>67.741935483870961</v>
      </c>
      <c r="Q2809" t="str">
        <f t="shared" si="262"/>
        <v>theater</v>
      </c>
      <c r="R2809" t="str">
        <f t="shared" si="263"/>
        <v>plays</v>
      </c>
      <c r="S2809" s="4">
        <f t="shared" si="260"/>
        <v>42154.873124999998</v>
      </c>
      <c r="T2809" s="4">
        <f t="shared" si="261"/>
        <v>42184.873124999998</v>
      </c>
      <c r="U2809" s="5">
        <f>VLOOKUP(currency,Tables!$A$1:$C$14,3,FALSE)*pledged</f>
        <v>6300</v>
      </c>
    </row>
    <row r="2810" spans="1:21" ht="43.2" x14ac:dyDescent="0.55000000000000004">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16">
        <f t="shared" si="259"/>
        <v>65.376811594202906</v>
      </c>
      <c r="Q2810" t="str">
        <f t="shared" si="262"/>
        <v>theater</v>
      </c>
      <c r="R2810" t="str">
        <f t="shared" si="263"/>
        <v>plays</v>
      </c>
      <c r="S2810" s="4">
        <f t="shared" si="260"/>
        <v>42208.84646990741</v>
      </c>
      <c r="T2810" s="4">
        <f t="shared" si="261"/>
        <v>42238.84646990741</v>
      </c>
      <c r="U2810" s="5">
        <f>VLOOKUP(currency,Tables!$A$1:$C$14,3,FALSE)*pledged</f>
        <v>4511</v>
      </c>
    </row>
    <row r="2811" spans="1:21" ht="43.2" x14ac:dyDescent="0.55000000000000004">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16">
        <f t="shared" si="259"/>
        <v>121.9047619047619</v>
      </c>
      <c r="Q2811" t="str">
        <f t="shared" si="262"/>
        <v>theater</v>
      </c>
      <c r="R2811" t="str">
        <f t="shared" si="263"/>
        <v>plays</v>
      </c>
      <c r="S2811" s="4">
        <f t="shared" si="260"/>
        <v>42451.496817129635</v>
      </c>
      <c r="T2811" s="4">
        <f t="shared" si="261"/>
        <v>42459.610416666663</v>
      </c>
      <c r="U2811" s="5">
        <f>VLOOKUP(currency,Tables!$A$1:$C$14,3,FALSE)*pledged</f>
        <v>2560</v>
      </c>
    </row>
    <row r="2812" spans="1:21" ht="43.2" x14ac:dyDescent="0.55000000000000004">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16">
        <f t="shared" si="259"/>
        <v>47.456140350877192</v>
      </c>
      <c r="Q2812" t="str">
        <f t="shared" si="262"/>
        <v>theater</v>
      </c>
      <c r="R2812" t="str">
        <f t="shared" si="263"/>
        <v>plays</v>
      </c>
      <c r="S2812" s="4">
        <f t="shared" si="260"/>
        <v>41759.13962962963</v>
      </c>
      <c r="T2812" s="4">
        <f t="shared" si="261"/>
        <v>41791.165972222225</v>
      </c>
      <c r="U2812" s="5">
        <f>VLOOKUP(currency,Tables!$A$1:$C$14,3,FALSE)*pledged</f>
        <v>2705</v>
      </c>
    </row>
    <row r="2813" spans="1:21" ht="43.2" x14ac:dyDescent="0.55000000000000004">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16">
        <f t="shared" si="259"/>
        <v>92.842592592592595</v>
      </c>
      <c r="Q2813" t="str">
        <f t="shared" si="262"/>
        <v>theater</v>
      </c>
      <c r="R2813" t="str">
        <f t="shared" si="263"/>
        <v>plays</v>
      </c>
      <c r="S2813" s="4">
        <f t="shared" si="260"/>
        <v>42028.496562500004</v>
      </c>
      <c r="T2813" s="4">
        <f t="shared" si="261"/>
        <v>42058.496562500004</v>
      </c>
      <c r="U2813" s="5">
        <f>VLOOKUP(currency,Tables!$A$1:$C$14,3,FALSE)*pledged</f>
        <v>13235.640000000001</v>
      </c>
    </row>
    <row r="2814" spans="1:21" ht="43.2" x14ac:dyDescent="0.55000000000000004">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16">
        <f t="shared" si="259"/>
        <v>68.253012048192772</v>
      </c>
      <c r="Q2814" t="str">
        <f t="shared" si="262"/>
        <v>theater</v>
      </c>
      <c r="R2814" t="str">
        <f t="shared" si="263"/>
        <v>plays</v>
      </c>
      <c r="S2814" s="4">
        <f t="shared" si="260"/>
        <v>42054.74418981481</v>
      </c>
      <c r="T2814" s="4">
        <f t="shared" si="261"/>
        <v>42100.166666666672</v>
      </c>
      <c r="U2814" s="5">
        <f>VLOOKUP(currency,Tables!$A$1:$C$14,3,FALSE)*pledged</f>
        <v>4305.3999999999996</v>
      </c>
    </row>
    <row r="2815" spans="1:21" ht="43.2" x14ac:dyDescent="0.55000000000000004">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16">
        <f t="shared" si="259"/>
        <v>37.209583333333335</v>
      </c>
      <c r="Q2815" t="str">
        <f t="shared" si="262"/>
        <v>theater</v>
      </c>
      <c r="R2815" t="str">
        <f t="shared" si="263"/>
        <v>plays</v>
      </c>
      <c r="S2815" s="4">
        <f t="shared" si="260"/>
        <v>42693.742604166662</v>
      </c>
      <c r="T2815" s="4">
        <f t="shared" si="261"/>
        <v>42718.742604166662</v>
      </c>
      <c r="U2815" s="5">
        <f>VLOOKUP(currency,Tables!$A$1:$C$14,3,FALSE)*pledged</f>
        <v>3572.12</v>
      </c>
    </row>
    <row r="2816" spans="1:21" ht="43.2" x14ac:dyDescent="0.55000000000000004">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16">
        <f t="shared" si="259"/>
        <v>25.25</v>
      </c>
      <c r="Q2816" t="str">
        <f t="shared" si="262"/>
        <v>theater</v>
      </c>
      <c r="R2816" t="str">
        <f t="shared" si="263"/>
        <v>plays</v>
      </c>
      <c r="S2816" s="4">
        <f t="shared" si="260"/>
        <v>42103.399479166663</v>
      </c>
      <c r="T2816" s="4">
        <f t="shared" si="261"/>
        <v>42133.399479166663</v>
      </c>
      <c r="U2816" s="5">
        <f>VLOOKUP(currency,Tables!$A$1:$C$14,3,FALSE)*pledged</f>
        <v>2133.12</v>
      </c>
    </row>
    <row r="2817" spans="1:21" ht="43.2" x14ac:dyDescent="0.55000000000000004">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258"/>
        <v>2.42</v>
      </c>
      <c r="P2817" s="16">
        <f t="shared" si="259"/>
        <v>43.214285714285715</v>
      </c>
      <c r="Q2817" t="str">
        <f t="shared" si="262"/>
        <v>theater</v>
      </c>
      <c r="R2817" t="str">
        <f t="shared" si="263"/>
        <v>plays</v>
      </c>
      <c r="S2817" s="4">
        <f t="shared" si="260"/>
        <v>42559.776724537034</v>
      </c>
      <c r="T2817" s="4">
        <f t="shared" si="261"/>
        <v>42589.776724537034</v>
      </c>
      <c r="U2817" s="5">
        <f>VLOOKUP(currency,Tables!$A$1:$C$14,3,FALSE)*pledged</f>
        <v>459.8</v>
      </c>
    </row>
    <row r="2818" spans="1:21" ht="43.2" x14ac:dyDescent="0.55000000000000004">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ref="O2818:O2881" si="264">pledged/goal</f>
        <v>1.4156666666666666</v>
      </c>
      <c r="P2818" s="16">
        <f t="shared" ref="P2818:P2881" si="265">IF(pledged=0,0,pledged/backers_count)</f>
        <v>25.130177514792898</v>
      </c>
      <c r="Q2818" t="str">
        <f t="shared" si="262"/>
        <v>theater</v>
      </c>
      <c r="R2818" t="str">
        <f t="shared" si="263"/>
        <v>plays</v>
      </c>
      <c r="S2818" s="4">
        <f t="shared" ref="S2818:S2881" si="266">(((Unix_launched_date/60)/60)/24)+DATE(1970,1,1)</f>
        <v>42188.467499999999</v>
      </c>
      <c r="T2818" s="4">
        <f t="shared" ref="T2818:T2881" si="267">(((Unix_deadline/60)/60)/24)+DATE(1970,1,1)</f>
        <v>42218.666666666672</v>
      </c>
      <c r="U2818" s="5">
        <f>VLOOKUP(currency,Tables!$A$1:$C$14,3,FALSE)*pledged</f>
        <v>5606.04</v>
      </c>
    </row>
    <row r="2819" spans="1:21" ht="43.2" x14ac:dyDescent="0.55000000000000004">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si="264"/>
        <v>1.3</v>
      </c>
      <c r="P2819" s="16">
        <f t="shared" si="265"/>
        <v>23.636363636363637</v>
      </c>
      <c r="Q2819" t="str">
        <f t="shared" ref="Q2819:Q2882" si="268">LEFT(N2819,FIND("/",N2819,1)-1)</f>
        <v>theater</v>
      </c>
      <c r="R2819" t="str">
        <f t="shared" ref="R2819:R2882" si="269">RIGHT(N2819,(LEN(N2819)-FIND("/",N2819,1)))</f>
        <v>plays</v>
      </c>
      <c r="S2819" s="4">
        <f t="shared" si="266"/>
        <v>42023.634976851856</v>
      </c>
      <c r="T2819" s="4">
        <f t="shared" si="267"/>
        <v>42063.634976851856</v>
      </c>
      <c r="U2819" s="5">
        <f>VLOOKUP(currency,Tables!$A$1:$C$14,3,FALSE)*pledged</f>
        <v>1029.6000000000001</v>
      </c>
    </row>
    <row r="2820" spans="1:21" ht="43.2" x14ac:dyDescent="0.55000000000000004">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16">
        <f t="shared" si="265"/>
        <v>103.95098039215686</v>
      </c>
      <c r="Q2820" t="str">
        <f t="shared" si="268"/>
        <v>theater</v>
      </c>
      <c r="R2820" t="str">
        <f t="shared" si="269"/>
        <v>plays</v>
      </c>
      <c r="S2820" s="4">
        <f t="shared" si="266"/>
        <v>42250.598217592589</v>
      </c>
      <c r="T2820" s="4">
        <f t="shared" si="267"/>
        <v>42270.598217592589</v>
      </c>
      <c r="U2820" s="5">
        <f>VLOOKUP(currency,Tables!$A$1:$C$14,3,FALSE)*pledged</f>
        <v>10603</v>
      </c>
    </row>
    <row r="2821" spans="1:21" ht="43.2" x14ac:dyDescent="0.55000000000000004">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16">
        <f t="shared" si="265"/>
        <v>50.384615384615387</v>
      </c>
      <c r="Q2821" t="str">
        <f t="shared" si="268"/>
        <v>theater</v>
      </c>
      <c r="R2821" t="str">
        <f t="shared" si="269"/>
        <v>plays</v>
      </c>
      <c r="S2821" s="4">
        <f t="shared" si="266"/>
        <v>42139.525567129633</v>
      </c>
      <c r="T2821" s="4">
        <f t="shared" si="267"/>
        <v>42169.525567129633</v>
      </c>
      <c r="U2821" s="5">
        <f>VLOOKUP(currency,Tables!$A$1:$C$14,3,FALSE)*pledged</f>
        <v>6916.8</v>
      </c>
    </row>
    <row r="2822" spans="1:21" ht="43.2" x14ac:dyDescent="0.55000000000000004">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264"/>
        <v>1.36</v>
      </c>
      <c r="P2822" s="16">
        <f t="shared" si="265"/>
        <v>13.6</v>
      </c>
      <c r="Q2822" t="str">
        <f t="shared" si="268"/>
        <v>theater</v>
      </c>
      <c r="R2822" t="str">
        <f t="shared" si="269"/>
        <v>plays</v>
      </c>
      <c r="S2822" s="4">
        <f t="shared" si="266"/>
        <v>42401.610983796301</v>
      </c>
      <c r="T2822" s="4">
        <f t="shared" si="267"/>
        <v>42426</v>
      </c>
      <c r="U2822" s="5">
        <f>VLOOKUP(currency,Tables!$A$1:$C$14,3,FALSE)*pledged</f>
        <v>359.04</v>
      </c>
    </row>
    <row r="2823" spans="1:21" ht="43.2" x14ac:dyDescent="0.55000000000000004">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264"/>
        <v>1</v>
      </c>
      <c r="P2823" s="16">
        <f t="shared" si="265"/>
        <v>28.571428571428573</v>
      </c>
      <c r="Q2823" t="str">
        <f t="shared" si="268"/>
        <v>theater</v>
      </c>
      <c r="R2823" t="str">
        <f t="shared" si="269"/>
        <v>plays</v>
      </c>
      <c r="S2823" s="4">
        <f t="shared" si="266"/>
        <v>41875.922858796301</v>
      </c>
      <c r="T2823" s="4">
        <f t="shared" si="267"/>
        <v>41905.922858796301</v>
      </c>
      <c r="U2823" s="5">
        <f>VLOOKUP(currency,Tables!$A$1:$C$14,3,FALSE)*pledged</f>
        <v>1320</v>
      </c>
    </row>
    <row r="2824" spans="1:21" ht="43.2" x14ac:dyDescent="0.55000000000000004">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264"/>
        <v>1</v>
      </c>
      <c r="P2824" s="16">
        <f t="shared" si="265"/>
        <v>63.829787234042556</v>
      </c>
      <c r="Q2824" t="str">
        <f t="shared" si="268"/>
        <v>theater</v>
      </c>
      <c r="R2824" t="str">
        <f t="shared" si="269"/>
        <v>plays</v>
      </c>
      <c r="S2824" s="4">
        <f t="shared" si="266"/>
        <v>42060.683935185181</v>
      </c>
      <c r="T2824" s="4">
        <f t="shared" si="267"/>
        <v>42090.642268518524</v>
      </c>
      <c r="U2824" s="5">
        <f>VLOOKUP(currency,Tables!$A$1:$C$14,3,FALSE)*pledged</f>
        <v>6000</v>
      </c>
    </row>
    <row r="2825" spans="1:21" ht="43.2" x14ac:dyDescent="0.55000000000000004">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264"/>
        <v>1.24</v>
      </c>
      <c r="P2825" s="16">
        <f t="shared" si="265"/>
        <v>8.8571428571428577</v>
      </c>
      <c r="Q2825" t="str">
        <f t="shared" si="268"/>
        <v>theater</v>
      </c>
      <c r="R2825" t="str">
        <f t="shared" si="269"/>
        <v>plays</v>
      </c>
      <c r="S2825" s="4">
        <f t="shared" si="266"/>
        <v>42067.011643518519</v>
      </c>
      <c r="T2825" s="4">
        <f t="shared" si="267"/>
        <v>42094.957638888889</v>
      </c>
      <c r="U2825" s="5">
        <f>VLOOKUP(currency,Tables!$A$1:$C$14,3,FALSE)*pledged</f>
        <v>163.68</v>
      </c>
    </row>
    <row r="2826" spans="1:21" ht="28.8" x14ac:dyDescent="0.55000000000000004">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16">
        <f t="shared" si="265"/>
        <v>50.666666666666664</v>
      </c>
      <c r="Q2826" t="str">
        <f t="shared" si="268"/>
        <v>theater</v>
      </c>
      <c r="R2826" t="str">
        <f t="shared" si="269"/>
        <v>plays</v>
      </c>
      <c r="S2826" s="4">
        <f t="shared" si="266"/>
        <v>42136.270787037036</v>
      </c>
      <c r="T2826" s="4">
        <f t="shared" si="267"/>
        <v>42168.071527777778</v>
      </c>
      <c r="U2826" s="5">
        <f>VLOOKUP(currency,Tables!$A$1:$C$14,3,FALSE)*pledged</f>
        <v>760</v>
      </c>
    </row>
    <row r="2827" spans="1:21" ht="43.2" x14ac:dyDescent="0.55000000000000004">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16">
        <f t="shared" si="265"/>
        <v>60.784313725490193</v>
      </c>
      <c r="Q2827" t="str">
        <f t="shared" si="268"/>
        <v>theater</v>
      </c>
      <c r="R2827" t="str">
        <f t="shared" si="269"/>
        <v>plays</v>
      </c>
      <c r="S2827" s="4">
        <f t="shared" si="266"/>
        <v>42312.792662037042</v>
      </c>
      <c r="T2827" s="4">
        <f t="shared" si="267"/>
        <v>42342.792662037042</v>
      </c>
      <c r="U2827" s="5">
        <f>VLOOKUP(currency,Tables!$A$1:$C$14,3,FALSE)*pledged</f>
        <v>4092</v>
      </c>
    </row>
    <row r="2828" spans="1:21" ht="43.2" x14ac:dyDescent="0.55000000000000004">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16">
        <f t="shared" si="265"/>
        <v>113.42105263157895</v>
      </c>
      <c r="Q2828" t="str">
        <f t="shared" si="268"/>
        <v>theater</v>
      </c>
      <c r="R2828" t="str">
        <f t="shared" si="269"/>
        <v>plays</v>
      </c>
      <c r="S2828" s="4">
        <f t="shared" si="266"/>
        <v>42171.034861111111</v>
      </c>
      <c r="T2828" s="4">
        <f t="shared" si="267"/>
        <v>42195.291666666672</v>
      </c>
      <c r="U2828" s="5">
        <f>VLOOKUP(currency,Tables!$A$1:$C$14,3,FALSE)*pledged</f>
        <v>2155</v>
      </c>
    </row>
    <row r="2829" spans="1:21" ht="43.2" x14ac:dyDescent="0.55000000000000004">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16">
        <f t="shared" si="265"/>
        <v>104.56521739130434</v>
      </c>
      <c r="Q2829" t="str">
        <f t="shared" si="268"/>
        <v>theater</v>
      </c>
      <c r="R2829" t="str">
        <f t="shared" si="269"/>
        <v>plays</v>
      </c>
      <c r="S2829" s="4">
        <f t="shared" si="266"/>
        <v>42494.683634259258</v>
      </c>
      <c r="T2829" s="4">
        <f t="shared" si="267"/>
        <v>42524.6875</v>
      </c>
      <c r="U2829" s="5">
        <f>VLOOKUP(currency,Tables!$A$1:$C$14,3,FALSE)*pledged</f>
        <v>2405</v>
      </c>
    </row>
    <row r="2830" spans="1:21" ht="43.2" x14ac:dyDescent="0.55000000000000004">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16">
        <f t="shared" si="265"/>
        <v>98.30927835051547</v>
      </c>
      <c r="Q2830" t="str">
        <f t="shared" si="268"/>
        <v>theater</v>
      </c>
      <c r="R2830" t="str">
        <f t="shared" si="269"/>
        <v>plays</v>
      </c>
      <c r="S2830" s="4">
        <f t="shared" si="266"/>
        <v>42254.264687499999</v>
      </c>
      <c r="T2830" s="4">
        <f t="shared" si="267"/>
        <v>42279.958333333328</v>
      </c>
      <c r="U2830" s="5">
        <f>VLOOKUP(currency,Tables!$A$1:$C$14,3,FALSE)*pledged</f>
        <v>12587.52</v>
      </c>
    </row>
    <row r="2831" spans="1:21" ht="43.2" x14ac:dyDescent="0.55000000000000004">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16">
        <f t="shared" si="265"/>
        <v>35.039473684210527</v>
      </c>
      <c r="Q2831" t="str">
        <f t="shared" si="268"/>
        <v>theater</v>
      </c>
      <c r="R2831" t="str">
        <f t="shared" si="269"/>
        <v>plays</v>
      </c>
      <c r="S2831" s="4">
        <f t="shared" si="266"/>
        <v>42495.434236111112</v>
      </c>
      <c r="T2831" s="4">
        <f t="shared" si="267"/>
        <v>42523.434236111112</v>
      </c>
      <c r="U2831" s="5">
        <f>VLOOKUP(currency,Tables!$A$1:$C$14,3,FALSE)*pledged</f>
        <v>3515.1600000000003</v>
      </c>
    </row>
    <row r="2832" spans="1:21" ht="28.8" x14ac:dyDescent="0.55000000000000004">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264"/>
        <v>1</v>
      </c>
      <c r="P2832" s="16">
        <f t="shared" si="265"/>
        <v>272.72727272727275</v>
      </c>
      <c r="Q2832" t="str">
        <f t="shared" si="268"/>
        <v>theater</v>
      </c>
      <c r="R2832" t="str">
        <f t="shared" si="269"/>
        <v>plays</v>
      </c>
      <c r="S2832" s="4">
        <f t="shared" si="266"/>
        <v>41758.839675925927</v>
      </c>
      <c r="T2832" s="4">
        <f t="shared" si="267"/>
        <v>41771.165972222225</v>
      </c>
      <c r="U2832" s="5">
        <f>VLOOKUP(currency,Tables!$A$1:$C$14,3,FALSE)*pledged</f>
        <v>3000</v>
      </c>
    </row>
    <row r="2833" spans="1:21" ht="28.8" x14ac:dyDescent="0.55000000000000004">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16">
        <f t="shared" si="265"/>
        <v>63.846153846153847</v>
      </c>
      <c r="Q2833" t="str">
        <f t="shared" si="268"/>
        <v>theater</v>
      </c>
      <c r="R2833" t="str">
        <f t="shared" si="269"/>
        <v>plays</v>
      </c>
      <c r="S2833" s="4">
        <f t="shared" si="266"/>
        <v>42171.824884259258</v>
      </c>
      <c r="T2833" s="4">
        <f t="shared" si="267"/>
        <v>42201.824884259258</v>
      </c>
      <c r="U2833" s="5">
        <f>VLOOKUP(currency,Tables!$A$1:$C$14,3,FALSE)*pledged</f>
        <v>3320</v>
      </c>
    </row>
    <row r="2834" spans="1:21" ht="43.2" x14ac:dyDescent="0.55000000000000004">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16">
        <f t="shared" si="265"/>
        <v>30.189368421052631</v>
      </c>
      <c r="Q2834" t="str">
        <f t="shared" si="268"/>
        <v>theater</v>
      </c>
      <c r="R2834" t="str">
        <f t="shared" si="269"/>
        <v>plays</v>
      </c>
      <c r="S2834" s="4">
        <f t="shared" si="266"/>
        <v>41938.709421296298</v>
      </c>
      <c r="T2834" s="4">
        <f t="shared" si="267"/>
        <v>41966.916666666672</v>
      </c>
      <c r="U2834" s="5">
        <f>VLOOKUP(currency,Tables!$A$1:$C$14,3,FALSE)*pledged</f>
        <v>3785.7467999999999</v>
      </c>
    </row>
    <row r="2835" spans="1:21" x14ac:dyDescent="0.55000000000000004">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16">
        <f t="shared" si="265"/>
        <v>83.51428571428572</v>
      </c>
      <c r="Q2835" t="str">
        <f t="shared" si="268"/>
        <v>theater</v>
      </c>
      <c r="R2835" t="str">
        <f t="shared" si="269"/>
        <v>plays</v>
      </c>
      <c r="S2835" s="4">
        <f t="shared" si="266"/>
        <v>42268.127696759257</v>
      </c>
      <c r="T2835" s="4">
        <f t="shared" si="267"/>
        <v>42288.083333333328</v>
      </c>
      <c r="U2835" s="5">
        <f>VLOOKUP(currency,Tables!$A$1:$C$14,3,FALSE)*pledged</f>
        <v>2923</v>
      </c>
    </row>
    <row r="2836" spans="1:21" ht="43.2" x14ac:dyDescent="0.55000000000000004">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264"/>
        <v>1.7</v>
      </c>
      <c r="P2836" s="16">
        <f t="shared" si="265"/>
        <v>64.761904761904759</v>
      </c>
      <c r="Q2836" t="str">
        <f t="shared" si="268"/>
        <v>theater</v>
      </c>
      <c r="R2836" t="str">
        <f t="shared" si="269"/>
        <v>plays</v>
      </c>
      <c r="S2836" s="4">
        <f t="shared" si="266"/>
        <v>42019.959837962961</v>
      </c>
      <c r="T2836" s="4">
        <f t="shared" si="267"/>
        <v>42034.959837962961</v>
      </c>
      <c r="U2836" s="5">
        <f>VLOOKUP(currency,Tables!$A$1:$C$14,3,FALSE)*pledged</f>
        <v>1795.2</v>
      </c>
    </row>
    <row r="2837" spans="1:21" ht="43.2" x14ac:dyDescent="0.55000000000000004">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16">
        <f t="shared" si="265"/>
        <v>20.118172043010752</v>
      </c>
      <c r="Q2837" t="str">
        <f t="shared" si="268"/>
        <v>theater</v>
      </c>
      <c r="R2837" t="str">
        <f t="shared" si="269"/>
        <v>plays</v>
      </c>
      <c r="S2837" s="4">
        <f t="shared" si="266"/>
        <v>42313.703900462962</v>
      </c>
      <c r="T2837" s="4">
        <f t="shared" si="267"/>
        <v>42343</v>
      </c>
      <c r="U2837" s="5">
        <f>VLOOKUP(currency,Tables!$A$1:$C$14,3,FALSE)*pledged</f>
        <v>2469.7067999999999</v>
      </c>
    </row>
    <row r="2838" spans="1:21" ht="43.2" x14ac:dyDescent="0.55000000000000004">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16">
        <f t="shared" si="265"/>
        <v>44.090909090909093</v>
      </c>
      <c r="Q2838" t="str">
        <f t="shared" si="268"/>
        <v>theater</v>
      </c>
      <c r="R2838" t="str">
        <f t="shared" si="269"/>
        <v>plays</v>
      </c>
      <c r="S2838" s="4">
        <f t="shared" si="266"/>
        <v>42746.261782407411</v>
      </c>
      <c r="T2838" s="4">
        <f t="shared" si="267"/>
        <v>42784.207638888889</v>
      </c>
      <c r="U2838" s="5">
        <f>VLOOKUP(currency,Tables!$A$1:$C$14,3,FALSE)*pledged</f>
        <v>485</v>
      </c>
    </row>
    <row r="2839" spans="1:21" ht="57.6" x14ac:dyDescent="0.55000000000000004">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264"/>
        <v>1</v>
      </c>
      <c r="P2839" s="16">
        <f t="shared" si="265"/>
        <v>40.476190476190474</v>
      </c>
      <c r="Q2839" t="str">
        <f t="shared" si="268"/>
        <v>theater</v>
      </c>
      <c r="R2839" t="str">
        <f t="shared" si="269"/>
        <v>plays</v>
      </c>
      <c r="S2839" s="4">
        <f t="shared" si="266"/>
        <v>42307.908379629633</v>
      </c>
      <c r="T2839" s="4">
        <f t="shared" si="267"/>
        <v>42347.950046296297</v>
      </c>
      <c r="U2839" s="5">
        <f>VLOOKUP(currency,Tables!$A$1:$C$14,3,FALSE)*pledged</f>
        <v>646</v>
      </c>
    </row>
    <row r="2840" spans="1:21" ht="43.2" x14ac:dyDescent="0.55000000000000004">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16">
        <f t="shared" si="265"/>
        <v>44.537037037037038</v>
      </c>
      <c r="Q2840" t="str">
        <f t="shared" si="268"/>
        <v>theater</v>
      </c>
      <c r="R2840" t="str">
        <f t="shared" si="269"/>
        <v>plays</v>
      </c>
      <c r="S2840" s="4">
        <f t="shared" si="266"/>
        <v>41842.607592592591</v>
      </c>
      <c r="T2840" s="4">
        <f t="shared" si="267"/>
        <v>41864.916666666664</v>
      </c>
      <c r="U2840" s="5">
        <f>VLOOKUP(currency,Tables!$A$1:$C$14,3,FALSE)*pledged</f>
        <v>2405</v>
      </c>
    </row>
    <row r="2841" spans="1:21" ht="43.2" x14ac:dyDescent="0.55000000000000004">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16">
        <f t="shared" si="265"/>
        <v>125.80645161290323</v>
      </c>
      <c r="Q2841" t="str">
        <f t="shared" si="268"/>
        <v>theater</v>
      </c>
      <c r="R2841" t="str">
        <f t="shared" si="269"/>
        <v>plays</v>
      </c>
      <c r="S2841" s="4">
        <f t="shared" si="266"/>
        <v>41853.240208333329</v>
      </c>
      <c r="T2841" s="4">
        <f t="shared" si="267"/>
        <v>41876.207638888889</v>
      </c>
      <c r="U2841" s="5">
        <f>VLOOKUP(currency,Tables!$A$1:$C$14,3,FALSE)*pledged</f>
        <v>3900</v>
      </c>
    </row>
    <row r="2842" spans="1:21" ht="57.6" x14ac:dyDescent="0.55000000000000004">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16">
        <f t="shared" si="265"/>
        <v>19.696969696969695</v>
      </c>
      <c r="Q2842" t="str">
        <f t="shared" si="268"/>
        <v>theater</v>
      </c>
      <c r="R2842" t="str">
        <f t="shared" si="269"/>
        <v>plays</v>
      </c>
      <c r="S2842" s="4">
        <f t="shared" si="266"/>
        <v>42060.035636574074</v>
      </c>
      <c r="T2842" s="4">
        <f t="shared" si="267"/>
        <v>42081.708333333328</v>
      </c>
      <c r="U2842" s="5">
        <f>VLOOKUP(currency,Tables!$A$1:$C$14,3,FALSE)*pledged</f>
        <v>3432</v>
      </c>
    </row>
    <row r="2843" spans="1:21" ht="43.2" x14ac:dyDescent="0.55000000000000004">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264"/>
        <v>0.01</v>
      </c>
      <c r="P2843" s="16">
        <f t="shared" si="265"/>
        <v>10</v>
      </c>
      <c r="Q2843" t="str">
        <f t="shared" si="268"/>
        <v>theater</v>
      </c>
      <c r="R2843" t="str">
        <f t="shared" si="269"/>
        <v>plays</v>
      </c>
      <c r="S2843" s="4">
        <f t="shared" si="266"/>
        <v>42291.739548611105</v>
      </c>
      <c r="T2843" s="4">
        <f t="shared" si="267"/>
        <v>42351.781215277777</v>
      </c>
      <c r="U2843" s="5">
        <f>VLOOKUP(currency,Tables!$A$1:$C$14,3,FALSE)*pledged</f>
        <v>13.200000000000001</v>
      </c>
    </row>
    <row r="2844" spans="1:21" ht="43.2" x14ac:dyDescent="0.55000000000000004">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264"/>
        <v>0</v>
      </c>
      <c r="P2844" s="16">
        <f t="shared" si="265"/>
        <v>0</v>
      </c>
      <c r="Q2844" t="str">
        <f t="shared" si="268"/>
        <v>theater</v>
      </c>
      <c r="R2844" t="str">
        <f t="shared" si="269"/>
        <v>plays</v>
      </c>
      <c r="S2844" s="4">
        <f t="shared" si="266"/>
        <v>41784.952488425923</v>
      </c>
      <c r="T2844" s="4">
        <f t="shared" si="267"/>
        <v>41811.458333333336</v>
      </c>
      <c r="U2844" s="5">
        <f>VLOOKUP(currency,Tables!$A$1:$C$14,3,FALSE)*pledged</f>
        <v>0</v>
      </c>
    </row>
    <row r="2845" spans="1:21" ht="43.2" x14ac:dyDescent="0.55000000000000004">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264"/>
        <v>0</v>
      </c>
      <c r="P2845" s="16">
        <f t="shared" si="265"/>
        <v>0</v>
      </c>
      <c r="Q2845" t="str">
        <f t="shared" si="268"/>
        <v>theater</v>
      </c>
      <c r="R2845" t="str">
        <f t="shared" si="269"/>
        <v>plays</v>
      </c>
      <c r="S2845" s="4">
        <f t="shared" si="266"/>
        <v>42492.737847222219</v>
      </c>
      <c r="T2845" s="4">
        <f t="shared" si="267"/>
        <v>42534.166666666672</v>
      </c>
      <c r="U2845" s="5">
        <f>VLOOKUP(currency,Tables!$A$1:$C$14,3,FALSE)*pledged</f>
        <v>0</v>
      </c>
    </row>
    <row r="2846" spans="1:21" ht="43.2" x14ac:dyDescent="0.55000000000000004">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16">
        <f t="shared" si="265"/>
        <v>30</v>
      </c>
      <c r="Q2846" t="str">
        <f t="shared" si="268"/>
        <v>theater</v>
      </c>
      <c r="R2846" t="str">
        <f t="shared" si="269"/>
        <v>plays</v>
      </c>
      <c r="S2846" s="4">
        <f t="shared" si="266"/>
        <v>42709.546064814815</v>
      </c>
      <c r="T2846" s="4">
        <f t="shared" si="267"/>
        <v>42739.546064814815</v>
      </c>
      <c r="U2846" s="5">
        <f>VLOOKUP(currency,Tables!$A$1:$C$14,3,FALSE)*pledged</f>
        <v>35.4</v>
      </c>
    </row>
    <row r="2847" spans="1:21" ht="43.2" x14ac:dyDescent="0.55000000000000004">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16">
        <f t="shared" si="265"/>
        <v>60.666666666666664</v>
      </c>
      <c r="Q2847" t="str">
        <f t="shared" si="268"/>
        <v>theater</v>
      </c>
      <c r="R2847" t="str">
        <f t="shared" si="269"/>
        <v>plays</v>
      </c>
      <c r="S2847" s="4">
        <f t="shared" si="266"/>
        <v>42103.016585648147</v>
      </c>
      <c r="T2847" s="4">
        <f t="shared" si="267"/>
        <v>42163.016585648147</v>
      </c>
      <c r="U2847" s="5">
        <f>VLOOKUP(currency,Tables!$A$1:$C$14,3,FALSE)*pledged</f>
        <v>2366</v>
      </c>
    </row>
    <row r="2848" spans="1:21" ht="43.2" x14ac:dyDescent="0.55000000000000004">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264"/>
        <v>0</v>
      </c>
      <c r="P2848" s="16">
        <f t="shared" si="265"/>
        <v>0</v>
      </c>
      <c r="Q2848" t="str">
        <f t="shared" si="268"/>
        <v>theater</v>
      </c>
      <c r="R2848" t="str">
        <f t="shared" si="269"/>
        <v>plays</v>
      </c>
      <c r="S2848" s="4">
        <f t="shared" si="266"/>
        <v>42108.692060185189</v>
      </c>
      <c r="T2848" s="4">
        <f t="shared" si="267"/>
        <v>42153.692060185189</v>
      </c>
      <c r="U2848" s="5">
        <f>VLOOKUP(currency,Tables!$A$1:$C$14,3,FALSE)*pledged</f>
        <v>0</v>
      </c>
    </row>
    <row r="2849" spans="1:21" ht="43.2" x14ac:dyDescent="0.55000000000000004">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264"/>
        <v>0</v>
      </c>
      <c r="P2849" s="16">
        <f t="shared" si="265"/>
        <v>0</v>
      </c>
      <c r="Q2849" t="str">
        <f t="shared" si="268"/>
        <v>theater</v>
      </c>
      <c r="R2849" t="str">
        <f t="shared" si="269"/>
        <v>plays</v>
      </c>
      <c r="S2849" s="4">
        <f t="shared" si="266"/>
        <v>42453.806307870371</v>
      </c>
      <c r="T2849" s="4">
        <f t="shared" si="267"/>
        <v>42513.806307870371</v>
      </c>
      <c r="U2849" s="5">
        <f>VLOOKUP(currency,Tables!$A$1:$C$14,3,FALSE)*pledged</f>
        <v>0</v>
      </c>
    </row>
    <row r="2850" spans="1:21" ht="57.6" x14ac:dyDescent="0.55000000000000004">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264"/>
        <v>2E-3</v>
      </c>
      <c r="P2850" s="16">
        <f t="shared" si="265"/>
        <v>23.333333333333332</v>
      </c>
      <c r="Q2850" t="str">
        <f t="shared" si="268"/>
        <v>theater</v>
      </c>
      <c r="R2850" t="str">
        <f t="shared" si="269"/>
        <v>plays</v>
      </c>
      <c r="S2850" s="4">
        <f t="shared" si="266"/>
        <v>42123.648831018523</v>
      </c>
      <c r="T2850" s="4">
        <f t="shared" si="267"/>
        <v>42153.648831018523</v>
      </c>
      <c r="U2850" s="5">
        <f>VLOOKUP(currency,Tables!$A$1:$C$14,3,FALSE)*pledged</f>
        <v>70</v>
      </c>
    </row>
    <row r="2851" spans="1:21" ht="43.2" x14ac:dyDescent="0.55000000000000004">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264"/>
        <v>0.01</v>
      </c>
      <c r="P2851" s="16">
        <f t="shared" si="265"/>
        <v>5</v>
      </c>
      <c r="Q2851" t="str">
        <f t="shared" si="268"/>
        <v>theater</v>
      </c>
      <c r="R2851" t="str">
        <f t="shared" si="269"/>
        <v>plays</v>
      </c>
      <c r="S2851" s="4">
        <f t="shared" si="266"/>
        <v>42453.428240740745</v>
      </c>
      <c r="T2851" s="4">
        <f t="shared" si="267"/>
        <v>42483.428240740745</v>
      </c>
      <c r="U2851" s="5">
        <f>VLOOKUP(currency,Tables!$A$1:$C$14,3,FALSE)*pledged</f>
        <v>6.6000000000000005</v>
      </c>
    </row>
    <row r="2852" spans="1:21" ht="43.2" x14ac:dyDescent="0.55000000000000004">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16">
        <f t="shared" si="265"/>
        <v>23.923076923076923</v>
      </c>
      <c r="Q2852" t="str">
        <f t="shared" si="268"/>
        <v>theater</v>
      </c>
      <c r="R2852" t="str">
        <f t="shared" si="269"/>
        <v>plays</v>
      </c>
      <c r="S2852" s="4">
        <f t="shared" si="266"/>
        <v>41858.007071759261</v>
      </c>
      <c r="T2852" s="4">
        <f t="shared" si="267"/>
        <v>41888.007071759261</v>
      </c>
      <c r="U2852" s="5">
        <f>VLOOKUP(currency,Tables!$A$1:$C$14,3,FALSE)*pledged</f>
        <v>311</v>
      </c>
    </row>
    <row r="2853" spans="1:21" ht="43.2" x14ac:dyDescent="0.55000000000000004">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264"/>
        <v>0</v>
      </c>
      <c r="P2853" s="16">
        <f t="shared" si="265"/>
        <v>0</v>
      </c>
      <c r="Q2853" t="str">
        <f t="shared" si="268"/>
        <v>theater</v>
      </c>
      <c r="R2853" t="str">
        <f t="shared" si="269"/>
        <v>plays</v>
      </c>
      <c r="S2853" s="4">
        <f t="shared" si="266"/>
        <v>42390.002650462964</v>
      </c>
      <c r="T2853" s="4">
        <f t="shared" si="267"/>
        <v>42398.970138888893</v>
      </c>
      <c r="U2853" s="5">
        <f>VLOOKUP(currency,Tables!$A$1:$C$14,3,FALSE)*pledged</f>
        <v>0</v>
      </c>
    </row>
    <row r="2854" spans="1:21" ht="43.2" x14ac:dyDescent="0.55000000000000004">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264"/>
        <v>1.9E-2</v>
      </c>
      <c r="P2854" s="16">
        <f t="shared" si="265"/>
        <v>15.833333333333334</v>
      </c>
      <c r="Q2854" t="str">
        <f t="shared" si="268"/>
        <v>theater</v>
      </c>
      <c r="R2854" t="str">
        <f t="shared" si="269"/>
        <v>plays</v>
      </c>
      <c r="S2854" s="4">
        <f t="shared" si="266"/>
        <v>41781.045173611114</v>
      </c>
      <c r="T2854" s="4">
        <f t="shared" si="267"/>
        <v>41811.045173611114</v>
      </c>
      <c r="U2854" s="5">
        <f>VLOOKUP(currency,Tables!$A$1:$C$14,3,FALSE)*pledged</f>
        <v>95</v>
      </c>
    </row>
    <row r="2855" spans="1:21" ht="43.2" x14ac:dyDescent="0.55000000000000004">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264"/>
        <v>0</v>
      </c>
      <c r="P2855" s="16">
        <f t="shared" si="265"/>
        <v>0</v>
      </c>
      <c r="Q2855" t="str">
        <f t="shared" si="268"/>
        <v>theater</v>
      </c>
      <c r="R2855" t="str">
        <f t="shared" si="269"/>
        <v>plays</v>
      </c>
      <c r="S2855" s="4">
        <f t="shared" si="266"/>
        <v>41836.190937499996</v>
      </c>
      <c r="T2855" s="4">
        <f t="shared" si="267"/>
        <v>41896.190937499996</v>
      </c>
      <c r="U2855" s="5">
        <f>VLOOKUP(currency,Tables!$A$1:$C$14,3,FALSE)*pledged</f>
        <v>0</v>
      </c>
    </row>
    <row r="2856" spans="1:21" ht="43.2" x14ac:dyDescent="0.55000000000000004">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16">
        <f t="shared" si="265"/>
        <v>29.785714285714285</v>
      </c>
      <c r="Q2856" t="str">
        <f t="shared" si="268"/>
        <v>theater</v>
      </c>
      <c r="R2856" t="str">
        <f t="shared" si="269"/>
        <v>plays</v>
      </c>
      <c r="S2856" s="4">
        <f t="shared" si="266"/>
        <v>42111.71665509259</v>
      </c>
      <c r="T2856" s="4">
        <f t="shared" si="267"/>
        <v>42131.71665509259</v>
      </c>
      <c r="U2856" s="5">
        <f>VLOOKUP(currency,Tables!$A$1:$C$14,3,FALSE)*pledged</f>
        <v>550.44000000000005</v>
      </c>
    </row>
    <row r="2857" spans="1:21" ht="43.2" x14ac:dyDescent="0.55000000000000004">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264"/>
        <v>0.5</v>
      </c>
      <c r="P2857" s="16">
        <f t="shared" si="265"/>
        <v>60</v>
      </c>
      <c r="Q2857" t="str">
        <f t="shared" si="268"/>
        <v>theater</v>
      </c>
      <c r="R2857" t="str">
        <f t="shared" si="269"/>
        <v>plays</v>
      </c>
      <c r="S2857" s="4">
        <f t="shared" si="266"/>
        <v>42370.007766203707</v>
      </c>
      <c r="T2857" s="4">
        <f t="shared" si="267"/>
        <v>42398.981944444444</v>
      </c>
      <c r="U2857" s="5">
        <f>VLOOKUP(currency,Tables!$A$1:$C$14,3,FALSE)*pledged</f>
        <v>300</v>
      </c>
    </row>
    <row r="2858" spans="1:21" ht="43.2" x14ac:dyDescent="0.55000000000000004">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16">
        <f t="shared" si="265"/>
        <v>24.333333333333332</v>
      </c>
      <c r="Q2858" t="str">
        <f t="shared" si="268"/>
        <v>theater</v>
      </c>
      <c r="R2858" t="str">
        <f t="shared" si="269"/>
        <v>plays</v>
      </c>
      <c r="S2858" s="4">
        <f t="shared" si="266"/>
        <v>42165.037581018521</v>
      </c>
      <c r="T2858" s="4">
        <f t="shared" si="267"/>
        <v>42224.898611111115</v>
      </c>
      <c r="U2858" s="5">
        <f>VLOOKUP(currency,Tables!$A$1:$C$14,3,FALSE)*pledged</f>
        <v>146</v>
      </c>
    </row>
    <row r="2859" spans="1:21" ht="57.6" x14ac:dyDescent="0.55000000000000004">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16">
        <f t="shared" si="265"/>
        <v>500</v>
      </c>
      <c r="Q2859" t="str">
        <f t="shared" si="268"/>
        <v>theater</v>
      </c>
      <c r="R2859" t="str">
        <f t="shared" si="269"/>
        <v>plays</v>
      </c>
      <c r="S2859" s="4">
        <f t="shared" si="266"/>
        <v>42726.920081018514</v>
      </c>
      <c r="T2859" s="4">
        <f t="shared" si="267"/>
        <v>42786.75</v>
      </c>
      <c r="U2859" s="5">
        <f>VLOOKUP(currency,Tables!$A$1:$C$14,3,FALSE)*pledged</f>
        <v>345</v>
      </c>
    </row>
    <row r="2860" spans="1:21" ht="43.2" x14ac:dyDescent="0.55000000000000004">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264"/>
        <v>0</v>
      </c>
      <c r="P2860" s="16">
        <f t="shared" si="265"/>
        <v>0</v>
      </c>
      <c r="Q2860" t="str">
        <f t="shared" si="268"/>
        <v>theater</v>
      </c>
      <c r="R2860" t="str">
        <f t="shared" si="269"/>
        <v>plays</v>
      </c>
      <c r="S2860" s="4">
        <f t="shared" si="266"/>
        <v>41954.545081018514</v>
      </c>
      <c r="T2860" s="4">
        <f t="shared" si="267"/>
        <v>41978.477777777778</v>
      </c>
      <c r="U2860" s="5">
        <f>VLOOKUP(currency,Tables!$A$1:$C$14,3,FALSE)*pledged</f>
        <v>0</v>
      </c>
    </row>
    <row r="2861" spans="1:21" ht="28.8" x14ac:dyDescent="0.55000000000000004">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16">
        <f t="shared" si="265"/>
        <v>35</v>
      </c>
      <c r="Q2861" t="str">
        <f t="shared" si="268"/>
        <v>theater</v>
      </c>
      <c r="R2861" t="str">
        <f t="shared" si="269"/>
        <v>plays</v>
      </c>
      <c r="S2861" s="4">
        <f t="shared" si="266"/>
        <v>42233.362314814818</v>
      </c>
      <c r="T2861" s="4">
        <f t="shared" si="267"/>
        <v>42293.362314814818</v>
      </c>
      <c r="U2861" s="5">
        <f>VLOOKUP(currency,Tables!$A$1:$C$14,3,FALSE)*pledged</f>
        <v>25.55</v>
      </c>
    </row>
    <row r="2862" spans="1:21" ht="43.2" x14ac:dyDescent="0.55000000000000004">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16">
        <f t="shared" si="265"/>
        <v>29.555555555555557</v>
      </c>
      <c r="Q2862" t="str">
        <f t="shared" si="268"/>
        <v>theater</v>
      </c>
      <c r="R2862" t="str">
        <f t="shared" si="269"/>
        <v>plays</v>
      </c>
      <c r="S2862" s="4">
        <f t="shared" si="266"/>
        <v>42480.800648148142</v>
      </c>
      <c r="T2862" s="4">
        <f t="shared" si="267"/>
        <v>42540.800648148142</v>
      </c>
      <c r="U2862" s="5">
        <f>VLOOKUP(currency,Tables!$A$1:$C$14,3,FALSE)*pledged</f>
        <v>266</v>
      </c>
    </row>
    <row r="2863" spans="1:21" ht="43.2" x14ac:dyDescent="0.55000000000000004">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264"/>
        <v>0.32</v>
      </c>
      <c r="P2863" s="16">
        <f t="shared" si="265"/>
        <v>26.666666666666668</v>
      </c>
      <c r="Q2863" t="str">
        <f t="shared" si="268"/>
        <v>theater</v>
      </c>
      <c r="R2863" t="str">
        <f t="shared" si="269"/>
        <v>plays</v>
      </c>
      <c r="S2863" s="4">
        <f t="shared" si="266"/>
        <v>42257.590833333335</v>
      </c>
      <c r="T2863" s="4">
        <f t="shared" si="267"/>
        <v>42271.590833333335</v>
      </c>
      <c r="U2863" s="5">
        <f>VLOOKUP(currency,Tables!$A$1:$C$14,3,FALSE)*pledged</f>
        <v>58.4</v>
      </c>
    </row>
    <row r="2864" spans="1:21" ht="43.2" x14ac:dyDescent="0.55000000000000004">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16">
        <f t="shared" si="265"/>
        <v>18.333333333333332</v>
      </c>
      <c r="Q2864" t="str">
        <f t="shared" si="268"/>
        <v>theater</v>
      </c>
      <c r="R2864" t="str">
        <f t="shared" si="269"/>
        <v>plays</v>
      </c>
      <c r="S2864" s="4">
        <f t="shared" si="266"/>
        <v>41784.789687500001</v>
      </c>
      <c r="T2864" s="4">
        <f t="shared" si="267"/>
        <v>41814.789687500001</v>
      </c>
      <c r="U2864" s="5">
        <f>VLOOKUP(currency,Tables!$A$1:$C$14,3,FALSE)*pledged</f>
        <v>55</v>
      </c>
    </row>
    <row r="2865" spans="1:21" ht="43.2" x14ac:dyDescent="0.55000000000000004">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16">
        <f t="shared" si="265"/>
        <v>20</v>
      </c>
      <c r="Q2865" t="str">
        <f t="shared" si="268"/>
        <v>theater</v>
      </c>
      <c r="R2865" t="str">
        <f t="shared" si="269"/>
        <v>plays</v>
      </c>
      <c r="S2865" s="4">
        <f t="shared" si="266"/>
        <v>41831.675034722226</v>
      </c>
      <c r="T2865" s="4">
        <f t="shared" si="267"/>
        <v>41891.675034722226</v>
      </c>
      <c r="U2865" s="5">
        <f>VLOOKUP(currency,Tables!$A$1:$C$14,3,FALSE)*pledged</f>
        <v>20</v>
      </c>
    </row>
    <row r="2866" spans="1:21" x14ac:dyDescent="0.55000000000000004">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264"/>
        <v>1.6E-2</v>
      </c>
      <c r="P2866" s="16">
        <f t="shared" si="265"/>
        <v>13.333333333333334</v>
      </c>
      <c r="Q2866" t="str">
        <f t="shared" si="268"/>
        <v>theater</v>
      </c>
      <c r="R2866" t="str">
        <f t="shared" si="269"/>
        <v>plays</v>
      </c>
      <c r="S2866" s="4">
        <f t="shared" si="266"/>
        <v>42172.613506944443</v>
      </c>
      <c r="T2866" s="4">
        <f t="shared" si="267"/>
        <v>42202.554166666669</v>
      </c>
      <c r="U2866" s="5">
        <f>VLOOKUP(currency,Tables!$A$1:$C$14,3,FALSE)*pledged</f>
        <v>52.800000000000004</v>
      </c>
    </row>
    <row r="2867" spans="1:21" ht="43.2" x14ac:dyDescent="0.55000000000000004">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264"/>
        <v>0</v>
      </c>
      <c r="P2867" s="16">
        <f t="shared" si="265"/>
        <v>0</v>
      </c>
      <c r="Q2867" t="str">
        <f t="shared" si="268"/>
        <v>theater</v>
      </c>
      <c r="R2867" t="str">
        <f t="shared" si="269"/>
        <v>plays</v>
      </c>
      <c r="S2867" s="4">
        <f t="shared" si="266"/>
        <v>41950.114108796297</v>
      </c>
      <c r="T2867" s="4">
        <f t="shared" si="267"/>
        <v>42010.114108796297</v>
      </c>
      <c r="U2867" s="5">
        <f>VLOOKUP(currency,Tables!$A$1:$C$14,3,FALSE)*pledged</f>
        <v>0</v>
      </c>
    </row>
    <row r="2868" spans="1:21" ht="43.2" x14ac:dyDescent="0.55000000000000004">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16">
        <f t="shared" si="265"/>
        <v>22.5</v>
      </c>
      <c r="Q2868" t="str">
        <f t="shared" si="268"/>
        <v>theater</v>
      </c>
      <c r="R2868" t="str">
        <f t="shared" si="269"/>
        <v>plays</v>
      </c>
      <c r="S2868" s="4">
        <f t="shared" si="266"/>
        <v>42627.955104166671</v>
      </c>
      <c r="T2868" s="4">
        <f t="shared" si="267"/>
        <v>42657.916666666672</v>
      </c>
      <c r="U2868" s="5">
        <f>VLOOKUP(currency,Tables!$A$1:$C$14,3,FALSE)*pledged</f>
        <v>45</v>
      </c>
    </row>
    <row r="2869" spans="1:21" ht="43.2" x14ac:dyDescent="0.55000000000000004">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16">
        <f t="shared" si="265"/>
        <v>50.4</v>
      </c>
      <c r="Q2869" t="str">
        <f t="shared" si="268"/>
        <v>theater</v>
      </c>
      <c r="R2869" t="str">
        <f t="shared" si="269"/>
        <v>plays</v>
      </c>
      <c r="S2869" s="4">
        <f t="shared" si="266"/>
        <v>42531.195277777777</v>
      </c>
      <c r="T2869" s="4">
        <f t="shared" si="267"/>
        <v>42555.166666666672</v>
      </c>
      <c r="U2869" s="5">
        <f>VLOOKUP(currency,Tables!$A$1:$C$14,3,FALSE)*pledged</f>
        <v>504</v>
      </c>
    </row>
    <row r="2870" spans="1:21" ht="43.2" x14ac:dyDescent="0.55000000000000004">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16">
        <f t="shared" si="265"/>
        <v>105.02933333333334</v>
      </c>
      <c r="Q2870" t="str">
        <f t="shared" si="268"/>
        <v>theater</v>
      </c>
      <c r="R2870" t="str">
        <f t="shared" si="269"/>
        <v>plays</v>
      </c>
      <c r="S2870" s="4">
        <f t="shared" si="266"/>
        <v>42618.827013888891</v>
      </c>
      <c r="T2870" s="4">
        <f t="shared" si="267"/>
        <v>42648.827013888891</v>
      </c>
      <c r="U2870" s="5">
        <f>VLOOKUP(currency,Tables!$A$1:$C$14,3,FALSE)*pledged</f>
        <v>6301.76</v>
      </c>
    </row>
    <row r="2871" spans="1:21" ht="57.6" x14ac:dyDescent="0.55000000000000004">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16">
        <f t="shared" si="265"/>
        <v>35.4</v>
      </c>
      <c r="Q2871" t="str">
        <f t="shared" si="268"/>
        <v>theater</v>
      </c>
      <c r="R2871" t="str">
        <f t="shared" si="269"/>
        <v>plays</v>
      </c>
      <c r="S2871" s="4">
        <f t="shared" si="266"/>
        <v>42540.593530092592</v>
      </c>
      <c r="T2871" s="4">
        <f t="shared" si="267"/>
        <v>42570.593530092592</v>
      </c>
      <c r="U2871" s="5">
        <f>VLOOKUP(currency,Tables!$A$1:$C$14,3,FALSE)*pledged</f>
        <v>177</v>
      </c>
    </row>
    <row r="2872" spans="1:21" ht="43.2" x14ac:dyDescent="0.55000000000000004">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264"/>
        <v>0.15</v>
      </c>
      <c r="P2872" s="16">
        <f t="shared" si="265"/>
        <v>83.333333333333329</v>
      </c>
      <c r="Q2872" t="str">
        <f t="shared" si="268"/>
        <v>theater</v>
      </c>
      <c r="R2872" t="str">
        <f t="shared" si="269"/>
        <v>plays</v>
      </c>
      <c r="S2872" s="4">
        <f t="shared" si="266"/>
        <v>41746.189409722225</v>
      </c>
      <c r="T2872" s="4">
        <f t="shared" si="267"/>
        <v>41776.189409722225</v>
      </c>
      <c r="U2872" s="5">
        <f>VLOOKUP(currency,Tables!$A$1:$C$14,3,FALSE)*pledged</f>
        <v>750</v>
      </c>
    </row>
    <row r="2873" spans="1:21" ht="43.2" x14ac:dyDescent="0.55000000000000004">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16">
        <f t="shared" si="265"/>
        <v>35.92307692307692</v>
      </c>
      <c r="Q2873" t="str">
        <f t="shared" si="268"/>
        <v>theater</v>
      </c>
      <c r="R2873" t="str">
        <f t="shared" si="269"/>
        <v>plays</v>
      </c>
      <c r="S2873" s="4">
        <f t="shared" si="266"/>
        <v>41974.738576388889</v>
      </c>
      <c r="T2873" s="4">
        <f t="shared" si="267"/>
        <v>41994.738576388889</v>
      </c>
      <c r="U2873" s="5">
        <f>VLOOKUP(currency,Tables!$A$1:$C$14,3,FALSE)*pledged</f>
        <v>467</v>
      </c>
    </row>
    <row r="2874" spans="1:21" ht="28.8" x14ac:dyDescent="0.55000000000000004">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264"/>
        <v>0</v>
      </c>
      <c r="P2874" s="16">
        <f t="shared" si="265"/>
        <v>0</v>
      </c>
      <c r="Q2874" t="str">
        <f t="shared" si="268"/>
        <v>theater</v>
      </c>
      <c r="R2874" t="str">
        <f t="shared" si="269"/>
        <v>plays</v>
      </c>
      <c r="S2874" s="4">
        <f t="shared" si="266"/>
        <v>42115.11618055556</v>
      </c>
      <c r="T2874" s="4">
        <f t="shared" si="267"/>
        <v>42175.11618055556</v>
      </c>
      <c r="U2874" s="5">
        <f>VLOOKUP(currency,Tables!$A$1:$C$14,3,FALSE)*pledged</f>
        <v>0</v>
      </c>
    </row>
    <row r="2875" spans="1:21" ht="43.2" x14ac:dyDescent="0.55000000000000004">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16">
        <f t="shared" si="265"/>
        <v>119.125</v>
      </c>
      <c r="Q2875" t="str">
        <f t="shared" si="268"/>
        <v>theater</v>
      </c>
      <c r="R2875" t="str">
        <f t="shared" si="269"/>
        <v>plays</v>
      </c>
      <c r="S2875" s="4">
        <f t="shared" si="266"/>
        <v>42002.817488425921</v>
      </c>
      <c r="T2875" s="4">
        <f t="shared" si="267"/>
        <v>42032.817488425921</v>
      </c>
      <c r="U2875" s="5">
        <f>VLOOKUP(currency,Tables!$A$1:$C$14,3,FALSE)*pledged</f>
        <v>953</v>
      </c>
    </row>
    <row r="2876" spans="1:21" ht="43.2" x14ac:dyDescent="0.55000000000000004">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16">
        <f t="shared" si="265"/>
        <v>90.333333333333329</v>
      </c>
      <c r="Q2876" t="str">
        <f t="shared" si="268"/>
        <v>theater</v>
      </c>
      <c r="R2876" t="str">
        <f t="shared" si="269"/>
        <v>plays</v>
      </c>
      <c r="S2876" s="4">
        <f t="shared" si="266"/>
        <v>42722.84474537037</v>
      </c>
      <c r="T2876" s="4">
        <f t="shared" si="267"/>
        <v>42752.84474537037</v>
      </c>
      <c r="U2876" s="5">
        <f>VLOOKUP(currency,Tables!$A$1:$C$14,3,FALSE)*pledged</f>
        <v>271</v>
      </c>
    </row>
    <row r="2877" spans="1:21" ht="43.2" x14ac:dyDescent="0.55000000000000004">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264"/>
        <v>3.5E-4</v>
      </c>
      <c r="P2877" s="16">
        <f t="shared" si="265"/>
        <v>2.3333333333333335</v>
      </c>
      <c r="Q2877" t="str">
        <f t="shared" si="268"/>
        <v>theater</v>
      </c>
      <c r="R2877" t="str">
        <f t="shared" si="269"/>
        <v>plays</v>
      </c>
      <c r="S2877" s="4">
        <f t="shared" si="266"/>
        <v>42465.128391203703</v>
      </c>
      <c r="T2877" s="4">
        <f t="shared" si="267"/>
        <v>42495.128391203703</v>
      </c>
      <c r="U2877" s="5">
        <f>VLOOKUP(currency,Tables!$A$1:$C$14,3,FALSE)*pledged</f>
        <v>7</v>
      </c>
    </row>
    <row r="2878" spans="1:21" ht="43.2" x14ac:dyDescent="0.55000000000000004">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264"/>
        <v>0</v>
      </c>
      <c r="P2878" s="16">
        <f t="shared" si="265"/>
        <v>0</v>
      </c>
      <c r="Q2878" t="str">
        <f t="shared" si="268"/>
        <v>theater</v>
      </c>
      <c r="R2878" t="str">
        <f t="shared" si="269"/>
        <v>plays</v>
      </c>
      <c r="S2878" s="4">
        <f t="shared" si="266"/>
        <v>42171.743969907402</v>
      </c>
      <c r="T2878" s="4">
        <f t="shared" si="267"/>
        <v>42201.743969907402</v>
      </c>
      <c r="U2878" s="5">
        <f>VLOOKUP(currency,Tables!$A$1:$C$14,3,FALSE)*pledged</f>
        <v>0</v>
      </c>
    </row>
    <row r="2879" spans="1:21" ht="43.2" x14ac:dyDescent="0.55000000000000004">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16">
        <f t="shared" si="265"/>
        <v>108.33333333333333</v>
      </c>
      <c r="Q2879" t="str">
        <f t="shared" si="268"/>
        <v>theater</v>
      </c>
      <c r="R2879" t="str">
        <f t="shared" si="269"/>
        <v>plays</v>
      </c>
      <c r="S2879" s="4">
        <f t="shared" si="266"/>
        <v>42672.955138888887</v>
      </c>
      <c r="T2879" s="4">
        <f t="shared" si="267"/>
        <v>42704.708333333328</v>
      </c>
      <c r="U2879" s="5">
        <f>VLOOKUP(currency,Tables!$A$1:$C$14,3,FALSE)*pledged</f>
        <v>650</v>
      </c>
    </row>
    <row r="2880" spans="1:21" ht="43.2" x14ac:dyDescent="0.55000000000000004">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16">
        <f t="shared" si="265"/>
        <v>15.75</v>
      </c>
      <c r="Q2880" t="str">
        <f t="shared" si="268"/>
        <v>theater</v>
      </c>
      <c r="R2880" t="str">
        <f t="shared" si="269"/>
        <v>plays</v>
      </c>
      <c r="S2880" s="4">
        <f t="shared" si="266"/>
        <v>42128.615682870368</v>
      </c>
      <c r="T2880" s="4">
        <f t="shared" si="267"/>
        <v>42188.615682870368</v>
      </c>
      <c r="U2880" s="5">
        <f>VLOOKUP(currency,Tables!$A$1:$C$14,3,FALSE)*pledged</f>
        <v>83.160000000000011</v>
      </c>
    </row>
    <row r="2881" spans="1:21" ht="43.2" x14ac:dyDescent="0.55000000000000004">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16">
        <f t="shared" si="265"/>
        <v>29</v>
      </c>
      <c r="Q2881" t="str">
        <f t="shared" si="268"/>
        <v>theater</v>
      </c>
      <c r="R2881" t="str">
        <f t="shared" si="269"/>
        <v>plays</v>
      </c>
      <c r="S2881" s="4">
        <f t="shared" si="266"/>
        <v>42359.725243055553</v>
      </c>
      <c r="T2881" s="4">
        <f t="shared" si="267"/>
        <v>42389.725243055553</v>
      </c>
      <c r="U2881" s="5">
        <f>VLOOKUP(currency,Tables!$A$1:$C$14,3,FALSE)*pledged</f>
        <v>29</v>
      </c>
    </row>
    <row r="2882" spans="1:21" ht="43.2" x14ac:dyDescent="0.55000000000000004">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ref="O2882:O2945" si="270">pledged/goal</f>
        <v>0.23333333333333334</v>
      </c>
      <c r="P2882" s="16">
        <f t="shared" ref="P2882:P2945" si="271">IF(pledged=0,0,pledged/backers_count)</f>
        <v>96.551724137931032</v>
      </c>
      <c r="Q2882" t="str">
        <f t="shared" si="268"/>
        <v>theater</v>
      </c>
      <c r="R2882" t="str">
        <f t="shared" si="269"/>
        <v>plays</v>
      </c>
      <c r="S2882" s="4">
        <f t="shared" ref="S2882:S2945" si="272">(((Unix_launched_date/60)/60)/24)+DATE(1970,1,1)</f>
        <v>42192.905694444446</v>
      </c>
      <c r="T2882" s="4">
        <f t="shared" ref="T2882:T2945" si="273">(((Unix_deadline/60)/60)/24)+DATE(1970,1,1)</f>
        <v>42236.711805555555</v>
      </c>
      <c r="U2882" s="5">
        <f>VLOOKUP(currency,Tables!$A$1:$C$14,3,FALSE)*pledged</f>
        <v>2800</v>
      </c>
    </row>
    <row r="2883" spans="1:21" ht="43.2" x14ac:dyDescent="0.55000000000000004">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si="270"/>
        <v>0</v>
      </c>
      <c r="P2883" s="16">
        <f t="shared" si="271"/>
        <v>0</v>
      </c>
      <c r="Q2883" t="str">
        <f t="shared" ref="Q2883:Q2946" si="274">LEFT(N2883,FIND("/",N2883,1)-1)</f>
        <v>theater</v>
      </c>
      <c r="R2883" t="str">
        <f t="shared" ref="R2883:R2946" si="275">RIGHT(N2883,(LEN(N2883)-FIND("/",N2883,1)))</f>
        <v>plays</v>
      </c>
      <c r="S2883" s="4">
        <f t="shared" si="272"/>
        <v>41916.597638888888</v>
      </c>
      <c r="T2883" s="4">
        <f t="shared" si="273"/>
        <v>41976.639305555553</v>
      </c>
      <c r="U2883" s="5">
        <f>VLOOKUP(currency,Tables!$A$1:$C$14,3,FALSE)*pledged</f>
        <v>0</v>
      </c>
    </row>
    <row r="2884" spans="1:21" ht="43.2" x14ac:dyDescent="0.55000000000000004">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16">
        <f t="shared" si="271"/>
        <v>63</v>
      </c>
      <c r="Q2884" t="str">
        <f t="shared" si="274"/>
        <v>theater</v>
      </c>
      <c r="R2884" t="str">
        <f t="shared" si="275"/>
        <v>plays</v>
      </c>
      <c r="S2884" s="4">
        <f t="shared" si="272"/>
        <v>42461.596273148149</v>
      </c>
      <c r="T2884" s="4">
        <f t="shared" si="273"/>
        <v>42491.596273148149</v>
      </c>
      <c r="U2884" s="5">
        <f>VLOOKUP(currency,Tables!$A$1:$C$14,3,FALSE)*pledged</f>
        <v>252</v>
      </c>
    </row>
    <row r="2885" spans="1:21" ht="43.2" x14ac:dyDescent="0.55000000000000004">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16">
        <f t="shared" si="271"/>
        <v>381.6</v>
      </c>
      <c r="Q2885" t="str">
        <f t="shared" si="274"/>
        <v>theater</v>
      </c>
      <c r="R2885" t="str">
        <f t="shared" si="275"/>
        <v>plays</v>
      </c>
      <c r="S2885" s="4">
        <f t="shared" si="272"/>
        <v>42370.90320601852</v>
      </c>
      <c r="T2885" s="4">
        <f t="shared" si="273"/>
        <v>42406.207638888889</v>
      </c>
      <c r="U2885" s="5">
        <f>VLOOKUP(currency,Tables!$A$1:$C$14,3,FALSE)*pledged</f>
        <v>1908</v>
      </c>
    </row>
    <row r="2886" spans="1:21" ht="28.8" x14ac:dyDescent="0.55000000000000004">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16">
        <f t="shared" si="271"/>
        <v>46.25</v>
      </c>
      <c r="Q2886" t="str">
        <f t="shared" si="274"/>
        <v>theater</v>
      </c>
      <c r="R2886" t="str">
        <f t="shared" si="275"/>
        <v>plays</v>
      </c>
      <c r="S2886" s="4">
        <f t="shared" si="272"/>
        <v>41948.727256944447</v>
      </c>
      <c r="T2886" s="4">
        <f t="shared" si="273"/>
        <v>41978.727256944447</v>
      </c>
      <c r="U2886" s="5">
        <f>VLOOKUP(currency,Tables!$A$1:$C$14,3,FALSE)*pledged</f>
        <v>185</v>
      </c>
    </row>
    <row r="2887" spans="1:21" ht="28.8" x14ac:dyDescent="0.55000000000000004">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16">
        <f t="shared" si="271"/>
        <v>26</v>
      </c>
      <c r="Q2887" t="str">
        <f t="shared" si="274"/>
        <v>theater</v>
      </c>
      <c r="R2887" t="str">
        <f t="shared" si="275"/>
        <v>plays</v>
      </c>
      <c r="S2887" s="4">
        <f t="shared" si="272"/>
        <v>42047.07640046296</v>
      </c>
      <c r="T2887" s="4">
        <f t="shared" si="273"/>
        <v>42077.034733796296</v>
      </c>
      <c r="U2887" s="5">
        <f>VLOOKUP(currency,Tables!$A$1:$C$14,3,FALSE)*pledged</f>
        <v>130</v>
      </c>
    </row>
    <row r="2888" spans="1:21" ht="43.2" x14ac:dyDescent="0.55000000000000004">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270"/>
        <v>0.05</v>
      </c>
      <c r="P2888" s="16">
        <f t="shared" si="271"/>
        <v>10</v>
      </c>
      <c r="Q2888" t="str">
        <f t="shared" si="274"/>
        <v>theater</v>
      </c>
      <c r="R2888" t="str">
        <f t="shared" si="275"/>
        <v>plays</v>
      </c>
      <c r="S2888" s="4">
        <f t="shared" si="272"/>
        <v>42261.632916666669</v>
      </c>
      <c r="T2888" s="4">
        <f t="shared" si="273"/>
        <v>42266.165972222225</v>
      </c>
      <c r="U2888" s="5">
        <f>VLOOKUP(currency,Tables!$A$1:$C$14,3,FALSE)*pledged</f>
        <v>10</v>
      </c>
    </row>
    <row r="2889" spans="1:21" ht="43.2" x14ac:dyDescent="0.55000000000000004">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16">
        <f t="shared" si="271"/>
        <v>5</v>
      </c>
      <c r="Q2889" t="str">
        <f t="shared" si="274"/>
        <v>theater</v>
      </c>
      <c r="R2889" t="str">
        <f t="shared" si="275"/>
        <v>plays</v>
      </c>
      <c r="S2889" s="4">
        <f t="shared" si="272"/>
        <v>41985.427361111113</v>
      </c>
      <c r="T2889" s="4">
        <f t="shared" si="273"/>
        <v>42015.427361111113</v>
      </c>
      <c r="U2889" s="5">
        <f>VLOOKUP(currency,Tables!$A$1:$C$14,3,FALSE)*pledged</f>
        <v>5</v>
      </c>
    </row>
    <row r="2890" spans="1:21" ht="43.2" x14ac:dyDescent="0.55000000000000004">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270"/>
        <v>0</v>
      </c>
      <c r="P2890" s="16">
        <f t="shared" si="271"/>
        <v>0</v>
      </c>
      <c r="Q2890" t="str">
        <f t="shared" si="274"/>
        <v>theater</v>
      </c>
      <c r="R2890" t="str">
        <f t="shared" si="275"/>
        <v>plays</v>
      </c>
      <c r="S2890" s="4">
        <f t="shared" si="272"/>
        <v>41922.535185185188</v>
      </c>
      <c r="T2890" s="4">
        <f t="shared" si="273"/>
        <v>41930.207638888889</v>
      </c>
      <c r="U2890" s="5">
        <f>VLOOKUP(currency,Tables!$A$1:$C$14,3,FALSE)*pledged</f>
        <v>0</v>
      </c>
    </row>
    <row r="2891" spans="1:21" ht="43.2" x14ac:dyDescent="0.55000000000000004">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16">
        <f t="shared" si="271"/>
        <v>81.571428571428569</v>
      </c>
      <c r="Q2891" t="str">
        <f t="shared" si="274"/>
        <v>theater</v>
      </c>
      <c r="R2891" t="str">
        <f t="shared" si="275"/>
        <v>plays</v>
      </c>
      <c r="S2891" s="4">
        <f t="shared" si="272"/>
        <v>41850.863252314812</v>
      </c>
      <c r="T2891" s="4">
        <f t="shared" si="273"/>
        <v>41880.863252314812</v>
      </c>
      <c r="U2891" s="5">
        <f>VLOOKUP(currency,Tables!$A$1:$C$14,3,FALSE)*pledged</f>
        <v>1142</v>
      </c>
    </row>
    <row r="2892" spans="1:21" ht="43.2" x14ac:dyDescent="0.55000000000000004">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16">
        <f t="shared" si="271"/>
        <v>7</v>
      </c>
      <c r="Q2892" t="str">
        <f t="shared" si="274"/>
        <v>theater</v>
      </c>
      <c r="R2892" t="str">
        <f t="shared" si="275"/>
        <v>plays</v>
      </c>
      <c r="S2892" s="4">
        <f t="shared" si="272"/>
        <v>41831.742962962962</v>
      </c>
      <c r="T2892" s="4">
        <f t="shared" si="273"/>
        <v>41860.125</v>
      </c>
      <c r="U2892" s="5">
        <f>VLOOKUP(currency,Tables!$A$1:$C$14,3,FALSE)*pledged</f>
        <v>21</v>
      </c>
    </row>
    <row r="2893" spans="1:21" ht="43.2" x14ac:dyDescent="0.55000000000000004">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16">
        <f t="shared" si="271"/>
        <v>27.3</v>
      </c>
      <c r="Q2893" t="str">
        <f t="shared" si="274"/>
        <v>theater</v>
      </c>
      <c r="R2893" t="str">
        <f t="shared" si="275"/>
        <v>plays</v>
      </c>
      <c r="S2893" s="4">
        <f t="shared" si="272"/>
        <v>42415.883425925931</v>
      </c>
      <c r="T2893" s="4">
        <f t="shared" si="273"/>
        <v>42475.84175925926</v>
      </c>
      <c r="U2893" s="5">
        <f>VLOOKUP(currency,Tables!$A$1:$C$14,3,FALSE)*pledged</f>
        <v>273</v>
      </c>
    </row>
    <row r="2894" spans="1:21" ht="43.2" x14ac:dyDescent="0.55000000000000004">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16">
        <f t="shared" si="271"/>
        <v>29.411764705882351</v>
      </c>
      <c r="Q2894" t="str">
        <f t="shared" si="274"/>
        <v>theater</v>
      </c>
      <c r="R2894" t="str">
        <f t="shared" si="275"/>
        <v>plays</v>
      </c>
      <c r="S2894" s="4">
        <f t="shared" si="272"/>
        <v>41869.714166666665</v>
      </c>
      <c r="T2894" s="4">
        <f t="shared" si="273"/>
        <v>41876.875</v>
      </c>
      <c r="U2894" s="5">
        <f>VLOOKUP(currency,Tables!$A$1:$C$14,3,FALSE)*pledged</f>
        <v>500</v>
      </c>
    </row>
    <row r="2895" spans="1:21" x14ac:dyDescent="0.55000000000000004">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16">
        <f t="shared" si="271"/>
        <v>12.5</v>
      </c>
      <c r="Q2895" t="str">
        <f t="shared" si="274"/>
        <v>theater</v>
      </c>
      <c r="R2895" t="str">
        <f t="shared" si="275"/>
        <v>plays</v>
      </c>
      <c r="S2895" s="4">
        <f t="shared" si="272"/>
        <v>41953.773090277777</v>
      </c>
      <c r="T2895" s="4">
        <f t="shared" si="273"/>
        <v>42013.083333333328</v>
      </c>
      <c r="U2895" s="5">
        <f>VLOOKUP(currency,Tables!$A$1:$C$14,3,FALSE)*pledged</f>
        <v>25</v>
      </c>
    </row>
    <row r="2896" spans="1:21" ht="28.8" x14ac:dyDescent="0.55000000000000004">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270"/>
        <v>0</v>
      </c>
      <c r="P2896" s="16">
        <f t="shared" si="271"/>
        <v>0</v>
      </c>
      <c r="Q2896" t="str">
        <f t="shared" si="274"/>
        <v>theater</v>
      </c>
      <c r="R2896" t="str">
        <f t="shared" si="275"/>
        <v>plays</v>
      </c>
      <c r="S2896" s="4">
        <f t="shared" si="272"/>
        <v>42037.986284722225</v>
      </c>
      <c r="T2896" s="4">
        <f t="shared" si="273"/>
        <v>42097.944618055553</v>
      </c>
      <c r="U2896" s="5">
        <f>VLOOKUP(currency,Tables!$A$1:$C$14,3,FALSE)*pledged</f>
        <v>0</v>
      </c>
    </row>
    <row r="2897" spans="1:21" ht="43.2" x14ac:dyDescent="0.55000000000000004">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16">
        <f t="shared" si="271"/>
        <v>5.75</v>
      </c>
      <c r="Q2897" t="str">
        <f t="shared" si="274"/>
        <v>theater</v>
      </c>
      <c r="R2897" t="str">
        <f t="shared" si="275"/>
        <v>plays</v>
      </c>
      <c r="S2897" s="4">
        <f t="shared" si="272"/>
        <v>41811.555462962962</v>
      </c>
      <c r="T2897" s="4">
        <f t="shared" si="273"/>
        <v>41812.875</v>
      </c>
      <c r="U2897" s="5">
        <f>VLOOKUP(currency,Tables!$A$1:$C$14,3,FALSE)*pledged</f>
        <v>23</v>
      </c>
    </row>
    <row r="2898" spans="1:21" ht="43.2" x14ac:dyDescent="0.55000000000000004">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16">
        <f t="shared" si="271"/>
        <v>52.083333333333336</v>
      </c>
      <c r="Q2898" t="str">
        <f t="shared" si="274"/>
        <v>theater</v>
      </c>
      <c r="R2898" t="str">
        <f t="shared" si="275"/>
        <v>plays</v>
      </c>
      <c r="S2898" s="4">
        <f t="shared" si="272"/>
        <v>42701.908807870372</v>
      </c>
      <c r="T2898" s="4">
        <f t="shared" si="273"/>
        <v>42716.25</v>
      </c>
      <c r="U2898" s="5">
        <f>VLOOKUP(currency,Tables!$A$1:$C$14,3,FALSE)*pledged</f>
        <v>625</v>
      </c>
    </row>
    <row r="2899" spans="1:21" ht="43.2" x14ac:dyDescent="0.55000000000000004">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16">
        <f t="shared" si="271"/>
        <v>183.33333333333334</v>
      </c>
      <c r="Q2899" t="str">
        <f t="shared" si="274"/>
        <v>theater</v>
      </c>
      <c r="R2899" t="str">
        <f t="shared" si="275"/>
        <v>plays</v>
      </c>
      <c r="S2899" s="4">
        <f t="shared" si="272"/>
        <v>42258.646504629629</v>
      </c>
      <c r="T2899" s="4">
        <f t="shared" si="273"/>
        <v>42288.645196759258</v>
      </c>
      <c r="U2899" s="5">
        <f>VLOOKUP(currency,Tables!$A$1:$C$14,3,FALSE)*pledged</f>
        <v>550</v>
      </c>
    </row>
    <row r="2900" spans="1:21" ht="43.2" x14ac:dyDescent="0.55000000000000004">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16">
        <f t="shared" si="271"/>
        <v>26.333333333333332</v>
      </c>
      <c r="Q2900" t="str">
        <f t="shared" si="274"/>
        <v>theater</v>
      </c>
      <c r="R2900" t="str">
        <f t="shared" si="275"/>
        <v>plays</v>
      </c>
      <c r="S2900" s="4">
        <f t="shared" si="272"/>
        <v>42278.664965277778</v>
      </c>
      <c r="T2900" s="4">
        <f t="shared" si="273"/>
        <v>42308.664965277778</v>
      </c>
      <c r="U2900" s="5">
        <f>VLOOKUP(currency,Tables!$A$1:$C$14,3,FALSE)*pledged</f>
        <v>316</v>
      </c>
    </row>
    <row r="2901" spans="1:21" ht="43.2" x14ac:dyDescent="0.55000000000000004">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270"/>
        <v>0</v>
      </c>
      <c r="P2901" s="16">
        <f t="shared" si="271"/>
        <v>0</v>
      </c>
      <c r="Q2901" t="str">
        <f t="shared" si="274"/>
        <v>theater</v>
      </c>
      <c r="R2901" t="str">
        <f t="shared" si="275"/>
        <v>plays</v>
      </c>
      <c r="S2901" s="4">
        <f t="shared" si="272"/>
        <v>42515.078217592592</v>
      </c>
      <c r="T2901" s="4">
        <f t="shared" si="273"/>
        <v>42575.078217592592</v>
      </c>
      <c r="U2901" s="5">
        <f>VLOOKUP(currency,Tables!$A$1:$C$14,3,FALSE)*pledged</f>
        <v>0</v>
      </c>
    </row>
    <row r="2902" spans="1:21" ht="57.6" x14ac:dyDescent="0.55000000000000004">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16">
        <f t="shared" si="271"/>
        <v>486.42857142857144</v>
      </c>
      <c r="Q2902" t="str">
        <f t="shared" si="274"/>
        <v>theater</v>
      </c>
      <c r="R2902" t="str">
        <f t="shared" si="275"/>
        <v>plays</v>
      </c>
      <c r="S2902" s="4">
        <f t="shared" si="272"/>
        <v>41830.234166666669</v>
      </c>
      <c r="T2902" s="4">
        <f t="shared" si="273"/>
        <v>41860.234166666669</v>
      </c>
      <c r="U2902" s="5">
        <f>VLOOKUP(currency,Tables!$A$1:$C$14,3,FALSE)*pledged</f>
        <v>3405</v>
      </c>
    </row>
    <row r="2903" spans="1:21" ht="43.2" x14ac:dyDescent="0.55000000000000004">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16">
        <f t="shared" si="271"/>
        <v>3</v>
      </c>
      <c r="Q2903" t="str">
        <f t="shared" si="274"/>
        <v>theater</v>
      </c>
      <c r="R2903" t="str">
        <f t="shared" si="275"/>
        <v>plays</v>
      </c>
      <c r="S2903" s="4">
        <f t="shared" si="272"/>
        <v>41982.904386574075</v>
      </c>
      <c r="T2903" s="4">
        <f t="shared" si="273"/>
        <v>42042.904386574075</v>
      </c>
      <c r="U2903" s="5">
        <f>VLOOKUP(currency,Tables!$A$1:$C$14,3,FALSE)*pledged</f>
        <v>6</v>
      </c>
    </row>
    <row r="2904" spans="1:21" ht="43.2" x14ac:dyDescent="0.55000000000000004">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16">
        <f t="shared" si="271"/>
        <v>25</v>
      </c>
      <c r="Q2904" t="str">
        <f t="shared" si="274"/>
        <v>theater</v>
      </c>
      <c r="R2904" t="str">
        <f t="shared" si="275"/>
        <v>plays</v>
      </c>
      <c r="S2904" s="4">
        <f t="shared" si="272"/>
        <v>42210.439768518518</v>
      </c>
      <c r="T2904" s="4">
        <f t="shared" si="273"/>
        <v>42240.439768518518</v>
      </c>
      <c r="U2904" s="5">
        <f>VLOOKUP(currency,Tables!$A$1:$C$14,3,FALSE)*pledged</f>
        <v>25</v>
      </c>
    </row>
    <row r="2905" spans="1:21" ht="43.2" x14ac:dyDescent="0.55000000000000004">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16">
        <f t="shared" si="271"/>
        <v>9.75</v>
      </c>
      <c r="Q2905" t="str">
        <f t="shared" si="274"/>
        <v>theater</v>
      </c>
      <c r="R2905" t="str">
        <f t="shared" si="275"/>
        <v>plays</v>
      </c>
      <c r="S2905" s="4">
        <f t="shared" si="272"/>
        <v>42196.166874999995</v>
      </c>
      <c r="T2905" s="4">
        <f t="shared" si="273"/>
        <v>42256.166874999995</v>
      </c>
      <c r="U2905" s="5">
        <f>VLOOKUP(currency,Tables!$A$1:$C$14,3,FALSE)*pledged</f>
        <v>39</v>
      </c>
    </row>
    <row r="2906" spans="1:21" ht="43.2" x14ac:dyDescent="0.55000000000000004">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270"/>
        <v>0.05</v>
      </c>
      <c r="P2906" s="16">
        <f t="shared" si="271"/>
        <v>18.75</v>
      </c>
      <c r="Q2906" t="str">
        <f t="shared" si="274"/>
        <v>theater</v>
      </c>
      <c r="R2906" t="str">
        <f t="shared" si="275"/>
        <v>plays</v>
      </c>
      <c r="S2906" s="4">
        <f t="shared" si="272"/>
        <v>41940.967951388891</v>
      </c>
      <c r="T2906" s="4">
        <f t="shared" si="273"/>
        <v>41952.5</v>
      </c>
      <c r="U2906" s="5">
        <f>VLOOKUP(currency,Tables!$A$1:$C$14,3,FALSE)*pledged</f>
        <v>99</v>
      </c>
    </row>
    <row r="2907" spans="1:21" ht="43.2" x14ac:dyDescent="0.55000000000000004">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16">
        <f t="shared" si="271"/>
        <v>36.588235294117645</v>
      </c>
      <c r="Q2907" t="str">
        <f t="shared" si="274"/>
        <v>theater</v>
      </c>
      <c r="R2907" t="str">
        <f t="shared" si="275"/>
        <v>plays</v>
      </c>
      <c r="S2907" s="4">
        <f t="shared" si="272"/>
        <v>42606.056863425925</v>
      </c>
      <c r="T2907" s="4">
        <f t="shared" si="273"/>
        <v>42620.056863425925</v>
      </c>
      <c r="U2907" s="5">
        <f>VLOOKUP(currency,Tables!$A$1:$C$14,3,FALSE)*pledged</f>
        <v>622</v>
      </c>
    </row>
    <row r="2908" spans="1:21" ht="43.2" x14ac:dyDescent="0.55000000000000004">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16">
        <f t="shared" si="271"/>
        <v>80.714285714285708</v>
      </c>
      <c r="Q2908" t="str">
        <f t="shared" si="274"/>
        <v>theater</v>
      </c>
      <c r="R2908" t="str">
        <f t="shared" si="275"/>
        <v>plays</v>
      </c>
      <c r="S2908" s="4">
        <f t="shared" si="272"/>
        <v>42199.648912037039</v>
      </c>
      <c r="T2908" s="4">
        <f t="shared" si="273"/>
        <v>42217.041666666672</v>
      </c>
      <c r="U2908" s="5">
        <f>VLOOKUP(currency,Tables!$A$1:$C$14,3,FALSE)*pledged</f>
        <v>565</v>
      </c>
    </row>
    <row r="2909" spans="1:21" ht="43.2" x14ac:dyDescent="0.55000000000000004">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16">
        <f t="shared" si="271"/>
        <v>1</v>
      </c>
      <c r="Q2909" t="str">
        <f t="shared" si="274"/>
        <v>theater</v>
      </c>
      <c r="R2909" t="str">
        <f t="shared" si="275"/>
        <v>plays</v>
      </c>
      <c r="S2909" s="4">
        <f t="shared" si="272"/>
        <v>42444.877743055549</v>
      </c>
      <c r="T2909" s="4">
        <f t="shared" si="273"/>
        <v>42504.877743055549</v>
      </c>
      <c r="U2909" s="5">
        <f>VLOOKUP(currency,Tables!$A$1:$C$14,3,FALSE)*pledged</f>
        <v>2</v>
      </c>
    </row>
    <row r="2910" spans="1:21" ht="57.6" x14ac:dyDescent="0.55000000000000004">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270"/>
        <v>2.75E-2</v>
      </c>
      <c r="P2910" s="16">
        <f t="shared" si="271"/>
        <v>52.8</v>
      </c>
      <c r="Q2910" t="str">
        <f t="shared" si="274"/>
        <v>theater</v>
      </c>
      <c r="R2910" t="str">
        <f t="shared" si="275"/>
        <v>plays</v>
      </c>
      <c r="S2910" s="4">
        <f t="shared" si="272"/>
        <v>42499.731701388882</v>
      </c>
      <c r="T2910" s="4">
        <f t="shared" si="273"/>
        <v>42529.731701388882</v>
      </c>
      <c r="U2910" s="5">
        <f>VLOOKUP(currency,Tables!$A$1:$C$14,3,FALSE)*pledged</f>
        <v>264</v>
      </c>
    </row>
    <row r="2911" spans="1:21" ht="43.2" x14ac:dyDescent="0.55000000000000004">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16">
        <f t="shared" si="271"/>
        <v>20</v>
      </c>
      <c r="Q2911" t="str">
        <f t="shared" si="274"/>
        <v>theater</v>
      </c>
      <c r="R2911" t="str">
        <f t="shared" si="275"/>
        <v>plays</v>
      </c>
      <c r="S2911" s="4">
        <f t="shared" si="272"/>
        <v>41929.266215277778</v>
      </c>
      <c r="T2911" s="4">
        <f t="shared" si="273"/>
        <v>41968.823611111111</v>
      </c>
      <c r="U2911" s="5">
        <f>VLOOKUP(currency,Tables!$A$1:$C$14,3,FALSE)*pledged</f>
        <v>20</v>
      </c>
    </row>
    <row r="2912" spans="1:21" ht="43.2" x14ac:dyDescent="0.55000000000000004">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16">
        <f t="shared" si="271"/>
        <v>1</v>
      </c>
      <c r="Q2912" t="str">
        <f t="shared" si="274"/>
        <v>theater</v>
      </c>
      <c r="R2912" t="str">
        <f t="shared" si="275"/>
        <v>plays</v>
      </c>
      <c r="S2912" s="4">
        <f t="shared" si="272"/>
        <v>42107.841284722221</v>
      </c>
      <c r="T2912" s="4">
        <f t="shared" si="273"/>
        <v>42167.841284722221</v>
      </c>
      <c r="U2912" s="5">
        <f>VLOOKUP(currency,Tables!$A$1:$C$14,3,FALSE)*pledged</f>
        <v>1.32</v>
      </c>
    </row>
    <row r="2913" spans="1:21" ht="43.2" x14ac:dyDescent="0.55000000000000004">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16">
        <f t="shared" si="271"/>
        <v>46.928571428571431</v>
      </c>
      <c r="Q2913" t="str">
        <f t="shared" si="274"/>
        <v>theater</v>
      </c>
      <c r="R2913" t="str">
        <f t="shared" si="275"/>
        <v>plays</v>
      </c>
      <c r="S2913" s="4">
        <f t="shared" si="272"/>
        <v>42142.768819444449</v>
      </c>
      <c r="T2913" s="4">
        <f t="shared" si="273"/>
        <v>42182.768819444449</v>
      </c>
      <c r="U2913" s="5">
        <f>VLOOKUP(currency,Tables!$A$1:$C$14,3,FALSE)*pledged</f>
        <v>657</v>
      </c>
    </row>
    <row r="2914" spans="1:21" ht="43.2" x14ac:dyDescent="0.55000000000000004">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16">
        <f t="shared" si="271"/>
        <v>78.07692307692308</v>
      </c>
      <c r="Q2914" t="str">
        <f t="shared" si="274"/>
        <v>theater</v>
      </c>
      <c r="R2914" t="str">
        <f t="shared" si="275"/>
        <v>plays</v>
      </c>
      <c r="S2914" s="4">
        <f t="shared" si="272"/>
        <v>42354.131643518514</v>
      </c>
      <c r="T2914" s="4">
        <f t="shared" si="273"/>
        <v>42384.131643518514</v>
      </c>
      <c r="U2914" s="5">
        <f>VLOOKUP(currency,Tables!$A$1:$C$14,3,FALSE)*pledged</f>
        <v>2030</v>
      </c>
    </row>
    <row r="2915" spans="1:21" ht="43.2" x14ac:dyDescent="0.55000000000000004">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16">
        <f t="shared" si="271"/>
        <v>1</v>
      </c>
      <c r="Q2915" t="str">
        <f t="shared" si="274"/>
        <v>theater</v>
      </c>
      <c r="R2915" t="str">
        <f t="shared" si="275"/>
        <v>plays</v>
      </c>
      <c r="S2915" s="4">
        <f t="shared" si="272"/>
        <v>41828.922905092593</v>
      </c>
      <c r="T2915" s="4">
        <f t="shared" si="273"/>
        <v>41888.922905092593</v>
      </c>
      <c r="U2915" s="5">
        <f>VLOOKUP(currency,Tables!$A$1:$C$14,3,FALSE)*pledged</f>
        <v>2</v>
      </c>
    </row>
    <row r="2916" spans="1:21" ht="28.8" x14ac:dyDescent="0.55000000000000004">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16">
        <f t="shared" si="271"/>
        <v>1</v>
      </c>
      <c r="Q2916" t="str">
        <f t="shared" si="274"/>
        <v>theater</v>
      </c>
      <c r="R2916" t="str">
        <f t="shared" si="275"/>
        <v>plays</v>
      </c>
      <c r="S2916" s="4">
        <f t="shared" si="272"/>
        <v>42017.907337962963</v>
      </c>
      <c r="T2916" s="4">
        <f t="shared" si="273"/>
        <v>42077.865671296298</v>
      </c>
      <c r="U2916" s="5">
        <f>VLOOKUP(currency,Tables!$A$1:$C$14,3,FALSE)*pledged</f>
        <v>1.32</v>
      </c>
    </row>
    <row r="2917" spans="1:21" ht="43.2" x14ac:dyDescent="0.55000000000000004">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16">
        <f t="shared" si="271"/>
        <v>203.66666666666666</v>
      </c>
      <c r="Q2917" t="str">
        <f t="shared" si="274"/>
        <v>theater</v>
      </c>
      <c r="R2917" t="str">
        <f t="shared" si="275"/>
        <v>plays</v>
      </c>
      <c r="S2917" s="4">
        <f t="shared" si="272"/>
        <v>42415.398032407407</v>
      </c>
      <c r="T2917" s="4">
        <f t="shared" si="273"/>
        <v>42445.356365740736</v>
      </c>
      <c r="U2917" s="5">
        <f>VLOOKUP(currency,Tables!$A$1:$C$14,3,FALSE)*pledged</f>
        <v>806.52</v>
      </c>
    </row>
    <row r="2918" spans="1:21" ht="28.8" x14ac:dyDescent="0.55000000000000004">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16">
        <f t="shared" si="271"/>
        <v>20.714285714285715</v>
      </c>
      <c r="Q2918" t="str">
        <f t="shared" si="274"/>
        <v>theater</v>
      </c>
      <c r="R2918" t="str">
        <f t="shared" si="275"/>
        <v>plays</v>
      </c>
      <c r="S2918" s="4">
        <f t="shared" si="272"/>
        <v>41755.476724537039</v>
      </c>
      <c r="T2918" s="4">
        <f t="shared" si="273"/>
        <v>41778.476724537039</v>
      </c>
      <c r="U2918" s="5">
        <f>VLOOKUP(currency,Tables!$A$1:$C$14,3,FALSE)*pledged</f>
        <v>191.4</v>
      </c>
    </row>
    <row r="2919" spans="1:21" ht="43.2" x14ac:dyDescent="0.55000000000000004">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270"/>
        <v>0.2185</v>
      </c>
      <c r="P2919" s="16">
        <f t="shared" si="271"/>
        <v>48.555555555555557</v>
      </c>
      <c r="Q2919" t="str">
        <f t="shared" si="274"/>
        <v>theater</v>
      </c>
      <c r="R2919" t="str">
        <f t="shared" si="275"/>
        <v>plays</v>
      </c>
      <c r="S2919" s="4">
        <f t="shared" si="272"/>
        <v>42245.234340277777</v>
      </c>
      <c r="T2919" s="4">
        <f t="shared" si="273"/>
        <v>42263.234340277777</v>
      </c>
      <c r="U2919" s="5">
        <f>VLOOKUP(currency,Tables!$A$1:$C$14,3,FALSE)*pledged</f>
        <v>437</v>
      </c>
    </row>
    <row r="2920" spans="1:21" ht="43.2" x14ac:dyDescent="0.55000000000000004">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16">
        <f t="shared" si="271"/>
        <v>68.099999999999994</v>
      </c>
      <c r="Q2920" t="str">
        <f t="shared" si="274"/>
        <v>theater</v>
      </c>
      <c r="R2920" t="str">
        <f t="shared" si="275"/>
        <v>plays</v>
      </c>
      <c r="S2920" s="4">
        <f t="shared" si="272"/>
        <v>42278.629710648151</v>
      </c>
      <c r="T2920" s="4">
        <f t="shared" si="273"/>
        <v>42306.629710648151</v>
      </c>
      <c r="U2920" s="5">
        <f>VLOOKUP(currency,Tables!$A$1:$C$14,3,FALSE)*pledged</f>
        <v>1362</v>
      </c>
    </row>
    <row r="2921" spans="1:21" ht="43.2" x14ac:dyDescent="0.55000000000000004">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16">
        <f t="shared" si="271"/>
        <v>8.5</v>
      </c>
      <c r="Q2921" t="str">
        <f t="shared" si="274"/>
        <v>theater</v>
      </c>
      <c r="R2921" t="str">
        <f t="shared" si="275"/>
        <v>plays</v>
      </c>
      <c r="S2921" s="4">
        <f t="shared" si="272"/>
        <v>41826.61954861111</v>
      </c>
      <c r="T2921" s="4">
        <f t="shared" si="273"/>
        <v>41856.61954861111</v>
      </c>
      <c r="U2921" s="5">
        <f>VLOOKUP(currency,Tables!$A$1:$C$14,3,FALSE)*pledged</f>
        <v>51</v>
      </c>
    </row>
    <row r="2922" spans="1:21" ht="43.2" x14ac:dyDescent="0.55000000000000004">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16">
        <f t="shared" si="271"/>
        <v>51.615384615384613</v>
      </c>
      <c r="Q2922" t="str">
        <f t="shared" si="274"/>
        <v>theater</v>
      </c>
      <c r="R2922" t="str">
        <f t="shared" si="275"/>
        <v>plays</v>
      </c>
      <c r="S2922" s="4">
        <f t="shared" si="272"/>
        <v>42058.792476851857</v>
      </c>
      <c r="T2922" s="4">
        <f t="shared" si="273"/>
        <v>42088.750810185185</v>
      </c>
      <c r="U2922" s="5">
        <f>VLOOKUP(currency,Tables!$A$1:$C$14,3,FALSE)*pledged</f>
        <v>509.96</v>
      </c>
    </row>
    <row r="2923" spans="1:21" ht="28.8" x14ac:dyDescent="0.55000000000000004">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270"/>
        <v>1.29</v>
      </c>
      <c r="P2923" s="16">
        <f t="shared" si="271"/>
        <v>43</v>
      </c>
      <c r="Q2923" t="str">
        <f t="shared" si="274"/>
        <v>theater</v>
      </c>
      <c r="R2923" t="str">
        <f t="shared" si="275"/>
        <v>musical</v>
      </c>
      <c r="S2923" s="4">
        <f t="shared" si="272"/>
        <v>41877.886620370373</v>
      </c>
      <c r="T2923" s="4">
        <f t="shared" si="273"/>
        <v>41907.886620370373</v>
      </c>
      <c r="U2923" s="5">
        <f>VLOOKUP(currency,Tables!$A$1:$C$14,3,FALSE)*pledged</f>
        <v>129</v>
      </c>
    </row>
    <row r="2924" spans="1:21" ht="43.2" x14ac:dyDescent="0.55000000000000004">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270"/>
        <v>1</v>
      </c>
      <c r="P2924" s="16">
        <f t="shared" si="271"/>
        <v>83.333333333333329</v>
      </c>
      <c r="Q2924" t="str">
        <f t="shared" si="274"/>
        <v>theater</v>
      </c>
      <c r="R2924" t="str">
        <f t="shared" si="275"/>
        <v>musical</v>
      </c>
      <c r="S2924" s="4">
        <f t="shared" si="272"/>
        <v>42097.874155092592</v>
      </c>
      <c r="T2924" s="4">
        <f t="shared" si="273"/>
        <v>42142.874155092592</v>
      </c>
      <c r="U2924" s="5">
        <f>VLOOKUP(currency,Tables!$A$1:$C$14,3,FALSE)*pledged</f>
        <v>660</v>
      </c>
    </row>
    <row r="2925" spans="1:21" ht="43.2" x14ac:dyDescent="0.55000000000000004">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270"/>
        <v>1</v>
      </c>
      <c r="P2925" s="16">
        <f t="shared" si="271"/>
        <v>30</v>
      </c>
      <c r="Q2925" t="str">
        <f t="shared" si="274"/>
        <v>theater</v>
      </c>
      <c r="R2925" t="str">
        <f t="shared" si="275"/>
        <v>musical</v>
      </c>
      <c r="S2925" s="4">
        <f t="shared" si="272"/>
        <v>42013.15253472222</v>
      </c>
      <c r="T2925" s="4">
        <f t="shared" si="273"/>
        <v>42028.125</v>
      </c>
      <c r="U2925" s="5">
        <f>VLOOKUP(currency,Tables!$A$1:$C$14,3,FALSE)*pledged</f>
        <v>300</v>
      </c>
    </row>
    <row r="2926" spans="1:21" ht="43.2" x14ac:dyDescent="0.55000000000000004">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16">
        <f t="shared" si="271"/>
        <v>175.51020408163265</v>
      </c>
      <c r="Q2926" t="str">
        <f t="shared" si="274"/>
        <v>theater</v>
      </c>
      <c r="R2926" t="str">
        <f t="shared" si="275"/>
        <v>musical</v>
      </c>
      <c r="S2926" s="4">
        <f t="shared" si="272"/>
        <v>42103.556828703702</v>
      </c>
      <c r="T2926" s="4">
        <f t="shared" si="273"/>
        <v>42133.165972222225</v>
      </c>
      <c r="U2926" s="5">
        <f>VLOOKUP(currency,Tables!$A$1:$C$14,3,FALSE)*pledged</f>
        <v>25800</v>
      </c>
    </row>
    <row r="2927" spans="1:21" ht="43.2" x14ac:dyDescent="0.55000000000000004">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16">
        <f t="shared" si="271"/>
        <v>231.66175879396985</v>
      </c>
      <c r="Q2927" t="str">
        <f t="shared" si="274"/>
        <v>theater</v>
      </c>
      <c r="R2927" t="str">
        <f t="shared" si="275"/>
        <v>musical</v>
      </c>
      <c r="S2927" s="4">
        <f t="shared" si="272"/>
        <v>41863.584120370368</v>
      </c>
      <c r="T2927" s="4">
        <f t="shared" si="273"/>
        <v>41893.584120370368</v>
      </c>
      <c r="U2927" s="5">
        <f>VLOOKUP(currency,Tables!$A$1:$C$14,3,FALSE)*pledged</f>
        <v>46100.69</v>
      </c>
    </row>
    <row r="2928" spans="1:21" ht="43.2" x14ac:dyDescent="0.55000000000000004">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270"/>
        <v>1.25</v>
      </c>
      <c r="P2928" s="16">
        <f t="shared" si="271"/>
        <v>75</v>
      </c>
      <c r="Q2928" t="str">
        <f t="shared" si="274"/>
        <v>theater</v>
      </c>
      <c r="R2928" t="str">
        <f t="shared" si="275"/>
        <v>musical</v>
      </c>
      <c r="S2928" s="4">
        <f t="shared" si="272"/>
        <v>42044.765960648147</v>
      </c>
      <c r="T2928" s="4">
        <f t="shared" si="273"/>
        <v>42058.765960648147</v>
      </c>
      <c r="U2928" s="5">
        <f>VLOOKUP(currency,Tables!$A$1:$C$14,3,FALSE)*pledged</f>
        <v>3750</v>
      </c>
    </row>
    <row r="2929" spans="1:21" ht="43.2" x14ac:dyDescent="0.55000000000000004">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16">
        <f t="shared" si="271"/>
        <v>112.14285714285714</v>
      </c>
      <c r="Q2929" t="str">
        <f t="shared" si="274"/>
        <v>theater</v>
      </c>
      <c r="R2929" t="str">
        <f t="shared" si="275"/>
        <v>musical</v>
      </c>
      <c r="S2929" s="4">
        <f t="shared" si="272"/>
        <v>41806.669317129628</v>
      </c>
      <c r="T2929" s="4">
        <f t="shared" si="273"/>
        <v>41835.208333333336</v>
      </c>
      <c r="U2929" s="5">
        <f>VLOOKUP(currency,Tables!$A$1:$C$14,3,FALSE)*pledged</f>
        <v>2355</v>
      </c>
    </row>
    <row r="2930" spans="1:21" ht="28.8" x14ac:dyDescent="0.55000000000000004">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270"/>
        <v>1</v>
      </c>
      <c r="P2930" s="16">
        <f t="shared" si="271"/>
        <v>41.666666666666664</v>
      </c>
      <c r="Q2930" t="str">
        <f t="shared" si="274"/>
        <v>theater</v>
      </c>
      <c r="R2930" t="str">
        <f t="shared" si="275"/>
        <v>musical</v>
      </c>
      <c r="S2930" s="4">
        <f t="shared" si="272"/>
        <v>42403.998217592598</v>
      </c>
      <c r="T2930" s="4">
        <f t="shared" si="273"/>
        <v>42433.998217592598</v>
      </c>
      <c r="U2930" s="5">
        <f>VLOOKUP(currency,Tables!$A$1:$C$14,3,FALSE)*pledged</f>
        <v>1000</v>
      </c>
    </row>
    <row r="2931" spans="1:21" ht="43.2" x14ac:dyDescent="0.55000000000000004">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16">
        <f t="shared" si="271"/>
        <v>255.17343750000001</v>
      </c>
      <c r="Q2931" t="str">
        <f t="shared" si="274"/>
        <v>theater</v>
      </c>
      <c r="R2931" t="str">
        <f t="shared" si="275"/>
        <v>musical</v>
      </c>
      <c r="S2931" s="4">
        <f t="shared" si="272"/>
        <v>41754.564328703702</v>
      </c>
      <c r="T2931" s="4">
        <f t="shared" si="273"/>
        <v>41784.564328703702</v>
      </c>
      <c r="U2931" s="5">
        <f>VLOOKUP(currency,Tables!$A$1:$C$14,3,FALSE)*pledged</f>
        <v>8165.55</v>
      </c>
    </row>
    <row r="2932" spans="1:21" ht="43.2" x14ac:dyDescent="0.55000000000000004">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16">
        <f t="shared" si="271"/>
        <v>162.7741935483871</v>
      </c>
      <c r="Q2932" t="str">
        <f t="shared" si="274"/>
        <v>theater</v>
      </c>
      <c r="R2932" t="str">
        <f t="shared" si="275"/>
        <v>musical</v>
      </c>
      <c r="S2932" s="4">
        <f t="shared" si="272"/>
        <v>42101.584074074075</v>
      </c>
      <c r="T2932" s="4">
        <f t="shared" si="273"/>
        <v>42131.584074074075</v>
      </c>
      <c r="U2932" s="5">
        <f>VLOOKUP(currency,Tables!$A$1:$C$14,3,FALSE)*pledged</f>
        <v>13321.44</v>
      </c>
    </row>
    <row r="2933" spans="1:21" ht="43.2" x14ac:dyDescent="0.55000000000000004">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270"/>
        <v>1.06</v>
      </c>
      <c r="P2933" s="16">
        <f t="shared" si="271"/>
        <v>88.333333333333329</v>
      </c>
      <c r="Q2933" t="str">
        <f t="shared" si="274"/>
        <v>theater</v>
      </c>
      <c r="R2933" t="str">
        <f t="shared" si="275"/>
        <v>musical</v>
      </c>
      <c r="S2933" s="4">
        <f t="shared" si="272"/>
        <v>41872.291238425925</v>
      </c>
      <c r="T2933" s="4">
        <f t="shared" si="273"/>
        <v>41897.255555555559</v>
      </c>
      <c r="U2933" s="5">
        <f>VLOOKUP(currency,Tables!$A$1:$C$14,3,FALSE)*pledged</f>
        <v>604.20000000000005</v>
      </c>
    </row>
    <row r="2934" spans="1:21" ht="43.2" x14ac:dyDescent="0.55000000000000004">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16">
        <f t="shared" si="271"/>
        <v>85.736842105263165</v>
      </c>
      <c r="Q2934" t="str">
        <f t="shared" si="274"/>
        <v>theater</v>
      </c>
      <c r="R2934" t="str">
        <f t="shared" si="275"/>
        <v>musical</v>
      </c>
      <c r="S2934" s="4">
        <f t="shared" si="272"/>
        <v>42025.164780092593</v>
      </c>
      <c r="T2934" s="4">
        <f t="shared" si="273"/>
        <v>42056.458333333328</v>
      </c>
      <c r="U2934" s="5">
        <f>VLOOKUP(currency,Tables!$A$1:$C$14,3,FALSE)*pledged</f>
        <v>2378.34</v>
      </c>
    </row>
    <row r="2935" spans="1:21" ht="43.2" x14ac:dyDescent="0.55000000000000004">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16">
        <f t="shared" si="271"/>
        <v>47.574074074074076</v>
      </c>
      <c r="Q2935" t="str">
        <f t="shared" si="274"/>
        <v>theater</v>
      </c>
      <c r="R2935" t="str">
        <f t="shared" si="275"/>
        <v>musical</v>
      </c>
      <c r="S2935" s="4">
        <f t="shared" si="272"/>
        <v>42495.956631944442</v>
      </c>
      <c r="T2935" s="4">
        <f t="shared" si="273"/>
        <v>42525.956631944442</v>
      </c>
      <c r="U2935" s="5">
        <f>VLOOKUP(currency,Tables!$A$1:$C$14,3,FALSE)*pledged</f>
        <v>2569</v>
      </c>
    </row>
    <row r="2936" spans="1:21" ht="43.2" x14ac:dyDescent="0.55000000000000004">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270"/>
        <v>1.08</v>
      </c>
      <c r="P2936" s="16">
        <f t="shared" si="271"/>
        <v>72.972972972972968</v>
      </c>
      <c r="Q2936" t="str">
        <f t="shared" si="274"/>
        <v>theater</v>
      </c>
      <c r="R2936" t="str">
        <f t="shared" si="275"/>
        <v>musical</v>
      </c>
      <c r="S2936" s="4">
        <f t="shared" si="272"/>
        <v>41775.636157407411</v>
      </c>
      <c r="T2936" s="4">
        <f t="shared" si="273"/>
        <v>41805.636157407411</v>
      </c>
      <c r="U2936" s="5">
        <f>VLOOKUP(currency,Tables!$A$1:$C$14,3,FALSE)*pledged</f>
        <v>2052</v>
      </c>
    </row>
    <row r="2937" spans="1:21" ht="43.2" x14ac:dyDescent="0.55000000000000004">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16">
        <f t="shared" si="271"/>
        <v>90.538461538461533</v>
      </c>
      <c r="Q2937" t="str">
        <f t="shared" si="274"/>
        <v>theater</v>
      </c>
      <c r="R2937" t="str">
        <f t="shared" si="275"/>
        <v>musical</v>
      </c>
      <c r="S2937" s="4">
        <f t="shared" si="272"/>
        <v>42553.583425925928</v>
      </c>
      <c r="T2937" s="4">
        <f t="shared" si="273"/>
        <v>42611.708333333328</v>
      </c>
      <c r="U2937" s="5">
        <f>VLOOKUP(currency,Tables!$A$1:$C$14,3,FALSE)*pledged</f>
        <v>3531</v>
      </c>
    </row>
    <row r="2938" spans="1:21" ht="43.2" x14ac:dyDescent="0.55000000000000004">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270"/>
        <v>1.28</v>
      </c>
      <c r="P2938" s="16">
        <f t="shared" si="271"/>
        <v>37.647058823529413</v>
      </c>
      <c r="Q2938" t="str">
        <f t="shared" si="274"/>
        <v>theater</v>
      </c>
      <c r="R2938" t="str">
        <f t="shared" si="275"/>
        <v>musical</v>
      </c>
      <c r="S2938" s="4">
        <f t="shared" si="272"/>
        <v>41912.650729166664</v>
      </c>
      <c r="T2938" s="4">
        <f t="shared" si="273"/>
        <v>41925.207638888889</v>
      </c>
      <c r="U2938" s="5">
        <f>VLOOKUP(currency,Tables!$A$1:$C$14,3,FALSE)*pledged</f>
        <v>1280</v>
      </c>
    </row>
    <row r="2939" spans="1:21" ht="28.8" x14ac:dyDescent="0.55000000000000004">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16">
        <f t="shared" si="271"/>
        <v>36.363636363636367</v>
      </c>
      <c r="Q2939" t="str">
        <f t="shared" si="274"/>
        <v>theater</v>
      </c>
      <c r="R2939" t="str">
        <f t="shared" si="275"/>
        <v>musical</v>
      </c>
      <c r="S2939" s="4">
        <f t="shared" si="272"/>
        <v>41803.457326388889</v>
      </c>
      <c r="T2939" s="4">
        <f t="shared" si="273"/>
        <v>41833.457326388889</v>
      </c>
      <c r="U2939" s="5">
        <f>VLOOKUP(currency,Tables!$A$1:$C$14,3,FALSE)*pledged</f>
        <v>2640</v>
      </c>
    </row>
    <row r="2940" spans="1:21" ht="43.2" x14ac:dyDescent="0.55000000000000004">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16">
        <f t="shared" si="271"/>
        <v>126.71875</v>
      </c>
      <c r="Q2940" t="str">
        <f t="shared" si="274"/>
        <v>theater</v>
      </c>
      <c r="R2940" t="str">
        <f t="shared" si="275"/>
        <v>musical</v>
      </c>
      <c r="S2940" s="4">
        <f t="shared" si="272"/>
        <v>42004.703865740739</v>
      </c>
      <c r="T2940" s="4">
        <f t="shared" si="273"/>
        <v>42034.703865740739</v>
      </c>
      <c r="U2940" s="5">
        <f>VLOOKUP(currency,Tables!$A$1:$C$14,3,FALSE)*pledged</f>
        <v>4055</v>
      </c>
    </row>
    <row r="2941" spans="1:21" ht="43.2" x14ac:dyDescent="0.55000000000000004">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16">
        <f t="shared" si="271"/>
        <v>329.2</v>
      </c>
      <c r="Q2941" t="str">
        <f t="shared" si="274"/>
        <v>theater</v>
      </c>
      <c r="R2941" t="str">
        <f t="shared" si="275"/>
        <v>musical</v>
      </c>
      <c r="S2941" s="4">
        <f t="shared" si="272"/>
        <v>41845.809166666666</v>
      </c>
      <c r="T2941" s="4">
        <f t="shared" si="273"/>
        <v>41879.041666666664</v>
      </c>
      <c r="U2941" s="5">
        <f>VLOOKUP(currency,Tables!$A$1:$C$14,3,FALSE)*pledged</f>
        <v>8230</v>
      </c>
    </row>
    <row r="2942" spans="1:21" ht="43.2" x14ac:dyDescent="0.55000000000000004">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16">
        <f t="shared" si="271"/>
        <v>81.242424242424249</v>
      </c>
      <c r="Q2942" t="str">
        <f t="shared" si="274"/>
        <v>theater</v>
      </c>
      <c r="R2942" t="str">
        <f t="shared" si="275"/>
        <v>musical</v>
      </c>
      <c r="S2942" s="4">
        <f t="shared" si="272"/>
        <v>41982.773356481484</v>
      </c>
      <c r="T2942" s="4">
        <f t="shared" si="273"/>
        <v>42022.773356481484</v>
      </c>
      <c r="U2942" s="5">
        <f>VLOOKUP(currency,Tables!$A$1:$C$14,3,FALSE)*pledged</f>
        <v>2681</v>
      </c>
    </row>
    <row r="2943" spans="1:21" ht="43.2" x14ac:dyDescent="0.55000000000000004">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16">
        <f t="shared" si="271"/>
        <v>1</v>
      </c>
      <c r="Q2943" t="str">
        <f t="shared" si="274"/>
        <v>theater</v>
      </c>
      <c r="R2943" t="str">
        <f t="shared" si="275"/>
        <v>spaces</v>
      </c>
      <c r="S2943" s="4">
        <f t="shared" si="272"/>
        <v>42034.960127314815</v>
      </c>
      <c r="T2943" s="4">
        <f t="shared" si="273"/>
        <v>42064.960127314815</v>
      </c>
      <c r="U2943" s="5">
        <f>VLOOKUP(currency,Tables!$A$1:$C$14,3,FALSE)*pledged</f>
        <v>1</v>
      </c>
    </row>
    <row r="2944" spans="1:21" ht="43.2" x14ac:dyDescent="0.55000000000000004">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16">
        <f t="shared" si="271"/>
        <v>202.22772277227722</v>
      </c>
      <c r="Q2944" t="str">
        <f t="shared" si="274"/>
        <v>theater</v>
      </c>
      <c r="R2944" t="str">
        <f t="shared" si="275"/>
        <v>spaces</v>
      </c>
      <c r="S2944" s="4">
        <f t="shared" si="272"/>
        <v>42334.803923611107</v>
      </c>
      <c r="T2944" s="4">
        <f t="shared" si="273"/>
        <v>42354.845833333333</v>
      </c>
      <c r="U2944" s="5">
        <f>VLOOKUP(currency,Tables!$A$1:$C$14,3,FALSE)*pledged</f>
        <v>31046</v>
      </c>
    </row>
    <row r="2945" spans="1:21" ht="43.2" x14ac:dyDescent="0.55000000000000004">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270"/>
        <v>0</v>
      </c>
      <c r="P2945" s="16">
        <f t="shared" si="271"/>
        <v>0</v>
      </c>
      <c r="Q2945" t="str">
        <f t="shared" si="274"/>
        <v>theater</v>
      </c>
      <c r="R2945" t="str">
        <f t="shared" si="275"/>
        <v>spaces</v>
      </c>
      <c r="S2945" s="4">
        <f t="shared" si="272"/>
        <v>42077.129398148143</v>
      </c>
      <c r="T2945" s="4">
        <f t="shared" si="273"/>
        <v>42107.129398148143</v>
      </c>
      <c r="U2945" s="5">
        <f>VLOOKUP(currency,Tables!$A$1:$C$14,3,FALSE)*pledged</f>
        <v>0</v>
      </c>
    </row>
    <row r="2946" spans="1:21" ht="43.2" x14ac:dyDescent="0.55000000000000004">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ref="O2946:O3009" si="276">pledged/goal</f>
        <v>0.01</v>
      </c>
      <c r="P2946" s="16">
        <f t="shared" ref="P2946:P3009" si="277">IF(pledged=0,0,pledged/backers_count)</f>
        <v>100</v>
      </c>
      <c r="Q2946" t="str">
        <f t="shared" si="274"/>
        <v>theater</v>
      </c>
      <c r="R2946" t="str">
        <f t="shared" si="275"/>
        <v>spaces</v>
      </c>
      <c r="S2946" s="4">
        <f t="shared" ref="S2946:S3009" si="278">(((Unix_launched_date/60)/60)/24)+DATE(1970,1,1)</f>
        <v>42132.9143287037</v>
      </c>
      <c r="T2946" s="4">
        <f t="shared" ref="T2946:T3009" si="279">(((Unix_deadline/60)/60)/24)+DATE(1970,1,1)</f>
        <v>42162.9143287037</v>
      </c>
      <c r="U2946" s="5">
        <f>VLOOKUP(currency,Tables!$A$1:$C$14,3,FALSE)*pledged</f>
        <v>100</v>
      </c>
    </row>
    <row r="2947" spans="1:21" ht="57.6" x14ac:dyDescent="0.55000000000000004">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si="276"/>
        <v>0</v>
      </c>
      <c r="P2947" s="16">
        <f t="shared" si="277"/>
        <v>0</v>
      </c>
      <c r="Q2947" t="str">
        <f t="shared" ref="Q2947:Q3010" si="280">LEFT(N2947,FIND("/",N2947,1)-1)</f>
        <v>theater</v>
      </c>
      <c r="R2947" t="str">
        <f t="shared" ref="R2947:R3010" si="281">RIGHT(N2947,(LEN(N2947)-FIND("/",N2947,1)))</f>
        <v>spaces</v>
      </c>
      <c r="S2947" s="4">
        <f t="shared" si="278"/>
        <v>42118.139583333337</v>
      </c>
      <c r="T2947" s="4">
        <f t="shared" si="279"/>
        <v>42148.139583333337</v>
      </c>
      <c r="U2947" s="5">
        <f>VLOOKUP(currency,Tables!$A$1:$C$14,3,FALSE)*pledged</f>
        <v>0</v>
      </c>
    </row>
    <row r="2948" spans="1:21" ht="43.2" x14ac:dyDescent="0.55000000000000004">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276"/>
        <v>1E-3</v>
      </c>
      <c r="P2948" s="16">
        <f t="shared" si="277"/>
        <v>1</v>
      </c>
      <c r="Q2948" t="str">
        <f t="shared" si="280"/>
        <v>theater</v>
      </c>
      <c r="R2948" t="str">
        <f t="shared" si="281"/>
        <v>spaces</v>
      </c>
      <c r="S2948" s="4">
        <f t="shared" si="278"/>
        <v>42567.531157407408</v>
      </c>
      <c r="T2948" s="4">
        <f t="shared" si="279"/>
        <v>42597.531157407408</v>
      </c>
      <c r="U2948" s="5">
        <f>VLOOKUP(currency,Tables!$A$1:$C$14,3,FALSE)*pledged</f>
        <v>2.64</v>
      </c>
    </row>
    <row r="2949" spans="1:21" ht="43.2" x14ac:dyDescent="0.55000000000000004">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16">
        <f t="shared" si="277"/>
        <v>82.461538461538467</v>
      </c>
      <c r="Q2949" t="str">
        <f t="shared" si="280"/>
        <v>theater</v>
      </c>
      <c r="R2949" t="str">
        <f t="shared" si="281"/>
        <v>spaces</v>
      </c>
      <c r="S2949" s="4">
        <f t="shared" si="278"/>
        <v>42649.562118055561</v>
      </c>
      <c r="T2949" s="4">
        <f t="shared" si="279"/>
        <v>42698.715972222228</v>
      </c>
      <c r="U2949" s="5">
        <f>VLOOKUP(currency,Tables!$A$1:$C$14,3,FALSE)*pledged</f>
        <v>1072</v>
      </c>
    </row>
    <row r="2950" spans="1:21" ht="43.2" x14ac:dyDescent="0.55000000000000004">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16">
        <f t="shared" si="277"/>
        <v>2.6666666666666665</v>
      </c>
      <c r="Q2950" t="str">
        <f t="shared" si="280"/>
        <v>theater</v>
      </c>
      <c r="R2950" t="str">
        <f t="shared" si="281"/>
        <v>spaces</v>
      </c>
      <c r="S2950" s="4">
        <f t="shared" si="278"/>
        <v>42097.649224537032</v>
      </c>
      <c r="T2950" s="4">
        <f t="shared" si="279"/>
        <v>42157.649224537032</v>
      </c>
      <c r="U2950" s="5">
        <f>VLOOKUP(currency,Tables!$A$1:$C$14,3,FALSE)*pledged</f>
        <v>24</v>
      </c>
    </row>
    <row r="2951" spans="1:21" ht="43.2" x14ac:dyDescent="0.55000000000000004">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16">
        <f t="shared" si="277"/>
        <v>12.5</v>
      </c>
      <c r="Q2951" t="str">
        <f t="shared" si="280"/>
        <v>theater</v>
      </c>
      <c r="R2951" t="str">
        <f t="shared" si="281"/>
        <v>spaces</v>
      </c>
      <c r="S2951" s="4">
        <f t="shared" si="278"/>
        <v>42297.823113425926</v>
      </c>
      <c r="T2951" s="4">
        <f t="shared" si="279"/>
        <v>42327.864780092597</v>
      </c>
      <c r="U2951" s="5">
        <f>VLOOKUP(currency,Tables!$A$1:$C$14,3,FALSE)*pledged</f>
        <v>25</v>
      </c>
    </row>
    <row r="2952" spans="1:21" ht="43.2" x14ac:dyDescent="0.55000000000000004">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276"/>
        <v>0</v>
      </c>
      <c r="P2952" s="16">
        <f t="shared" si="277"/>
        <v>0</v>
      </c>
      <c r="Q2952" t="str">
        <f t="shared" si="280"/>
        <v>theater</v>
      </c>
      <c r="R2952" t="str">
        <f t="shared" si="281"/>
        <v>spaces</v>
      </c>
      <c r="S2952" s="4">
        <f t="shared" si="278"/>
        <v>42362.36518518519</v>
      </c>
      <c r="T2952" s="4">
        <f t="shared" si="279"/>
        <v>42392.36518518519</v>
      </c>
      <c r="U2952" s="5">
        <f>VLOOKUP(currency,Tables!$A$1:$C$14,3,FALSE)*pledged</f>
        <v>0</v>
      </c>
    </row>
    <row r="2953" spans="1:21" ht="57.6" x14ac:dyDescent="0.55000000000000004">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16">
        <f t="shared" si="277"/>
        <v>18.896551724137932</v>
      </c>
      <c r="Q2953" t="str">
        <f t="shared" si="280"/>
        <v>theater</v>
      </c>
      <c r="R2953" t="str">
        <f t="shared" si="281"/>
        <v>spaces</v>
      </c>
      <c r="S2953" s="4">
        <f t="shared" si="278"/>
        <v>41872.802928240737</v>
      </c>
      <c r="T2953" s="4">
        <f t="shared" si="279"/>
        <v>41917.802928240737</v>
      </c>
      <c r="U2953" s="5">
        <f>VLOOKUP(currency,Tables!$A$1:$C$14,3,FALSE)*pledged</f>
        <v>1096</v>
      </c>
    </row>
    <row r="2954" spans="1:21" ht="43.2" x14ac:dyDescent="0.55000000000000004">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16">
        <f t="shared" si="277"/>
        <v>200.625</v>
      </c>
      <c r="Q2954" t="str">
        <f t="shared" si="280"/>
        <v>theater</v>
      </c>
      <c r="R2954" t="str">
        <f t="shared" si="281"/>
        <v>spaces</v>
      </c>
      <c r="S2954" s="4">
        <f t="shared" si="278"/>
        <v>42628.690266203703</v>
      </c>
      <c r="T2954" s="4">
        <f t="shared" si="279"/>
        <v>42660.166666666672</v>
      </c>
      <c r="U2954" s="5">
        <f>VLOOKUP(currency,Tables!$A$1:$C$14,3,FALSE)*pledged</f>
        <v>1605</v>
      </c>
    </row>
    <row r="2955" spans="1:21" ht="43.2" x14ac:dyDescent="0.55000000000000004">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16">
        <f t="shared" si="277"/>
        <v>201.66666666666666</v>
      </c>
      <c r="Q2955" t="str">
        <f t="shared" si="280"/>
        <v>theater</v>
      </c>
      <c r="R2955" t="str">
        <f t="shared" si="281"/>
        <v>spaces</v>
      </c>
      <c r="S2955" s="4">
        <f t="shared" si="278"/>
        <v>42255.791909722218</v>
      </c>
      <c r="T2955" s="4">
        <f t="shared" si="279"/>
        <v>42285.791909722218</v>
      </c>
      <c r="U2955" s="5">
        <f>VLOOKUP(currency,Tables!$A$1:$C$14,3,FALSE)*pledged</f>
        <v>605</v>
      </c>
    </row>
    <row r="2956" spans="1:21" ht="43.2" x14ac:dyDescent="0.55000000000000004">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276"/>
        <v>0</v>
      </c>
      <c r="P2956" s="16">
        <f t="shared" si="277"/>
        <v>0</v>
      </c>
      <c r="Q2956" t="str">
        <f t="shared" si="280"/>
        <v>theater</v>
      </c>
      <c r="R2956" t="str">
        <f t="shared" si="281"/>
        <v>spaces</v>
      </c>
      <c r="S2956" s="4">
        <f t="shared" si="278"/>
        <v>42790.583368055552</v>
      </c>
      <c r="T2956" s="4">
        <f t="shared" si="279"/>
        <v>42810.541701388895</v>
      </c>
      <c r="U2956" s="5">
        <f>VLOOKUP(currency,Tables!$A$1:$C$14,3,FALSE)*pledged</f>
        <v>0</v>
      </c>
    </row>
    <row r="2957" spans="1:21" ht="28.8" x14ac:dyDescent="0.55000000000000004">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16">
        <f t="shared" si="277"/>
        <v>65</v>
      </c>
      <c r="Q2957" t="str">
        <f t="shared" si="280"/>
        <v>theater</v>
      </c>
      <c r="R2957" t="str">
        <f t="shared" si="281"/>
        <v>spaces</v>
      </c>
      <c r="S2957" s="4">
        <f t="shared" si="278"/>
        <v>42141.741307870368</v>
      </c>
      <c r="T2957" s="4">
        <f t="shared" si="279"/>
        <v>42171.741307870368</v>
      </c>
      <c r="U2957" s="5">
        <f>VLOOKUP(currency,Tables!$A$1:$C$14,3,FALSE)*pledged</f>
        <v>715</v>
      </c>
    </row>
    <row r="2958" spans="1:21" ht="43.2" x14ac:dyDescent="0.55000000000000004">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16">
        <f t="shared" si="277"/>
        <v>66.099999999999994</v>
      </c>
      <c r="Q2958" t="str">
        <f t="shared" si="280"/>
        <v>theater</v>
      </c>
      <c r="R2958" t="str">
        <f t="shared" si="281"/>
        <v>spaces</v>
      </c>
      <c r="S2958" s="4">
        <f t="shared" si="278"/>
        <v>42464.958912037036</v>
      </c>
      <c r="T2958" s="4">
        <f t="shared" si="279"/>
        <v>42494.958912037036</v>
      </c>
      <c r="U2958" s="5">
        <f>VLOOKUP(currency,Tables!$A$1:$C$14,3,FALSE)*pledged</f>
        <v>1322</v>
      </c>
    </row>
    <row r="2959" spans="1:21" ht="43.2" x14ac:dyDescent="0.55000000000000004">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16">
        <f t="shared" si="277"/>
        <v>93.333333333333329</v>
      </c>
      <c r="Q2959" t="str">
        <f t="shared" si="280"/>
        <v>theater</v>
      </c>
      <c r="R2959" t="str">
        <f t="shared" si="281"/>
        <v>spaces</v>
      </c>
      <c r="S2959" s="4">
        <f t="shared" si="278"/>
        <v>42031.011249999996</v>
      </c>
      <c r="T2959" s="4">
        <f t="shared" si="279"/>
        <v>42090.969583333332</v>
      </c>
      <c r="U2959" s="5">
        <f>VLOOKUP(currency,Tables!$A$1:$C$14,3,FALSE)*pledged</f>
        <v>280</v>
      </c>
    </row>
    <row r="2960" spans="1:21" ht="43.2" x14ac:dyDescent="0.55000000000000004">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276"/>
        <v>0</v>
      </c>
      <c r="P2960" s="16">
        <f t="shared" si="277"/>
        <v>0</v>
      </c>
      <c r="Q2960" t="str">
        <f t="shared" si="280"/>
        <v>theater</v>
      </c>
      <c r="R2960" t="str">
        <f t="shared" si="281"/>
        <v>spaces</v>
      </c>
      <c r="S2960" s="4">
        <f t="shared" si="278"/>
        <v>42438.779131944444</v>
      </c>
      <c r="T2960" s="4">
        <f t="shared" si="279"/>
        <v>42498.73746527778</v>
      </c>
      <c r="U2960" s="5">
        <f>VLOOKUP(currency,Tables!$A$1:$C$14,3,FALSE)*pledged</f>
        <v>0</v>
      </c>
    </row>
    <row r="2961" spans="1:21" ht="43.2" x14ac:dyDescent="0.55000000000000004">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276"/>
        <v>0</v>
      </c>
      <c r="P2961" s="16">
        <f t="shared" si="277"/>
        <v>0</v>
      </c>
      <c r="Q2961" t="str">
        <f t="shared" si="280"/>
        <v>theater</v>
      </c>
      <c r="R2961" t="str">
        <f t="shared" si="281"/>
        <v>spaces</v>
      </c>
      <c r="S2961" s="4">
        <f t="shared" si="278"/>
        <v>42498.008391203708</v>
      </c>
      <c r="T2961" s="4">
        <f t="shared" si="279"/>
        <v>42528.008391203708</v>
      </c>
      <c r="U2961" s="5">
        <f>VLOOKUP(currency,Tables!$A$1:$C$14,3,FALSE)*pledged</f>
        <v>0</v>
      </c>
    </row>
    <row r="2962" spans="1:21" ht="43.2" x14ac:dyDescent="0.55000000000000004">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276"/>
        <v>0</v>
      </c>
      <c r="P2962" s="16">
        <f t="shared" si="277"/>
        <v>0</v>
      </c>
      <c r="Q2962" t="str">
        <f t="shared" si="280"/>
        <v>theater</v>
      </c>
      <c r="R2962" t="str">
        <f t="shared" si="281"/>
        <v>spaces</v>
      </c>
      <c r="S2962" s="4">
        <f t="shared" si="278"/>
        <v>41863.757210648146</v>
      </c>
      <c r="T2962" s="4">
        <f t="shared" si="279"/>
        <v>41893.757210648146</v>
      </c>
      <c r="U2962" s="5">
        <f>VLOOKUP(currency,Tables!$A$1:$C$14,3,FALSE)*pledged</f>
        <v>0</v>
      </c>
    </row>
    <row r="2963" spans="1:21" ht="43.2" x14ac:dyDescent="0.55000000000000004">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16">
        <f t="shared" si="277"/>
        <v>50.75</v>
      </c>
      <c r="Q2963" t="str">
        <f t="shared" si="280"/>
        <v>theater</v>
      </c>
      <c r="R2963" t="str">
        <f t="shared" si="281"/>
        <v>plays</v>
      </c>
      <c r="S2963" s="4">
        <f t="shared" si="278"/>
        <v>42061.212488425925</v>
      </c>
      <c r="T2963" s="4">
        <f t="shared" si="279"/>
        <v>42089.166666666672</v>
      </c>
      <c r="U2963" s="5">
        <f>VLOOKUP(currency,Tables!$A$1:$C$14,3,FALSE)*pledged</f>
        <v>5481</v>
      </c>
    </row>
    <row r="2964" spans="1:21" ht="43.2" x14ac:dyDescent="0.55000000000000004">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16">
        <f t="shared" si="277"/>
        <v>60.9</v>
      </c>
      <c r="Q2964" t="str">
        <f t="shared" si="280"/>
        <v>theater</v>
      </c>
      <c r="R2964" t="str">
        <f t="shared" si="281"/>
        <v>plays</v>
      </c>
      <c r="S2964" s="4">
        <f t="shared" si="278"/>
        <v>42036.24428240741</v>
      </c>
      <c r="T2964" s="4">
        <f t="shared" si="279"/>
        <v>42064.290972222225</v>
      </c>
      <c r="U2964" s="5">
        <f>VLOOKUP(currency,Tables!$A$1:$C$14,3,FALSE)*pledged</f>
        <v>1218</v>
      </c>
    </row>
    <row r="2965" spans="1:21" ht="57.6" x14ac:dyDescent="0.55000000000000004">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16">
        <f t="shared" si="277"/>
        <v>109.03061224489795</v>
      </c>
      <c r="Q2965" t="str">
        <f t="shared" si="280"/>
        <v>theater</v>
      </c>
      <c r="R2965" t="str">
        <f t="shared" si="281"/>
        <v>plays</v>
      </c>
      <c r="S2965" s="4">
        <f t="shared" si="278"/>
        <v>42157.470185185186</v>
      </c>
      <c r="T2965" s="4">
        <f t="shared" si="279"/>
        <v>42187.470185185186</v>
      </c>
      <c r="U2965" s="5">
        <f>VLOOKUP(currency,Tables!$A$1:$C$14,3,FALSE)*pledged</f>
        <v>10685</v>
      </c>
    </row>
    <row r="2966" spans="1:21" ht="43.2" x14ac:dyDescent="0.55000000000000004">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16">
        <f t="shared" si="277"/>
        <v>25.692295918367346</v>
      </c>
      <c r="Q2966" t="str">
        <f t="shared" si="280"/>
        <v>theater</v>
      </c>
      <c r="R2966" t="str">
        <f t="shared" si="281"/>
        <v>plays</v>
      </c>
      <c r="S2966" s="4">
        <f t="shared" si="278"/>
        <v>41827.909942129627</v>
      </c>
      <c r="T2966" s="4">
        <f t="shared" si="279"/>
        <v>41857.897222222222</v>
      </c>
      <c r="U2966" s="5">
        <f>VLOOKUP(currency,Tables!$A$1:$C$14,3,FALSE)*pledged</f>
        <v>5035.6899999999996</v>
      </c>
    </row>
    <row r="2967" spans="1:21" ht="43.2" x14ac:dyDescent="0.55000000000000004">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16">
        <f t="shared" si="277"/>
        <v>41.92307692307692</v>
      </c>
      <c r="Q2967" t="str">
        <f t="shared" si="280"/>
        <v>theater</v>
      </c>
      <c r="R2967" t="str">
        <f t="shared" si="281"/>
        <v>plays</v>
      </c>
      <c r="S2967" s="4">
        <f t="shared" si="278"/>
        <v>42162.729548611111</v>
      </c>
      <c r="T2967" s="4">
        <f t="shared" si="279"/>
        <v>42192.729548611111</v>
      </c>
      <c r="U2967" s="5">
        <f>VLOOKUP(currency,Tables!$A$1:$C$14,3,FALSE)*pledged</f>
        <v>1635</v>
      </c>
    </row>
    <row r="2968" spans="1:21" ht="43.2" x14ac:dyDescent="0.55000000000000004">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16">
        <f t="shared" si="277"/>
        <v>88.7734375</v>
      </c>
      <c r="Q2968" t="str">
        <f t="shared" si="280"/>
        <v>theater</v>
      </c>
      <c r="R2968" t="str">
        <f t="shared" si="281"/>
        <v>plays</v>
      </c>
      <c r="S2968" s="4">
        <f t="shared" si="278"/>
        <v>42233.738564814819</v>
      </c>
      <c r="T2968" s="4">
        <f t="shared" si="279"/>
        <v>42263.738564814819</v>
      </c>
      <c r="U2968" s="5">
        <f>VLOOKUP(currency,Tables!$A$1:$C$14,3,FALSE)*pledged</f>
        <v>11363</v>
      </c>
    </row>
    <row r="2969" spans="1:21" ht="43.2" x14ac:dyDescent="0.55000000000000004">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16">
        <f t="shared" si="277"/>
        <v>80.225352112676063</v>
      </c>
      <c r="Q2969" t="str">
        <f t="shared" si="280"/>
        <v>theater</v>
      </c>
      <c r="R2969" t="str">
        <f t="shared" si="281"/>
        <v>plays</v>
      </c>
      <c r="S2969" s="4">
        <f t="shared" si="278"/>
        <v>42042.197824074072</v>
      </c>
      <c r="T2969" s="4">
        <f t="shared" si="279"/>
        <v>42072.156157407408</v>
      </c>
      <c r="U2969" s="5">
        <f>VLOOKUP(currency,Tables!$A$1:$C$14,3,FALSE)*pledged</f>
        <v>5696</v>
      </c>
    </row>
    <row r="2970" spans="1:21" ht="28.8" x14ac:dyDescent="0.55000000000000004">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276"/>
        <v>1.06</v>
      </c>
      <c r="P2970" s="16">
        <f t="shared" si="277"/>
        <v>78.936170212765958</v>
      </c>
      <c r="Q2970" t="str">
        <f t="shared" si="280"/>
        <v>theater</v>
      </c>
      <c r="R2970" t="str">
        <f t="shared" si="281"/>
        <v>plays</v>
      </c>
      <c r="S2970" s="4">
        <f t="shared" si="278"/>
        <v>42585.523842592593</v>
      </c>
      <c r="T2970" s="4">
        <f t="shared" si="279"/>
        <v>42599.165972222225</v>
      </c>
      <c r="U2970" s="5">
        <f>VLOOKUP(currency,Tables!$A$1:$C$14,3,FALSE)*pledged</f>
        <v>3710</v>
      </c>
    </row>
    <row r="2971" spans="1:21" ht="43.2" x14ac:dyDescent="0.55000000000000004">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16">
        <f t="shared" si="277"/>
        <v>95.588235294117652</v>
      </c>
      <c r="Q2971" t="str">
        <f t="shared" si="280"/>
        <v>theater</v>
      </c>
      <c r="R2971" t="str">
        <f t="shared" si="281"/>
        <v>plays</v>
      </c>
      <c r="S2971" s="4">
        <f t="shared" si="278"/>
        <v>42097.786493055552</v>
      </c>
      <c r="T2971" s="4">
        <f t="shared" si="279"/>
        <v>42127.952083333337</v>
      </c>
      <c r="U2971" s="5">
        <f>VLOOKUP(currency,Tables!$A$1:$C$14,3,FALSE)*pledged</f>
        <v>1235</v>
      </c>
    </row>
    <row r="2972" spans="1:21" ht="43.2" x14ac:dyDescent="0.55000000000000004">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276"/>
        <v>1.06</v>
      </c>
      <c r="P2972" s="16">
        <f t="shared" si="277"/>
        <v>69.890109890109883</v>
      </c>
      <c r="Q2972" t="str">
        <f t="shared" si="280"/>
        <v>theater</v>
      </c>
      <c r="R2972" t="str">
        <f t="shared" si="281"/>
        <v>plays</v>
      </c>
      <c r="S2972" s="4">
        <f t="shared" si="278"/>
        <v>41808.669571759259</v>
      </c>
      <c r="T2972" s="4">
        <f t="shared" si="279"/>
        <v>41838.669571759259</v>
      </c>
      <c r="U2972" s="5">
        <f>VLOOKUP(currency,Tables!$A$1:$C$14,3,FALSE)*pledged</f>
        <v>6360</v>
      </c>
    </row>
    <row r="2973" spans="1:21" ht="43.2" x14ac:dyDescent="0.55000000000000004">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16">
        <f t="shared" si="277"/>
        <v>74.534883720930239</v>
      </c>
      <c r="Q2973" t="str">
        <f t="shared" si="280"/>
        <v>theater</v>
      </c>
      <c r="R2973" t="str">
        <f t="shared" si="281"/>
        <v>plays</v>
      </c>
      <c r="S2973" s="4">
        <f t="shared" si="278"/>
        <v>41852.658310185187</v>
      </c>
      <c r="T2973" s="4">
        <f t="shared" si="279"/>
        <v>41882.658310185187</v>
      </c>
      <c r="U2973" s="5">
        <f>VLOOKUP(currency,Tables!$A$1:$C$14,3,FALSE)*pledged</f>
        <v>3205</v>
      </c>
    </row>
    <row r="2974" spans="1:21" ht="28.8" x14ac:dyDescent="0.55000000000000004">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16">
        <f t="shared" si="277"/>
        <v>123.94117647058823</v>
      </c>
      <c r="Q2974" t="str">
        <f t="shared" si="280"/>
        <v>theater</v>
      </c>
      <c r="R2974" t="str">
        <f t="shared" si="281"/>
        <v>plays</v>
      </c>
      <c r="S2974" s="4">
        <f t="shared" si="278"/>
        <v>42694.110185185185</v>
      </c>
      <c r="T2974" s="4">
        <f t="shared" si="279"/>
        <v>42709.041666666672</v>
      </c>
      <c r="U2974" s="5">
        <f>VLOOKUP(currency,Tables!$A$1:$C$14,3,FALSE)*pledged</f>
        <v>2107</v>
      </c>
    </row>
    <row r="2975" spans="1:21" ht="43.2" x14ac:dyDescent="0.55000000000000004">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16">
        <f t="shared" si="277"/>
        <v>264.84848484848487</v>
      </c>
      <c r="Q2975" t="str">
        <f t="shared" si="280"/>
        <v>theater</v>
      </c>
      <c r="R2975" t="str">
        <f t="shared" si="281"/>
        <v>plays</v>
      </c>
      <c r="S2975" s="4">
        <f t="shared" si="278"/>
        <v>42341.818379629629</v>
      </c>
      <c r="T2975" s="4">
        <f t="shared" si="279"/>
        <v>42370.166666666672</v>
      </c>
      <c r="U2975" s="5">
        <f>VLOOKUP(currency,Tables!$A$1:$C$14,3,FALSE)*pledged</f>
        <v>8740</v>
      </c>
    </row>
    <row r="2976" spans="1:21" ht="43.2" x14ac:dyDescent="0.55000000000000004">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276"/>
        <v>1.02</v>
      </c>
      <c r="P2976" s="16">
        <f t="shared" si="277"/>
        <v>58.620689655172413</v>
      </c>
      <c r="Q2976" t="str">
        <f t="shared" si="280"/>
        <v>theater</v>
      </c>
      <c r="R2976" t="str">
        <f t="shared" si="281"/>
        <v>plays</v>
      </c>
      <c r="S2976" s="4">
        <f t="shared" si="278"/>
        <v>41880.061006944445</v>
      </c>
      <c r="T2976" s="4">
        <f t="shared" si="279"/>
        <v>41908.065972222219</v>
      </c>
      <c r="U2976" s="5">
        <f>VLOOKUP(currency,Tables!$A$1:$C$14,3,FALSE)*pledged</f>
        <v>5100</v>
      </c>
    </row>
    <row r="2977" spans="1:21" ht="43.2" x14ac:dyDescent="0.55000000000000004">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16">
        <f t="shared" si="277"/>
        <v>70.884955752212392</v>
      </c>
      <c r="Q2977" t="str">
        <f t="shared" si="280"/>
        <v>theater</v>
      </c>
      <c r="R2977" t="str">
        <f t="shared" si="281"/>
        <v>plays</v>
      </c>
      <c r="S2977" s="4">
        <f t="shared" si="278"/>
        <v>41941.683865740742</v>
      </c>
      <c r="T2977" s="4">
        <f t="shared" si="279"/>
        <v>41970.125</v>
      </c>
      <c r="U2977" s="5">
        <f>VLOOKUP(currency,Tables!$A$1:$C$14,3,FALSE)*pledged</f>
        <v>8010</v>
      </c>
    </row>
    <row r="2978" spans="1:21" ht="43.2" x14ac:dyDescent="0.55000000000000004">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16">
        <f t="shared" si="277"/>
        <v>8.5714285714285712</v>
      </c>
      <c r="Q2978" t="str">
        <f t="shared" si="280"/>
        <v>theater</v>
      </c>
      <c r="R2978" t="str">
        <f t="shared" si="281"/>
        <v>plays</v>
      </c>
      <c r="S2978" s="4">
        <f t="shared" si="278"/>
        <v>42425.730671296296</v>
      </c>
      <c r="T2978" s="4">
        <f t="shared" si="279"/>
        <v>42442.5</v>
      </c>
      <c r="U2978" s="5">
        <f>VLOOKUP(currency,Tables!$A$1:$C$14,3,FALSE)*pledged</f>
        <v>158.4</v>
      </c>
    </row>
    <row r="2979" spans="1:21" ht="57.6" x14ac:dyDescent="0.55000000000000004">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16">
        <f t="shared" si="277"/>
        <v>113.56666666666666</v>
      </c>
      <c r="Q2979" t="str">
        <f t="shared" si="280"/>
        <v>theater</v>
      </c>
      <c r="R2979" t="str">
        <f t="shared" si="281"/>
        <v>plays</v>
      </c>
      <c r="S2979" s="4">
        <f t="shared" si="278"/>
        <v>42026.88118055556</v>
      </c>
      <c r="T2979" s="4">
        <f t="shared" si="279"/>
        <v>42086.093055555553</v>
      </c>
      <c r="U2979" s="5">
        <f>VLOOKUP(currency,Tables!$A$1:$C$14,3,FALSE)*pledged</f>
        <v>3407</v>
      </c>
    </row>
    <row r="2980" spans="1:21" ht="43.2" x14ac:dyDescent="0.55000000000000004">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16">
        <f t="shared" si="277"/>
        <v>60.6875</v>
      </c>
      <c r="Q2980" t="str">
        <f t="shared" si="280"/>
        <v>theater</v>
      </c>
      <c r="R2980" t="str">
        <f t="shared" si="281"/>
        <v>plays</v>
      </c>
      <c r="S2980" s="4">
        <f t="shared" si="278"/>
        <v>41922.640590277777</v>
      </c>
      <c r="T2980" s="4">
        <f t="shared" si="279"/>
        <v>41932.249305555553</v>
      </c>
      <c r="U2980" s="5">
        <f>VLOOKUP(currency,Tables!$A$1:$C$14,3,FALSE)*pledged</f>
        <v>971</v>
      </c>
    </row>
    <row r="2981" spans="1:21" ht="43.2" x14ac:dyDescent="0.55000000000000004">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16">
        <f t="shared" si="277"/>
        <v>110.21739130434783</v>
      </c>
      <c r="Q2981" t="str">
        <f t="shared" si="280"/>
        <v>theater</v>
      </c>
      <c r="R2981" t="str">
        <f t="shared" si="281"/>
        <v>plays</v>
      </c>
      <c r="S2981" s="4">
        <f t="shared" si="278"/>
        <v>41993.824340277773</v>
      </c>
      <c r="T2981" s="4">
        <f t="shared" si="279"/>
        <v>42010.25</v>
      </c>
      <c r="U2981" s="5">
        <f>VLOOKUP(currency,Tables!$A$1:$C$14,3,FALSE)*pledged</f>
        <v>5070</v>
      </c>
    </row>
    <row r="2982" spans="1:21" ht="43.2" x14ac:dyDescent="0.55000000000000004">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16">
        <f t="shared" si="277"/>
        <v>136.45833333333334</v>
      </c>
      <c r="Q2982" t="str">
        <f t="shared" si="280"/>
        <v>theater</v>
      </c>
      <c r="R2982" t="str">
        <f t="shared" si="281"/>
        <v>plays</v>
      </c>
      <c r="S2982" s="4">
        <f t="shared" si="278"/>
        <v>42219.915856481486</v>
      </c>
      <c r="T2982" s="4">
        <f t="shared" si="279"/>
        <v>42240.083333333328</v>
      </c>
      <c r="U2982" s="5">
        <f>VLOOKUP(currency,Tables!$A$1:$C$14,3,FALSE)*pledged</f>
        <v>3275</v>
      </c>
    </row>
    <row r="2983" spans="1:21" ht="43.2" x14ac:dyDescent="0.55000000000000004">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16">
        <f t="shared" si="277"/>
        <v>53.164948453608247</v>
      </c>
      <c r="Q2983" t="str">
        <f t="shared" si="280"/>
        <v>theater</v>
      </c>
      <c r="R2983" t="str">
        <f t="shared" si="281"/>
        <v>spaces</v>
      </c>
      <c r="S2983" s="4">
        <f t="shared" si="278"/>
        <v>42225.559675925921</v>
      </c>
      <c r="T2983" s="4">
        <f t="shared" si="279"/>
        <v>42270.559675925921</v>
      </c>
      <c r="U2983" s="5">
        <f>VLOOKUP(currency,Tables!$A$1:$C$14,3,FALSE)*pledged</f>
        <v>6085.2599999999993</v>
      </c>
    </row>
    <row r="2984" spans="1:21" ht="28.8" x14ac:dyDescent="0.55000000000000004">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16">
        <f t="shared" si="277"/>
        <v>86.491525423728817</v>
      </c>
      <c r="Q2984" t="str">
        <f t="shared" si="280"/>
        <v>theater</v>
      </c>
      <c r="R2984" t="str">
        <f t="shared" si="281"/>
        <v>spaces</v>
      </c>
      <c r="S2984" s="4">
        <f t="shared" si="278"/>
        <v>42381.686840277776</v>
      </c>
      <c r="T2984" s="4">
        <f t="shared" si="279"/>
        <v>42411.686840277776</v>
      </c>
      <c r="U2984" s="5">
        <f>VLOOKUP(currency,Tables!$A$1:$C$14,3,FALSE)*pledged</f>
        <v>6735.96</v>
      </c>
    </row>
    <row r="2985" spans="1:21" ht="43.2" x14ac:dyDescent="0.55000000000000004">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16">
        <f t="shared" si="277"/>
        <v>155.23827397260274</v>
      </c>
      <c r="Q2985" t="str">
        <f t="shared" si="280"/>
        <v>theater</v>
      </c>
      <c r="R2985" t="str">
        <f t="shared" si="281"/>
        <v>spaces</v>
      </c>
      <c r="S2985" s="4">
        <f t="shared" si="278"/>
        <v>41894.632361111115</v>
      </c>
      <c r="T2985" s="4">
        <f t="shared" si="279"/>
        <v>41954.674027777779</v>
      </c>
      <c r="U2985" s="5">
        <f>VLOOKUP(currency,Tables!$A$1:$C$14,3,FALSE)*pledged</f>
        <v>169985.91</v>
      </c>
    </row>
    <row r="2986" spans="1:21" ht="43.2" x14ac:dyDescent="0.55000000000000004">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16">
        <f t="shared" si="277"/>
        <v>115.08256880733946</v>
      </c>
      <c r="Q2986" t="str">
        <f t="shared" si="280"/>
        <v>theater</v>
      </c>
      <c r="R2986" t="str">
        <f t="shared" si="281"/>
        <v>spaces</v>
      </c>
      <c r="S2986" s="4">
        <f t="shared" si="278"/>
        <v>42576.278715277775</v>
      </c>
      <c r="T2986" s="4">
        <f t="shared" si="279"/>
        <v>42606.278715277775</v>
      </c>
      <c r="U2986" s="5">
        <f>VLOOKUP(currency,Tables!$A$1:$C$14,3,FALSE)*pledged</f>
        <v>25088</v>
      </c>
    </row>
    <row r="2987" spans="1:21" ht="43.2" x14ac:dyDescent="0.55000000000000004">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16">
        <f t="shared" si="277"/>
        <v>109.5945945945946</v>
      </c>
      <c r="Q2987" t="str">
        <f t="shared" si="280"/>
        <v>theater</v>
      </c>
      <c r="R2987" t="str">
        <f t="shared" si="281"/>
        <v>spaces</v>
      </c>
      <c r="S2987" s="4">
        <f t="shared" si="278"/>
        <v>42654.973703703698</v>
      </c>
      <c r="T2987" s="4">
        <f t="shared" si="279"/>
        <v>42674.166666666672</v>
      </c>
      <c r="U2987" s="5">
        <f>VLOOKUP(currency,Tables!$A$1:$C$14,3,FALSE)*pledged</f>
        <v>8150.55</v>
      </c>
    </row>
    <row r="2988" spans="1:21" ht="43.2" x14ac:dyDescent="0.55000000000000004">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16">
        <f t="shared" si="277"/>
        <v>45.214285714285715</v>
      </c>
      <c r="Q2988" t="str">
        <f t="shared" si="280"/>
        <v>theater</v>
      </c>
      <c r="R2988" t="str">
        <f t="shared" si="281"/>
        <v>spaces</v>
      </c>
      <c r="S2988" s="4">
        <f t="shared" si="278"/>
        <v>42431.500069444446</v>
      </c>
      <c r="T2988" s="4">
        <f t="shared" si="279"/>
        <v>42491.458402777775</v>
      </c>
      <c r="U2988" s="5">
        <f>VLOOKUP(currency,Tables!$A$1:$C$14,3,FALSE)*pledged</f>
        <v>3342.2400000000002</v>
      </c>
    </row>
    <row r="2989" spans="1:21" ht="43.2" x14ac:dyDescent="0.55000000000000004">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16">
        <f t="shared" si="277"/>
        <v>104.15169811320754</v>
      </c>
      <c r="Q2989" t="str">
        <f t="shared" si="280"/>
        <v>theater</v>
      </c>
      <c r="R2989" t="str">
        <f t="shared" si="281"/>
        <v>spaces</v>
      </c>
      <c r="S2989" s="4">
        <f t="shared" si="278"/>
        <v>42627.307303240741</v>
      </c>
      <c r="T2989" s="4">
        <f t="shared" si="279"/>
        <v>42656</v>
      </c>
      <c r="U2989" s="5">
        <f>VLOOKUP(currency,Tables!$A$1:$C$14,3,FALSE)*pledged</f>
        <v>27600.2</v>
      </c>
    </row>
    <row r="2990" spans="1:21" ht="43.2" x14ac:dyDescent="0.55000000000000004">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276"/>
        <v>1</v>
      </c>
      <c r="P2990" s="16">
        <f t="shared" si="277"/>
        <v>35.714285714285715</v>
      </c>
      <c r="Q2990" t="str">
        <f t="shared" si="280"/>
        <v>theater</v>
      </c>
      <c r="R2990" t="str">
        <f t="shared" si="281"/>
        <v>spaces</v>
      </c>
      <c r="S2990" s="4">
        <f t="shared" si="278"/>
        <v>42511.362048611118</v>
      </c>
      <c r="T2990" s="4">
        <f t="shared" si="279"/>
        <v>42541.362048611118</v>
      </c>
      <c r="U2990" s="5">
        <f>VLOOKUP(currency,Tables!$A$1:$C$14,3,FALSE)*pledged</f>
        <v>1320</v>
      </c>
    </row>
    <row r="2991" spans="1:21" x14ac:dyDescent="0.55000000000000004">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16">
        <f t="shared" si="277"/>
        <v>96.997252747252745</v>
      </c>
      <c r="Q2991" t="str">
        <f t="shared" si="280"/>
        <v>theater</v>
      </c>
      <c r="R2991" t="str">
        <f t="shared" si="281"/>
        <v>spaces</v>
      </c>
      <c r="S2991" s="4">
        <f t="shared" si="278"/>
        <v>42337.02039351852</v>
      </c>
      <c r="T2991" s="4">
        <f t="shared" si="279"/>
        <v>42359.207638888889</v>
      </c>
      <c r="U2991" s="5">
        <f>VLOOKUP(currency,Tables!$A$1:$C$14,3,FALSE)*pledged</f>
        <v>35307</v>
      </c>
    </row>
    <row r="2992" spans="1:21" ht="43.2" x14ac:dyDescent="0.55000000000000004">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276"/>
        <v>1</v>
      </c>
      <c r="P2992" s="16">
        <f t="shared" si="277"/>
        <v>370.37037037037038</v>
      </c>
      <c r="Q2992" t="str">
        <f t="shared" si="280"/>
        <v>theater</v>
      </c>
      <c r="R2992" t="str">
        <f t="shared" si="281"/>
        <v>spaces</v>
      </c>
      <c r="S2992" s="4">
        <f t="shared" si="278"/>
        <v>42341.57430555555</v>
      </c>
      <c r="T2992" s="4">
        <f t="shared" si="279"/>
        <v>42376.57430555555</v>
      </c>
      <c r="U2992" s="5">
        <f>VLOOKUP(currency,Tables!$A$1:$C$14,3,FALSE)*pledged</f>
        <v>10000</v>
      </c>
    </row>
    <row r="2993" spans="1:21" ht="43.2" x14ac:dyDescent="0.55000000000000004">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16">
        <f t="shared" si="277"/>
        <v>94.408602150537632</v>
      </c>
      <c r="Q2993" t="str">
        <f t="shared" si="280"/>
        <v>theater</v>
      </c>
      <c r="R2993" t="str">
        <f t="shared" si="281"/>
        <v>spaces</v>
      </c>
      <c r="S2993" s="4">
        <f t="shared" si="278"/>
        <v>42740.837152777778</v>
      </c>
      <c r="T2993" s="4">
        <f t="shared" si="279"/>
        <v>42762.837152777778</v>
      </c>
      <c r="U2993" s="5">
        <f>VLOOKUP(currency,Tables!$A$1:$C$14,3,FALSE)*pledged</f>
        <v>8780</v>
      </c>
    </row>
    <row r="2994" spans="1:21" ht="43.2" x14ac:dyDescent="0.55000000000000004">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16">
        <f t="shared" si="277"/>
        <v>48.984375</v>
      </c>
      <c r="Q2994" t="str">
        <f t="shared" si="280"/>
        <v>theater</v>
      </c>
      <c r="R2994" t="str">
        <f t="shared" si="281"/>
        <v>spaces</v>
      </c>
      <c r="S2994" s="4">
        <f t="shared" si="278"/>
        <v>42622.767476851848</v>
      </c>
      <c r="T2994" s="4">
        <f t="shared" si="279"/>
        <v>42652.767476851848</v>
      </c>
      <c r="U2994" s="5">
        <f>VLOOKUP(currency,Tables!$A$1:$C$14,3,FALSE)*pledged</f>
        <v>3135</v>
      </c>
    </row>
    <row r="2995" spans="1:21" x14ac:dyDescent="0.55000000000000004">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16">
        <f t="shared" si="277"/>
        <v>45.590909090909093</v>
      </c>
      <c r="Q2995" t="str">
        <f t="shared" si="280"/>
        <v>theater</v>
      </c>
      <c r="R2995" t="str">
        <f t="shared" si="281"/>
        <v>spaces</v>
      </c>
      <c r="S2995" s="4">
        <f t="shared" si="278"/>
        <v>42390.838738425926</v>
      </c>
      <c r="T2995" s="4">
        <f t="shared" si="279"/>
        <v>42420.838738425926</v>
      </c>
      <c r="U2995" s="5">
        <f>VLOOKUP(currency,Tables!$A$1:$C$14,3,FALSE)*pledged</f>
        <v>1003</v>
      </c>
    </row>
    <row r="2996" spans="1:21" ht="43.2" x14ac:dyDescent="0.55000000000000004">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16">
        <f t="shared" si="277"/>
        <v>23.275254237288134</v>
      </c>
      <c r="Q2996" t="str">
        <f t="shared" si="280"/>
        <v>theater</v>
      </c>
      <c r="R2996" t="str">
        <f t="shared" si="281"/>
        <v>spaces</v>
      </c>
      <c r="S2996" s="4">
        <f t="shared" si="278"/>
        <v>41885.478842592594</v>
      </c>
      <c r="T2996" s="4">
        <f t="shared" si="279"/>
        <v>41915.478842592594</v>
      </c>
      <c r="U2996" s="5">
        <f>VLOOKUP(currency,Tables!$A$1:$C$14,3,FALSE)*pledged</f>
        <v>1812.6768000000002</v>
      </c>
    </row>
    <row r="2997" spans="1:21" ht="43.2" x14ac:dyDescent="0.55000000000000004">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16">
        <f t="shared" si="277"/>
        <v>63.2289156626506</v>
      </c>
      <c r="Q2997" t="str">
        <f t="shared" si="280"/>
        <v>theater</v>
      </c>
      <c r="R2997" t="str">
        <f t="shared" si="281"/>
        <v>spaces</v>
      </c>
      <c r="S2997" s="4">
        <f t="shared" si="278"/>
        <v>42724.665173611109</v>
      </c>
      <c r="T2997" s="4">
        <f t="shared" si="279"/>
        <v>42754.665173611109</v>
      </c>
      <c r="U2997" s="5">
        <f>VLOOKUP(currency,Tables!$A$1:$C$14,3,FALSE)*pledged</f>
        <v>15744</v>
      </c>
    </row>
    <row r="2998" spans="1:21" ht="28.8" x14ac:dyDescent="0.55000000000000004">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16">
        <f t="shared" si="277"/>
        <v>153.5204081632653</v>
      </c>
      <c r="Q2998" t="str">
        <f t="shared" si="280"/>
        <v>theater</v>
      </c>
      <c r="R2998" t="str">
        <f t="shared" si="281"/>
        <v>spaces</v>
      </c>
      <c r="S2998" s="4">
        <f t="shared" si="278"/>
        <v>42090.912500000006</v>
      </c>
      <c r="T2998" s="4">
        <f t="shared" si="279"/>
        <v>42150.912500000006</v>
      </c>
      <c r="U2998" s="5">
        <f>VLOOKUP(currency,Tables!$A$1:$C$14,3,FALSE)*pledged</f>
        <v>60180</v>
      </c>
    </row>
    <row r="2999" spans="1:21" ht="43.2" x14ac:dyDescent="0.55000000000000004">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16">
        <f t="shared" si="277"/>
        <v>90.2</v>
      </c>
      <c r="Q2999" t="str">
        <f t="shared" si="280"/>
        <v>theater</v>
      </c>
      <c r="R2999" t="str">
        <f t="shared" si="281"/>
        <v>spaces</v>
      </c>
      <c r="S2999" s="4">
        <f t="shared" si="278"/>
        <v>42775.733715277776</v>
      </c>
      <c r="T2999" s="4">
        <f t="shared" si="279"/>
        <v>42793.207638888889</v>
      </c>
      <c r="U2999" s="5">
        <f>VLOOKUP(currency,Tables!$A$1:$C$14,3,FALSE)*pledged</f>
        <v>10373</v>
      </c>
    </row>
    <row r="3000" spans="1:21" ht="43.2" x14ac:dyDescent="0.55000000000000004">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16">
        <f t="shared" si="277"/>
        <v>118.97113163972287</v>
      </c>
      <c r="Q3000" t="str">
        <f t="shared" si="280"/>
        <v>theater</v>
      </c>
      <c r="R3000" t="str">
        <f t="shared" si="281"/>
        <v>spaces</v>
      </c>
      <c r="S3000" s="4">
        <f t="shared" si="278"/>
        <v>41778.193622685183</v>
      </c>
      <c r="T3000" s="4">
        <f t="shared" si="279"/>
        <v>41806.184027777781</v>
      </c>
      <c r="U3000" s="5">
        <f>VLOOKUP(currency,Tables!$A$1:$C$14,3,FALSE)*pledged</f>
        <v>51514.5</v>
      </c>
    </row>
    <row r="3001" spans="1:21" ht="43.2" x14ac:dyDescent="0.55000000000000004">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16">
        <f t="shared" si="277"/>
        <v>80.25</v>
      </c>
      <c r="Q3001" t="str">
        <f t="shared" si="280"/>
        <v>theater</v>
      </c>
      <c r="R3001" t="str">
        <f t="shared" si="281"/>
        <v>spaces</v>
      </c>
      <c r="S3001" s="4">
        <f t="shared" si="278"/>
        <v>42780.740277777775</v>
      </c>
      <c r="T3001" s="4">
        <f t="shared" si="279"/>
        <v>42795.083333333328</v>
      </c>
      <c r="U3001" s="5">
        <f>VLOOKUP(currency,Tables!$A$1:$C$14,3,FALSE)*pledged</f>
        <v>1605</v>
      </c>
    </row>
    <row r="3002" spans="1:21" ht="43.2" x14ac:dyDescent="0.55000000000000004">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276"/>
        <v>1</v>
      </c>
      <c r="P3002" s="16">
        <f t="shared" si="277"/>
        <v>62.5</v>
      </c>
      <c r="Q3002" t="str">
        <f t="shared" si="280"/>
        <v>theater</v>
      </c>
      <c r="R3002" t="str">
        <f t="shared" si="281"/>
        <v>spaces</v>
      </c>
      <c r="S3002" s="4">
        <f t="shared" si="278"/>
        <v>42752.827199074076</v>
      </c>
      <c r="T3002" s="4">
        <f t="shared" si="279"/>
        <v>42766.75</v>
      </c>
      <c r="U3002" s="5">
        <f>VLOOKUP(currency,Tables!$A$1:$C$14,3,FALSE)*pledged</f>
        <v>500</v>
      </c>
    </row>
    <row r="3003" spans="1:21" ht="43.2" x14ac:dyDescent="0.55000000000000004">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16">
        <f t="shared" si="277"/>
        <v>131.37719999999999</v>
      </c>
      <c r="Q3003" t="str">
        <f t="shared" si="280"/>
        <v>theater</v>
      </c>
      <c r="R3003" t="str">
        <f t="shared" si="281"/>
        <v>spaces</v>
      </c>
      <c r="S3003" s="4">
        <f t="shared" si="278"/>
        <v>42534.895625000005</v>
      </c>
      <c r="T3003" s="4">
        <f t="shared" si="279"/>
        <v>42564.895625000005</v>
      </c>
      <c r="U3003" s="5">
        <f>VLOOKUP(currency,Tables!$A$1:$C$14,3,FALSE)*pledged</f>
        <v>22991.01</v>
      </c>
    </row>
    <row r="3004" spans="1:21" ht="28.8" x14ac:dyDescent="0.55000000000000004">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16">
        <f t="shared" si="277"/>
        <v>73.032980769230775</v>
      </c>
      <c r="Q3004" t="str">
        <f t="shared" si="280"/>
        <v>theater</v>
      </c>
      <c r="R3004" t="str">
        <f t="shared" si="281"/>
        <v>spaces</v>
      </c>
      <c r="S3004" s="4">
        <f t="shared" si="278"/>
        <v>41239.83625</v>
      </c>
      <c r="T3004" s="4">
        <f t="shared" si="279"/>
        <v>41269.83625</v>
      </c>
      <c r="U3004" s="5">
        <f>VLOOKUP(currency,Tables!$A$1:$C$14,3,FALSE)*pledged</f>
        <v>7595.43</v>
      </c>
    </row>
    <row r="3005" spans="1:21" ht="43.2" x14ac:dyDescent="0.55000000000000004">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16">
        <f t="shared" si="277"/>
        <v>178.52941176470588</v>
      </c>
      <c r="Q3005" t="str">
        <f t="shared" si="280"/>
        <v>theater</v>
      </c>
      <c r="R3005" t="str">
        <f t="shared" si="281"/>
        <v>spaces</v>
      </c>
      <c r="S3005" s="4">
        <f t="shared" si="278"/>
        <v>42398.849259259259</v>
      </c>
      <c r="T3005" s="4">
        <f t="shared" si="279"/>
        <v>42430.249305555553</v>
      </c>
      <c r="U3005" s="5">
        <f>VLOOKUP(currency,Tables!$A$1:$C$14,3,FALSE)*pledged</f>
        <v>3035</v>
      </c>
    </row>
    <row r="3006" spans="1:21" ht="43.2" x14ac:dyDescent="0.55000000000000004">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16">
        <f t="shared" si="277"/>
        <v>162.90974729241879</v>
      </c>
      <c r="Q3006" t="str">
        <f t="shared" si="280"/>
        <v>theater</v>
      </c>
      <c r="R3006" t="str">
        <f t="shared" si="281"/>
        <v>spaces</v>
      </c>
      <c r="S3006" s="4">
        <f t="shared" si="278"/>
        <v>41928.881064814814</v>
      </c>
      <c r="T3006" s="4">
        <f t="shared" si="279"/>
        <v>41958.922731481478</v>
      </c>
      <c r="U3006" s="5">
        <f>VLOOKUP(currency,Tables!$A$1:$C$14,3,FALSE)*pledged</f>
        <v>45126</v>
      </c>
    </row>
    <row r="3007" spans="1:21" ht="43.2" x14ac:dyDescent="0.55000000000000004">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16">
        <f t="shared" si="277"/>
        <v>108.24237288135593</v>
      </c>
      <c r="Q3007" t="str">
        <f t="shared" si="280"/>
        <v>theater</v>
      </c>
      <c r="R3007" t="str">
        <f t="shared" si="281"/>
        <v>spaces</v>
      </c>
      <c r="S3007" s="4">
        <f t="shared" si="278"/>
        <v>41888.674826388888</v>
      </c>
      <c r="T3007" s="4">
        <f t="shared" si="279"/>
        <v>41918.674826388888</v>
      </c>
      <c r="U3007" s="5">
        <f>VLOOKUP(currency,Tables!$A$1:$C$14,3,FALSE)*pledged</f>
        <v>12772.6</v>
      </c>
    </row>
    <row r="3008" spans="1:21" ht="28.8" x14ac:dyDescent="0.55000000000000004">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16">
        <f t="shared" si="277"/>
        <v>88.865979381443296</v>
      </c>
      <c r="Q3008" t="str">
        <f t="shared" si="280"/>
        <v>theater</v>
      </c>
      <c r="R3008" t="str">
        <f t="shared" si="281"/>
        <v>spaces</v>
      </c>
      <c r="S3008" s="4">
        <f t="shared" si="278"/>
        <v>41957.756840277783</v>
      </c>
      <c r="T3008" s="4">
        <f t="shared" si="279"/>
        <v>41987.756840277783</v>
      </c>
      <c r="U3008" s="5">
        <f>VLOOKUP(currency,Tables!$A$1:$C$14,3,FALSE)*pledged</f>
        <v>6551.2</v>
      </c>
    </row>
    <row r="3009" spans="1:21" ht="28.8" x14ac:dyDescent="0.55000000000000004">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276"/>
        <v>1.8</v>
      </c>
      <c r="P3009" s="16">
        <f t="shared" si="277"/>
        <v>54</v>
      </c>
      <c r="Q3009" t="str">
        <f t="shared" si="280"/>
        <v>theater</v>
      </c>
      <c r="R3009" t="str">
        <f t="shared" si="281"/>
        <v>spaces</v>
      </c>
      <c r="S3009" s="4">
        <f t="shared" si="278"/>
        <v>42098.216238425928</v>
      </c>
      <c r="T3009" s="4">
        <f t="shared" si="279"/>
        <v>42119.216238425928</v>
      </c>
      <c r="U3009" s="5">
        <f>VLOOKUP(currency,Tables!$A$1:$C$14,3,FALSE)*pledged</f>
        <v>1080</v>
      </c>
    </row>
    <row r="3010" spans="1:21" ht="43.2" x14ac:dyDescent="0.55000000000000004">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ref="O3010:O3073" si="282">pledged/goal</f>
        <v>1.0116666666666667</v>
      </c>
      <c r="P3010" s="16">
        <f t="shared" ref="P3010:P3073" si="283">IF(pledged=0,0,pledged/backers_count)</f>
        <v>116.73076923076923</v>
      </c>
      <c r="Q3010" t="str">
        <f t="shared" si="280"/>
        <v>theater</v>
      </c>
      <c r="R3010" t="str">
        <f t="shared" si="281"/>
        <v>spaces</v>
      </c>
      <c r="S3010" s="4">
        <f t="shared" ref="S3010:S3073" si="284">(((Unix_launched_date/60)/60)/24)+DATE(1970,1,1)</f>
        <v>42360.212025462963</v>
      </c>
      <c r="T3010" s="4">
        <f t="shared" ref="T3010:T3073" si="285">(((Unix_deadline/60)/60)/24)+DATE(1970,1,1)</f>
        <v>42390.212025462963</v>
      </c>
      <c r="U3010" s="5">
        <f>VLOOKUP(currency,Tables!$A$1:$C$14,3,FALSE)*pledged</f>
        <v>3035</v>
      </c>
    </row>
    <row r="3011" spans="1:21" ht="43.2" x14ac:dyDescent="0.55000000000000004">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si="282"/>
        <v>1.19756</v>
      </c>
      <c r="P3011" s="16">
        <f t="shared" si="283"/>
        <v>233.8984375</v>
      </c>
      <c r="Q3011" t="str">
        <f t="shared" ref="Q3011:Q3074" si="286">LEFT(N3011,FIND("/",N3011,1)-1)</f>
        <v>theater</v>
      </c>
      <c r="R3011" t="str">
        <f t="shared" ref="R3011:R3074" si="287">RIGHT(N3011,(LEN(N3011)-FIND("/",N3011,1)))</f>
        <v>spaces</v>
      </c>
      <c r="S3011" s="4">
        <f t="shared" si="284"/>
        <v>41939.569907407407</v>
      </c>
      <c r="T3011" s="4">
        <f t="shared" si="285"/>
        <v>41969.611574074079</v>
      </c>
      <c r="U3011" s="5">
        <f>VLOOKUP(currency,Tables!$A$1:$C$14,3,FALSE)*pledged</f>
        <v>29939</v>
      </c>
    </row>
    <row r="3012" spans="1:21" ht="43.2" x14ac:dyDescent="0.55000000000000004">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282"/>
        <v>1.58</v>
      </c>
      <c r="P3012" s="16">
        <f t="shared" si="283"/>
        <v>158</v>
      </c>
      <c r="Q3012" t="str">
        <f t="shared" si="286"/>
        <v>theater</v>
      </c>
      <c r="R3012" t="str">
        <f t="shared" si="287"/>
        <v>spaces</v>
      </c>
      <c r="S3012" s="4">
        <f t="shared" si="284"/>
        <v>41996.832395833335</v>
      </c>
      <c r="T3012" s="4">
        <f t="shared" si="285"/>
        <v>42056.832395833335</v>
      </c>
      <c r="U3012" s="5">
        <f>VLOOKUP(currency,Tables!$A$1:$C$14,3,FALSE)*pledged</f>
        <v>2370</v>
      </c>
    </row>
    <row r="3013" spans="1:21" ht="43.2" x14ac:dyDescent="0.55000000000000004">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16">
        <f t="shared" si="283"/>
        <v>14.84</v>
      </c>
      <c r="Q3013" t="str">
        <f t="shared" si="286"/>
        <v>theater</v>
      </c>
      <c r="R3013" t="str">
        <f t="shared" si="287"/>
        <v>spaces</v>
      </c>
      <c r="S3013" s="4">
        <f t="shared" si="284"/>
        <v>42334.468935185185</v>
      </c>
      <c r="T3013" s="4">
        <f t="shared" si="285"/>
        <v>42361.957638888889</v>
      </c>
      <c r="U3013" s="5">
        <f>VLOOKUP(currency,Tables!$A$1:$C$14,3,FALSE)*pledged</f>
        <v>437.78</v>
      </c>
    </row>
    <row r="3014" spans="1:21" ht="43.2" x14ac:dyDescent="0.55000000000000004">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16">
        <f t="shared" si="283"/>
        <v>85.181818181818187</v>
      </c>
      <c r="Q3014" t="str">
        <f t="shared" si="286"/>
        <v>theater</v>
      </c>
      <c r="R3014" t="str">
        <f t="shared" si="287"/>
        <v>spaces</v>
      </c>
      <c r="S3014" s="4">
        <f t="shared" si="284"/>
        <v>42024.702893518523</v>
      </c>
      <c r="T3014" s="4">
        <f t="shared" si="285"/>
        <v>42045.702893518523</v>
      </c>
      <c r="U3014" s="5">
        <f>VLOOKUP(currency,Tables!$A$1:$C$14,3,FALSE)*pledged</f>
        <v>4685</v>
      </c>
    </row>
    <row r="3015" spans="1:21" ht="43.2" x14ac:dyDescent="0.55000000000000004">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16">
        <f t="shared" si="283"/>
        <v>146.69158878504672</v>
      </c>
      <c r="Q3015" t="str">
        <f t="shared" si="286"/>
        <v>theater</v>
      </c>
      <c r="R3015" t="str">
        <f t="shared" si="287"/>
        <v>spaces</v>
      </c>
      <c r="S3015" s="4">
        <f t="shared" si="284"/>
        <v>42146.836215277777</v>
      </c>
      <c r="T3015" s="4">
        <f t="shared" si="285"/>
        <v>42176.836215277777</v>
      </c>
      <c r="U3015" s="5">
        <f>VLOOKUP(currency,Tables!$A$1:$C$14,3,FALSE)*pledged</f>
        <v>15696</v>
      </c>
    </row>
    <row r="3016" spans="1:21" ht="43.2" x14ac:dyDescent="0.55000000000000004">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16">
        <f t="shared" si="283"/>
        <v>50.764811490125673</v>
      </c>
      <c r="Q3016" t="str">
        <f t="shared" si="286"/>
        <v>theater</v>
      </c>
      <c r="R3016" t="str">
        <f t="shared" si="287"/>
        <v>spaces</v>
      </c>
      <c r="S3016" s="4">
        <f t="shared" si="284"/>
        <v>41920.123611111114</v>
      </c>
      <c r="T3016" s="4">
        <f t="shared" si="285"/>
        <v>41948.208333333336</v>
      </c>
      <c r="U3016" s="5">
        <f>VLOOKUP(currency,Tables!$A$1:$C$14,3,FALSE)*pledged</f>
        <v>28276</v>
      </c>
    </row>
    <row r="3017" spans="1:21" ht="43.2" x14ac:dyDescent="0.55000000000000004">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16">
        <f t="shared" si="283"/>
        <v>87.7</v>
      </c>
      <c r="Q3017" t="str">
        <f t="shared" si="286"/>
        <v>theater</v>
      </c>
      <c r="R3017" t="str">
        <f t="shared" si="287"/>
        <v>spaces</v>
      </c>
      <c r="S3017" s="4">
        <f t="shared" si="284"/>
        <v>41785.72729166667</v>
      </c>
      <c r="T3017" s="4">
        <f t="shared" si="285"/>
        <v>41801.166666666664</v>
      </c>
      <c r="U3017" s="5">
        <f>VLOOKUP(currency,Tables!$A$1:$C$14,3,FALSE)*pledged</f>
        <v>3508</v>
      </c>
    </row>
    <row r="3018" spans="1:21" ht="43.2" x14ac:dyDescent="0.55000000000000004">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16">
        <f t="shared" si="283"/>
        <v>242.27777777777777</v>
      </c>
      <c r="Q3018" t="str">
        <f t="shared" si="286"/>
        <v>theater</v>
      </c>
      <c r="R3018" t="str">
        <f t="shared" si="287"/>
        <v>spaces</v>
      </c>
      <c r="S3018" s="4">
        <f t="shared" si="284"/>
        <v>41778.548055555555</v>
      </c>
      <c r="T3018" s="4">
        <f t="shared" si="285"/>
        <v>41838.548055555555</v>
      </c>
      <c r="U3018" s="5">
        <f>VLOOKUP(currency,Tables!$A$1:$C$14,3,FALSE)*pledged</f>
        <v>8722</v>
      </c>
    </row>
    <row r="3019" spans="1:21" ht="43.2" x14ac:dyDescent="0.55000000000000004">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16">
        <f t="shared" si="283"/>
        <v>146.44654088050314</v>
      </c>
      <c r="Q3019" t="str">
        <f t="shared" si="286"/>
        <v>theater</v>
      </c>
      <c r="R3019" t="str">
        <f t="shared" si="287"/>
        <v>spaces</v>
      </c>
      <c r="S3019" s="4">
        <f t="shared" si="284"/>
        <v>41841.850034722222</v>
      </c>
      <c r="T3019" s="4">
        <f t="shared" si="285"/>
        <v>41871.850034722222</v>
      </c>
      <c r="U3019" s="5">
        <f>VLOOKUP(currency,Tables!$A$1:$C$14,3,FALSE)*pledged</f>
        <v>23285</v>
      </c>
    </row>
    <row r="3020" spans="1:21" ht="43.2" x14ac:dyDescent="0.55000000000000004">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16">
        <f t="shared" si="283"/>
        <v>103.17073170731707</v>
      </c>
      <c r="Q3020" t="str">
        <f t="shared" si="286"/>
        <v>theater</v>
      </c>
      <c r="R3020" t="str">
        <f t="shared" si="287"/>
        <v>spaces</v>
      </c>
      <c r="S3020" s="4">
        <f t="shared" si="284"/>
        <v>42163.29833333334</v>
      </c>
      <c r="T3020" s="4">
        <f t="shared" si="285"/>
        <v>42205.916666666672</v>
      </c>
      <c r="U3020" s="5">
        <f>VLOOKUP(currency,Tables!$A$1:$C$14,3,FALSE)*pledged</f>
        <v>4991.3999999999996</v>
      </c>
    </row>
    <row r="3021" spans="1:21" ht="43.2" x14ac:dyDescent="0.55000000000000004">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16">
        <f t="shared" si="283"/>
        <v>80.464601769911511</v>
      </c>
      <c r="Q3021" t="str">
        <f t="shared" si="286"/>
        <v>theater</v>
      </c>
      <c r="R3021" t="str">
        <f t="shared" si="287"/>
        <v>spaces</v>
      </c>
      <c r="S3021" s="4">
        <f t="shared" si="284"/>
        <v>41758.833564814813</v>
      </c>
      <c r="T3021" s="4">
        <f t="shared" si="285"/>
        <v>41786.125</v>
      </c>
      <c r="U3021" s="5">
        <f>VLOOKUP(currency,Tables!$A$1:$C$14,3,FALSE)*pledged</f>
        <v>18185</v>
      </c>
    </row>
    <row r="3022" spans="1:21" ht="43.2" x14ac:dyDescent="0.55000000000000004">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16">
        <f t="shared" si="283"/>
        <v>234.66666666666666</v>
      </c>
      <c r="Q3022" t="str">
        <f t="shared" si="286"/>
        <v>theater</v>
      </c>
      <c r="R3022" t="str">
        <f t="shared" si="287"/>
        <v>spaces</v>
      </c>
      <c r="S3022" s="4">
        <f t="shared" si="284"/>
        <v>42170.846446759257</v>
      </c>
      <c r="T3022" s="4">
        <f t="shared" si="285"/>
        <v>42230.846446759257</v>
      </c>
      <c r="U3022" s="5">
        <f>VLOOKUP(currency,Tables!$A$1:$C$14,3,FALSE)*pledged</f>
        <v>7040</v>
      </c>
    </row>
    <row r="3023" spans="1:21" ht="43.2" x14ac:dyDescent="0.55000000000000004">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16">
        <f t="shared" si="283"/>
        <v>50.689320388349515</v>
      </c>
      <c r="Q3023" t="str">
        <f t="shared" si="286"/>
        <v>theater</v>
      </c>
      <c r="R3023" t="str">
        <f t="shared" si="287"/>
        <v>spaces</v>
      </c>
      <c r="S3023" s="4">
        <f t="shared" si="284"/>
        <v>42660.618854166663</v>
      </c>
      <c r="T3023" s="4">
        <f t="shared" si="285"/>
        <v>42696.249305555553</v>
      </c>
      <c r="U3023" s="5">
        <f>VLOOKUP(currency,Tables!$A$1:$C$14,3,FALSE)*pledged</f>
        <v>5221</v>
      </c>
    </row>
    <row r="3024" spans="1:21" ht="43.2" x14ac:dyDescent="0.55000000000000004">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16">
        <f t="shared" si="283"/>
        <v>162.70967741935485</v>
      </c>
      <c r="Q3024" t="str">
        <f t="shared" si="286"/>
        <v>theater</v>
      </c>
      <c r="R3024" t="str">
        <f t="shared" si="287"/>
        <v>spaces</v>
      </c>
      <c r="S3024" s="4">
        <f t="shared" si="284"/>
        <v>42564.95380787037</v>
      </c>
      <c r="T3024" s="4">
        <f t="shared" si="285"/>
        <v>42609.95380787037</v>
      </c>
      <c r="U3024" s="5">
        <f>VLOOKUP(currency,Tables!$A$1:$C$14,3,FALSE)*pledged</f>
        <v>10088</v>
      </c>
    </row>
    <row r="3025" spans="1:21" ht="43.2" x14ac:dyDescent="0.55000000000000004">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282"/>
        <v>1.03</v>
      </c>
      <c r="P3025" s="16">
        <f t="shared" si="283"/>
        <v>120.16666666666667</v>
      </c>
      <c r="Q3025" t="str">
        <f t="shared" si="286"/>
        <v>theater</v>
      </c>
      <c r="R3025" t="str">
        <f t="shared" si="287"/>
        <v>spaces</v>
      </c>
      <c r="S3025" s="4">
        <f t="shared" si="284"/>
        <v>42121.675763888896</v>
      </c>
      <c r="T3025" s="4">
        <f t="shared" si="285"/>
        <v>42166.675763888896</v>
      </c>
      <c r="U3025" s="5">
        <f>VLOOKUP(currency,Tables!$A$1:$C$14,3,FALSE)*pledged</f>
        <v>951.72</v>
      </c>
    </row>
    <row r="3026" spans="1:21" ht="43.2" x14ac:dyDescent="0.55000000000000004">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16">
        <f t="shared" si="283"/>
        <v>67.697802197802204</v>
      </c>
      <c r="Q3026" t="str">
        <f t="shared" si="286"/>
        <v>theater</v>
      </c>
      <c r="R3026" t="str">
        <f t="shared" si="287"/>
        <v>spaces</v>
      </c>
      <c r="S3026" s="4">
        <f t="shared" si="284"/>
        <v>41158.993923611109</v>
      </c>
      <c r="T3026" s="4">
        <f t="shared" si="285"/>
        <v>41188.993923611109</v>
      </c>
      <c r="U3026" s="5">
        <f>VLOOKUP(currency,Tables!$A$1:$C$14,3,FALSE)*pledged</f>
        <v>12321</v>
      </c>
    </row>
    <row r="3027" spans="1:21" ht="43.2" x14ac:dyDescent="0.55000000000000004">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16">
        <f t="shared" si="283"/>
        <v>52.103448275862071</v>
      </c>
      <c r="Q3027" t="str">
        <f t="shared" si="286"/>
        <v>theater</v>
      </c>
      <c r="R3027" t="str">
        <f t="shared" si="287"/>
        <v>spaces</v>
      </c>
      <c r="S3027" s="4">
        <f t="shared" si="284"/>
        <v>41761.509409722225</v>
      </c>
      <c r="T3027" s="4">
        <f t="shared" si="285"/>
        <v>41789.666666666664</v>
      </c>
      <c r="U3027" s="5">
        <f>VLOOKUP(currency,Tables!$A$1:$C$14,3,FALSE)*pledged</f>
        <v>9972.6</v>
      </c>
    </row>
    <row r="3028" spans="1:21" ht="43.2" x14ac:dyDescent="0.55000000000000004">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16">
        <f t="shared" si="283"/>
        <v>51.6</v>
      </c>
      <c r="Q3028" t="str">
        <f t="shared" si="286"/>
        <v>theater</v>
      </c>
      <c r="R3028" t="str">
        <f t="shared" si="287"/>
        <v>spaces</v>
      </c>
      <c r="S3028" s="4">
        <f t="shared" si="284"/>
        <v>42783.459398148145</v>
      </c>
      <c r="T3028" s="4">
        <f t="shared" si="285"/>
        <v>42797.459398148145</v>
      </c>
      <c r="U3028" s="5">
        <f>VLOOKUP(currency,Tables!$A$1:$C$14,3,FALSE)*pledged</f>
        <v>1702.8000000000002</v>
      </c>
    </row>
    <row r="3029" spans="1:21" ht="43.2" x14ac:dyDescent="0.55000000000000004">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16">
        <f t="shared" si="283"/>
        <v>164.3</v>
      </c>
      <c r="Q3029" t="str">
        <f t="shared" si="286"/>
        <v>theater</v>
      </c>
      <c r="R3029" t="str">
        <f t="shared" si="287"/>
        <v>spaces</v>
      </c>
      <c r="S3029" s="4">
        <f t="shared" si="284"/>
        <v>42053.704293981486</v>
      </c>
      <c r="T3029" s="4">
        <f t="shared" si="285"/>
        <v>42083.662627314814</v>
      </c>
      <c r="U3029" s="5">
        <f>VLOOKUP(currency,Tables!$A$1:$C$14,3,FALSE)*pledged</f>
        <v>52576</v>
      </c>
    </row>
    <row r="3030" spans="1:21" ht="28.8" x14ac:dyDescent="0.55000000000000004">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16">
        <f t="shared" si="283"/>
        <v>84.858585858585855</v>
      </c>
      <c r="Q3030" t="str">
        <f t="shared" si="286"/>
        <v>theater</v>
      </c>
      <c r="R3030" t="str">
        <f t="shared" si="287"/>
        <v>spaces</v>
      </c>
      <c r="S3030" s="4">
        <f t="shared" si="284"/>
        <v>42567.264178240745</v>
      </c>
      <c r="T3030" s="4">
        <f t="shared" si="285"/>
        <v>42597.264178240745</v>
      </c>
      <c r="U3030" s="5">
        <f>VLOOKUP(currency,Tables!$A$1:$C$14,3,FALSE)*pledged</f>
        <v>8401</v>
      </c>
    </row>
    <row r="3031" spans="1:21" ht="43.2" x14ac:dyDescent="0.55000000000000004">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16">
        <f t="shared" si="283"/>
        <v>94.548850574712645</v>
      </c>
      <c r="Q3031" t="str">
        <f t="shared" si="286"/>
        <v>theater</v>
      </c>
      <c r="R3031" t="str">
        <f t="shared" si="287"/>
        <v>spaces</v>
      </c>
      <c r="S3031" s="4">
        <f t="shared" si="284"/>
        <v>41932.708877314813</v>
      </c>
      <c r="T3031" s="4">
        <f t="shared" si="285"/>
        <v>41961.190972222219</v>
      </c>
      <c r="U3031" s="5">
        <f>VLOOKUP(currency,Tables!$A$1:$C$14,3,FALSE)*pledged</f>
        <v>32903</v>
      </c>
    </row>
    <row r="3032" spans="1:21" ht="43.2" x14ac:dyDescent="0.55000000000000004">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16">
        <f t="shared" si="283"/>
        <v>45.536585365853661</v>
      </c>
      <c r="Q3032" t="str">
        <f t="shared" si="286"/>
        <v>theater</v>
      </c>
      <c r="R3032" t="str">
        <f t="shared" si="287"/>
        <v>spaces</v>
      </c>
      <c r="S3032" s="4">
        <f t="shared" si="284"/>
        <v>42233.747349537036</v>
      </c>
      <c r="T3032" s="4">
        <f t="shared" si="285"/>
        <v>42263.747349537036</v>
      </c>
      <c r="U3032" s="5">
        <f>VLOOKUP(currency,Tables!$A$1:$C$14,3,FALSE)*pledged</f>
        <v>1867</v>
      </c>
    </row>
    <row r="3033" spans="1:21" ht="72" x14ac:dyDescent="0.55000000000000004">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282"/>
        <v>1</v>
      </c>
      <c r="P3033" s="16">
        <f t="shared" si="283"/>
        <v>51.724137931034484</v>
      </c>
      <c r="Q3033" t="str">
        <f t="shared" si="286"/>
        <v>theater</v>
      </c>
      <c r="R3033" t="str">
        <f t="shared" si="287"/>
        <v>spaces</v>
      </c>
      <c r="S3033" s="4">
        <f t="shared" si="284"/>
        <v>42597.882488425923</v>
      </c>
      <c r="T3033" s="4">
        <f t="shared" si="285"/>
        <v>42657.882488425923</v>
      </c>
      <c r="U3033" s="5">
        <f>VLOOKUP(currency,Tables!$A$1:$C$14,3,FALSE)*pledged</f>
        <v>1500</v>
      </c>
    </row>
    <row r="3034" spans="1:21" ht="43.2" x14ac:dyDescent="0.55000000000000004">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16">
        <f t="shared" si="283"/>
        <v>50.88</v>
      </c>
      <c r="Q3034" t="str">
        <f t="shared" si="286"/>
        <v>theater</v>
      </c>
      <c r="R3034" t="str">
        <f t="shared" si="287"/>
        <v>spaces</v>
      </c>
      <c r="S3034" s="4">
        <f t="shared" si="284"/>
        <v>42228.044664351852</v>
      </c>
      <c r="T3034" s="4">
        <f t="shared" si="285"/>
        <v>42258.044664351852</v>
      </c>
      <c r="U3034" s="5">
        <f>VLOOKUP(currency,Tables!$A$1:$C$14,3,FALSE)*pledged</f>
        <v>1272</v>
      </c>
    </row>
    <row r="3035" spans="1:21" ht="43.2" x14ac:dyDescent="0.55000000000000004">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16">
        <f t="shared" si="283"/>
        <v>191.13043478260869</v>
      </c>
      <c r="Q3035" t="str">
        <f t="shared" si="286"/>
        <v>theater</v>
      </c>
      <c r="R3035" t="str">
        <f t="shared" si="287"/>
        <v>spaces</v>
      </c>
      <c r="S3035" s="4">
        <f t="shared" si="284"/>
        <v>42570.110243055555</v>
      </c>
      <c r="T3035" s="4">
        <f t="shared" si="285"/>
        <v>42600.110243055555</v>
      </c>
      <c r="U3035" s="5">
        <f>VLOOKUP(currency,Tables!$A$1:$C$14,3,FALSE)*pledged</f>
        <v>4396</v>
      </c>
    </row>
    <row r="3036" spans="1:21" ht="57.6" x14ac:dyDescent="0.55000000000000004">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16">
        <f t="shared" si="283"/>
        <v>89.314285714285717</v>
      </c>
      <c r="Q3036" t="str">
        <f t="shared" si="286"/>
        <v>theater</v>
      </c>
      <c r="R3036" t="str">
        <f t="shared" si="287"/>
        <v>spaces</v>
      </c>
      <c r="S3036" s="4">
        <f t="shared" si="284"/>
        <v>42644.535358796296</v>
      </c>
      <c r="T3036" s="4">
        <f t="shared" si="285"/>
        <v>42675.165972222225</v>
      </c>
      <c r="U3036" s="5">
        <f>VLOOKUP(currency,Tables!$A$1:$C$14,3,FALSE)*pledged</f>
        <v>112536</v>
      </c>
    </row>
    <row r="3037" spans="1:21" ht="28.8" x14ac:dyDescent="0.55000000000000004">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16">
        <f t="shared" si="283"/>
        <v>88.588631921824103</v>
      </c>
      <c r="Q3037" t="str">
        <f t="shared" si="286"/>
        <v>theater</v>
      </c>
      <c r="R3037" t="str">
        <f t="shared" si="287"/>
        <v>spaces</v>
      </c>
      <c r="S3037" s="4">
        <f t="shared" si="284"/>
        <v>41368.560289351852</v>
      </c>
      <c r="T3037" s="4">
        <f t="shared" si="285"/>
        <v>41398.560289351852</v>
      </c>
      <c r="U3037" s="5">
        <f>VLOOKUP(currency,Tables!$A$1:$C$14,3,FALSE)*pledged</f>
        <v>27196.71</v>
      </c>
    </row>
    <row r="3038" spans="1:21" ht="43.2" x14ac:dyDescent="0.55000000000000004">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16">
        <f t="shared" si="283"/>
        <v>96.300911854103347</v>
      </c>
      <c r="Q3038" t="str">
        <f t="shared" si="286"/>
        <v>theater</v>
      </c>
      <c r="R3038" t="str">
        <f t="shared" si="287"/>
        <v>spaces</v>
      </c>
      <c r="S3038" s="4">
        <f t="shared" si="284"/>
        <v>41466.785231481481</v>
      </c>
      <c r="T3038" s="4">
        <f t="shared" si="285"/>
        <v>41502.499305555553</v>
      </c>
      <c r="U3038" s="5">
        <f>VLOOKUP(currency,Tables!$A$1:$C$14,3,FALSE)*pledged</f>
        <v>31683</v>
      </c>
    </row>
    <row r="3039" spans="1:21" ht="57.6" x14ac:dyDescent="0.55000000000000004">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16">
        <f t="shared" si="283"/>
        <v>33.3125</v>
      </c>
      <c r="Q3039" t="str">
        <f t="shared" si="286"/>
        <v>theater</v>
      </c>
      <c r="R3039" t="str">
        <f t="shared" si="287"/>
        <v>spaces</v>
      </c>
      <c r="S3039" s="4">
        <f t="shared" si="284"/>
        <v>40378.893206018518</v>
      </c>
      <c r="T3039" s="4">
        <f t="shared" si="285"/>
        <v>40453.207638888889</v>
      </c>
      <c r="U3039" s="5">
        <f>VLOOKUP(currency,Tables!$A$1:$C$14,3,FALSE)*pledged</f>
        <v>1066</v>
      </c>
    </row>
    <row r="3040" spans="1:21" ht="43.2" x14ac:dyDescent="0.55000000000000004">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16">
        <f t="shared" si="283"/>
        <v>37.222222222222221</v>
      </c>
      <c r="Q3040" t="str">
        <f t="shared" si="286"/>
        <v>theater</v>
      </c>
      <c r="R3040" t="str">
        <f t="shared" si="287"/>
        <v>spaces</v>
      </c>
      <c r="S3040" s="4">
        <f t="shared" si="284"/>
        <v>42373.252280092594</v>
      </c>
      <c r="T3040" s="4">
        <f t="shared" si="285"/>
        <v>42433.252280092594</v>
      </c>
      <c r="U3040" s="5">
        <f>VLOOKUP(currency,Tables!$A$1:$C$14,3,FALSE)*pledged</f>
        <v>1005</v>
      </c>
    </row>
    <row r="3041" spans="1:21" ht="43.2" x14ac:dyDescent="0.55000000000000004">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16">
        <f t="shared" si="283"/>
        <v>92.130423728813554</v>
      </c>
      <c r="Q3041" t="str">
        <f t="shared" si="286"/>
        <v>theater</v>
      </c>
      <c r="R3041" t="str">
        <f t="shared" si="287"/>
        <v>spaces</v>
      </c>
      <c r="S3041" s="4">
        <f t="shared" si="284"/>
        <v>41610.794421296298</v>
      </c>
      <c r="T3041" s="4">
        <f t="shared" si="285"/>
        <v>41637.332638888889</v>
      </c>
      <c r="U3041" s="5">
        <f>VLOOKUP(currency,Tables!$A$1:$C$14,3,FALSE)*pledged</f>
        <v>21742.78</v>
      </c>
    </row>
    <row r="3042" spans="1:21" ht="43.2" x14ac:dyDescent="0.55000000000000004">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16">
        <f t="shared" si="283"/>
        <v>76.785714285714292</v>
      </c>
      <c r="Q3042" t="str">
        <f t="shared" si="286"/>
        <v>theater</v>
      </c>
      <c r="R3042" t="str">
        <f t="shared" si="287"/>
        <v>spaces</v>
      </c>
      <c r="S3042" s="4">
        <f t="shared" si="284"/>
        <v>42177.791909722218</v>
      </c>
      <c r="T3042" s="4">
        <f t="shared" si="285"/>
        <v>42181.958333333328</v>
      </c>
      <c r="U3042" s="5">
        <f>VLOOKUP(currency,Tables!$A$1:$C$14,3,FALSE)*pledged</f>
        <v>3225</v>
      </c>
    </row>
    <row r="3043" spans="1:21" ht="28.8" x14ac:dyDescent="0.55000000000000004">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16">
        <f t="shared" si="283"/>
        <v>96.526315789473685</v>
      </c>
      <c r="Q3043" t="str">
        <f t="shared" si="286"/>
        <v>theater</v>
      </c>
      <c r="R3043" t="str">
        <f t="shared" si="287"/>
        <v>spaces</v>
      </c>
      <c r="S3043" s="4">
        <f t="shared" si="284"/>
        <v>42359.868611111116</v>
      </c>
      <c r="T3043" s="4">
        <f t="shared" si="285"/>
        <v>42389.868611111116</v>
      </c>
      <c r="U3043" s="5">
        <f>VLOOKUP(currency,Tables!$A$1:$C$14,3,FALSE)*pledged</f>
        <v>9170</v>
      </c>
    </row>
    <row r="3044" spans="1:21" ht="43.2" x14ac:dyDescent="0.55000000000000004">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282"/>
        <v>1.28</v>
      </c>
      <c r="P3044" s="16">
        <f t="shared" si="283"/>
        <v>51.891891891891895</v>
      </c>
      <c r="Q3044" t="str">
        <f t="shared" si="286"/>
        <v>theater</v>
      </c>
      <c r="R3044" t="str">
        <f t="shared" si="287"/>
        <v>spaces</v>
      </c>
      <c r="S3044" s="4">
        <f t="shared" si="284"/>
        <v>42253.688043981485</v>
      </c>
      <c r="T3044" s="4">
        <f t="shared" si="285"/>
        <v>42283.688043981485</v>
      </c>
      <c r="U3044" s="5">
        <f>VLOOKUP(currency,Tables!$A$1:$C$14,3,FALSE)*pledged</f>
        <v>2534.4</v>
      </c>
    </row>
    <row r="3045" spans="1:21" ht="43.2" x14ac:dyDescent="0.55000000000000004">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16">
        <f t="shared" si="283"/>
        <v>128.9140625</v>
      </c>
      <c r="Q3045" t="str">
        <f t="shared" si="286"/>
        <v>theater</v>
      </c>
      <c r="R3045" t="str">
        <f t="shared" si="287"/>
        <v>spaces</v>
      </c>
      <c r="S3045" s="4">
        <f t="shared" si="284"/>
        <v>42083.070590277777</v>
      </c>
      <c r="T3045" s="4">
        <f t="shared" si="285"/>
        <v>42110.118055555555</v>
      </c>
      <c r="U3045" s="5">
        <f>VLOOKUP(currency,Tables!$A$1:$C$14,3,FALSE)*pledged</f>
        <v>12540.76</v>
      </c>
    </row>
    <row r="3046" spans="1:21" ht="43.2" x14ac:dyDescent="0.55000000000000004">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16">
        <f t="shared" si="283"/>
        <v>84.108974358974365</v>
      </c>
      <c r="Q3046" t="str">
        <f t="shared" si="286"/>
        <v>theater</v>
      </c>
      <c r="R3046" t="str">
        <f t="shared" si="287"/>
        <v>spaces</v>
      </c>
      <c r="S3046" s="4">
        <f t="shared" si="284"/>
        <v>42387.7268287037</v>
      </c>
      <c r="T3046" s="4">
        <f t="shared" si="285"/>
        <v>42402.7268287037</v>
      </c>
      <c r="U3046" s="5">
        <f>VLOOKUP(currency,Tables!$A$1:$C$14,3,FALSE)*pledged</f>
        <v>13121</v>
      </c>
    </row>
    <row r="3047" spans="1:21" ht="43.2" x14ac:dyDescent="0.55000000000000004">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16">
        <f t="shared" si="283"/>
        <v>82.941562500000003</v>
      </c>
      <c r="Q3047" t="str">
        <f t="shared" si="286"/>
        <v>theater</v>
      </c>
      <c r="R3047" t="str">
        <f t="shared" si="287"/>
        <v>spaces</v>
      </c>
      <c r="S3047" s="4">
        <f t="shared" si="284"/>
        <v>41843.155729166669</v>
      </c>
      <c r="T3047" s="4">
        <f t="shared" si="285"/>
        <v>41873.155729166669</v>
      </c>
      <c r="U3047" s="5">
        <f>VLOOKUP(currency,Tables!$A$1:$C$14,3,FALSE)*pledged</f>
        <v>5308.26</v>
      </c>
    </row>
    <row r="3048" spans="1:21" ht="43.2" x14ac:dyDescent="0.55000000000000004">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16">
        <f t="shared" si="283"/>
        <v>259.94827586206895</v>
      </c>
      <c r="Q3048" t="str">
        <f t="shared" si="286"/>
        <v>theater</v>
      </c>
      <c r="R3048" t="str">
        <f t="shared" si="287"/>
        <v>spaces</v>
      </c>
      <c r="S3048" s="4">
        <f t="shared" si="284"/>
        <v>41862.803078703706</v>
      </c>
      <c r="T3048" s="4">
        <f t="shared" si="285"/>
        <v>41892.202777777777</v>
      </c>
      <c r="U3048" s="5">
        <f>VLOOKUP(currency,Tables!$A$1:$C$14,3,FALSE)*pledged</f>
        <v>15077</v>
      </c>
    </row>
    <row r="3049" spans="1:21" ht="43.2" x14ac:dyDescent="0.55000000000000004">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282"/>
        <v>1.49</v>
      </c>
      <c r="P3049" s="16">
        <f t="shared" si="283"/>
        <v>37.25</v>
      </c>
      <c r="Q3049" t="str">
        <f t="shared" si="286"/>
        <v>theater</v>
      </c>
      <c r="R3049" t="str">
        <f t="shared" si="287"/>
        <v>spaces</v>
      </c>
      <c r="S3049" s="4">
        <f t="shared" si="284"/>
        <v>42443.989050925928</v>
      </c>
      <c r="T3049" s="4">
        <f t="shared" si="285"/>
        <v>42487.552777777775</v>
      </c>
      <c r="U3049" s="5">
        <f>VLOOKUP(currency,Tables!$A$1:$C$14,3,FALSE)*pledged</f>
        <v>745</v>
      </c>
    </row>
    <row r="3050" spans="1:21" ht="43.2" x14ac:dyDescent="0.55000000000000004">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16">
        <f t="shared" si="283"/>
        <v>177.02127659574469</v>
      </c>
      <c r="Q3050" t="str">
        <f t="shared" si="286"/>
        <v>theater</v>
      </c>
      <c r="R3050" t="str">
        <f t="shared" si="287"/>
        <v>spaces</v>
      </c>
      <c r="S3050" s="4">
        <f t="shared" si="284"/>
        <v>41975.901180555549</v>
      </c>
      <c r="T3050" s="4">
        <f t="shared" si="285"/>
        <v>42004.890277777777</v>
      </c>
      <c r="U3050" s="5">
        <f>VLOOKUP(currency,Tables!$A$1:$C$14,3,FALSE)*pledged</f>
        <v>8320</v>
      </c>
    </row>
    <row r="3051" spans="1:21" ht="43.2" x14ac:dyDescent="0.55000000000000004">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16">
        <f t="shared" si="283"/>
        <v>74.074074074074076</v>
      </c>
      <c r="Q3051" t="str">
        <f t="shared" si="286"/>
        <v>theater</v>
      </c>
      <c r="R3051" t="str">
        <f t="shared" si="287"/>
        <v>spaces</v>
      </c>
      <c r="S3051" s="4">
        <f t="shared" si="284"/>
        <v>42139.014525462961</v>
      </c>
      <c r="T3051" s="4">
        <f t="shared" si="285"/>
        <v>42169.014525462961</v>
      </c>
      <c r="U3051" s="5">
        <f>VLOOKUP(currency,Tables!$A$1:$C$14,3,FALSE)*pledged</f>
        <v>4000</v>
      </c>
    </row>
    <row r="3052" spans="1:21" ht="28.8" x14ac:dyDescent="0.55000000000000004">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282"/>
        <v>1.06</v>
      </c>
      <c r="P3052" s="16">
        <f t="shared" si="283"/>
        <v>70.666666666666671</v>
      </c>
      <c r="Q3052" t="str">
        <f t="shared" si="286"/>
        <v>theater</v>
      </c>
      <c r="R3052" t="str">
        <f t="shared" si="287"/>
        <v>spaces</v>
      </c>
      <c r="S3052" s="4">
        <f t="shared" si="284"/>
        <v>42465.16851851852</v>
      </c>
      <c r="T3052" s="4">
        <f t="shared" si="285"/>
        <v>42495.16851851852</v>
      </c>
      <c r="U3052" s="5">
        <f>VLOOKUP(currency,Tables!$A$1:$C$14,3,FALSE)*pledged</f>
        <v>636</v>
      </c>
    </row>
    <row r="3053" spans="1:21" ht="43.2" x14ac:dyDescent="0.55000000000000004">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16">
        <f t="shared" si="283"/>
        <v>23.62857142857143</v>
      </c>
      <c r="Q3053" t="str">
        <f t="shared" si="286"/>
        <v>theater</v>
      </c>
      <c r="R3053" t="str">
        <f t="shared" si="287"/>
        <v>spaces</v>
      </c>
      <c r="S3053" s="4">
        <f t="shared" si="284"/>
        <v>42744.416030092587</v>
      </c>
      <c r="T3053" s="4">
        <f t="shared" si="285"/>
        <v>42774.416030092587</v>
      </c>
      <c r="U3053" s="5">
        <f>VLOOKUP(currency,Tables!$A$1:$C$14,3,FALSE)*pledged</f>
        <v>1091.6400000000001</v>
      </c>
    </row>
    <row r="3054" spans="1:21" ht="28.8" x14ac:dyDescent="0.55000000000000004">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282"/>
        <v>1.5E-3</v>
      </c>
      <c r="P3054" s="16">
        <f t="shared" si="283"/>
        <v>37.5</v>
      </c>
      <c r="Q3054" t="str">
        <f t="shared" si="286"/>
        <v>theater</v>
      </c>
      <c r="R3054" t="str">
        <f t="shared" si="287"/>
        <v>spaces</v>
      </c>
      <c r="S3054" s="4">
        <f t="shared" si="284"/>
        <v>42122.670069444444</v>
      </c>
      <c r="T3054" s="4">
        <f t="shared" si="285"/>
        <v>42152.665972222225</v>
      </c>
      <c r="U3054" s="5">
        <f>VLOOKUP(currency,Tables!$A$1:$C$14,3,FALSE)*pledged</f>
        <v>75</v>
      </c>
    </row>
    <row r="3055" spans="1:21" ht="43.2" x14ac:dyDescent="0.55000000000000004">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16">
        <f t="shared" si="283"/>
        <v>13.333333333333334</v>
      </c>
      <c r="Q3055" t="str">
        <f t="shared" si="286"/>
        <v>theater</v>
      </c>
      <c r="R3055" t="str">
        <f t="shared" si="287"/>
        <v>spaces</v>
      </c>
      <c r="S3055" s="4">
        <f t="shared" si="284"/>
        <v>41862.761724537035</v>
      </c>
      <c r="T3055" s="4">
        <f t="shared" si="285"/>
        <v>41914.165972222225</v>
      </c>
      <c r="U3055" s="5">
        <f>VLOOKUP(currency,Tables!$A$1:$C$14,3,FALSE)*pledged</f>
        <v>40</v>
      </c>
    </row>
    <row r="3056" spans="1:21" ht="43.2" x14ac:dyDescent="0.55000000000000004">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282"/>
        <v>0</v>
      </c>
      <c r="P3056" s="16">
        <f t="shared" si="283"/>
        <v>0</v>
      </c>
      <c r="Q3056" t="str">
        <f t="shared" si="286"/>
        <v>theater</v>
      </c>
      <c r="R3056" t="str">
        <f t="shared" si="287"/>
        <v>spaces</v>
      </c>
      <c r="S3056" s="4">
        <f t="shared" si="284"/>
        <v>42027.832800925928</v>
      </c>
      <c r="T3056" s="4">
        <f t="shared" si="285"/>
        <v>42065.044444444444</v>
      </c>
      <c r="U3056" s="5">
        <f>VLOOKUP(currency,Tables!$A$1:$C$14,3,FALSE)*pledged</f>
        <v>0</v>
      </c>
    </row>
    <row r="3057" spans="1:21" ht="43.2" x14ac:dyDescent="0.55000000000000004">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16">
        <f t="shared" si="283"/>
        <v>1</v>
      </c>
      <c r="Q3057" t="str">
        <f t="shared" si="286"/>
        <v>theater</v>
      </c>
      <c r="R3057" t="str">
        <f t="shared" si="287"/>
        <v>spaces</v>
      </c>
      <c r="S3057" s="4">
        <f t="shared" si="284"/>
        <v>41953.95821759259</v>
      </c>
      <c r="T3057" s="4">
        <f t="shared" si="285"/>
        <v>42013.95821759259</v>
      </c>
      <c r="U3057" s="5">
        <f>VLOOKUP(currency,Tables!$A$1:$C$14,3,FALSE)*pledged</f>
        <v>1</v>
      </c>
    </row>
    <row r="3058" spans="1:21" ht="43.2" x14ac:dyDescent="0.55000000000000004">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282"/>
        <v>0</v>
      </c>
      <c r="P3058" s="16">
        <f t="shared" si="283"/>
        <v>0</v>
      </c>
      <c r="Q3058" t="str">
        <f t="shared" si="286"/>
        <v>theater</v>
      </c>
      <c r="R3058" t="str">
        <f t="shared" si="287"/>
        <v>spaces</v>
      </c>
      <c r="S3058" s="4">
        <f t="shared" si="284"/>
        <v>41851.636388888888</v>
      </c>
      <c r="T3058" s="4">
        <f t="shared" si="285"/>
        <v>41911.636388888888</v>
      </c>
      <c r="U3058" s="5">
        <f>VLOOKUP(currency,Tables!$A$1:$C$14,3,FALSE)*pledged</f>
        <v>0</v>
      </c>
    </row>
    <row r="3059" spans="1:21" ht="43.2" x14ac:dyDescent="0.55000000000000004">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282"/>
        <v>0</v>
      </c>
      <c r="P3059" s="16">
        <f t="shared" si="283"/>
        <v>0</v>
      </c>
      <c r="Q3059" t="str">
        <f t="shared" si="286"/>
        <v>theater</v>
      </c>
      <c r="R3059" t="str">
        <f t="shared" si="287"/>
        <v>spaces</v>
      </c>
      <c r="S3059" s="4">
        <f t="shared" si="284"/>
        <v>42433.650590277779</v>
      </c>
      <c r="T3059" s="4">
        <f t="shared" si="285"/>
        <v>42463.608923611115</v>
      </c>
      <c r="U3059" s="5">
        <f>VLOOKUP(currency,Tables!$A$1:$C$14,3,FALSE)*pledged</f>
        <v>0</v>
      </c>
    </row>
    <row r="3060" spans="1:21" ht="43.2" x14ac:dyDescent="0.55000000000000004">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16">
        <f t="shared" si="283"/>
        <v>1</v>
      </c>
      <c r="Q3060" t="str">
        <f t="shared" si="286"/>
        <v>theater</v>
      </c>
      <c r="R3060" t="str">
        <f t="shared" si="287"/>
        <v>spaces</v>
      </c>
      <c r="S3060" s="4">
        <f t="shared" si="284"/>
        <v>42460.374305555553</v>
      </c>
      <c r="T3060" s="4">
        <f t="shared" si="285"/>
        <v>42510.374305555553</v>
      </c>
      <c r="U3060" s="5">
        <f>VLOOKUP(currency,Tables!$A$1:$C$14,3,FALSE)*pledged</f>
        <v>3.54</v>
      </c>
    </row>
    <row r="3061" spans="1:21" ht="43.2" x14ac:dyDescent="0.55000000000000004">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16">
        <f t="shared" si="283"/>
        <v>41</v>
      </c>
      <c r="Q3061" t="str">
        <f t="shared" si="286"/>
        <v>theater</v>
      </c>
      <c r="R3061" t="str">
        <f t="shared" si="287"/>
        <v>spaces</v>
      </c>
      <c r="S3061" s="4">
        <f t="shared" si="284"/>
        <v>41829.935717592591</v>
      </c>
      <c r="T3061" s="4">
        <f t="shared" si="285"/>
        <v>41859.935717592591</v>
      </c>
      <c r="U3061" s="5">
        <f>VLOOKUP(currency,Tables!$A$1:$C$14,3,FALSE)*pledged</f>
        <v>451</v>
      </c>
    </row>
    <row r="3062" spans="1:21" ht="28.8" x14ac:dyDescent="0.55000000000000004">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16">
        <f t="shared" si="283"/>
        <v>55.833333333333336</v>
      </c>
      <c r="Q3062" t="str">
        <f t="shared" si="286"/>
        <v>theater</v>
      </c>
      <c r="R3062" t="str">
        <f t="shared" si="287"/>
        <v>spaces</v>
      </c>
      <c r="S3062" s="4">
        <f t="shared" si="284"/>
        <v>42245.274699074071</v>
      </c>
      <c r="T3062" s="4">
        <f t="shared" si="285"/>
        <v>42275.274699074071</v>
      </c>
      <c r="U3062" s="5">
        <f>VLOOKUP(currency,Tables!$A$1:$C$14,3,FALSE)*pledged</f>
        <v>335</v>
      </c>
    </row>
    <row r="3063" spans="1:21" x14ac:dyDescent="0.55000000000000004">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282"/>
        <v>0</v>
      </c>
      <c r="P3063" s="16">
        <f t="shared" si="283"/>
        <v>0</v>
      </c>
      <c r="Q3063" t="str">
        <f t="shared" si="286"/>
        <v>theater</v>
      </c>
      <c r="R3063" t="str">
        <f t="shared" si="287"/>
        <v>spaces</v>
      </c>
      <c r="S3063" s="4">
        <f t="shared" si="284"/>
        <v>41834.784120370372</v>
      </c>
      <c r="T3063" s="4">
        <f t="shared" si="285"/>
        <v>41864.784120370372</v>
      </c>
      <c r="U3063" s="5">
        <f>VLOOKUP(currency,Tables!$A$1:$C$14,3,FALSE)*pledged</f>
        <v>0</v>
      </c>
    </row>
    <row r="3064" spans="1:21" ht="43.2" x14ac:dyDescent="0.55000000000000004">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16">
        <f t="shared" si="283"/>
        <v>99.761194029850742</v>
      </c>
      <c r="Q3064" t="str">
        <f t="shared" si="286"/>
        <v>theater</v>
      </c>
      <c r="R3064" t="str">
        <f t="shared" si="287"/>
        <v>spaces</v>
      </c>
      <c r="S3064" s="4">
        <f t="shared" si="284"/>
        <v>42248.535787037035</v>
      </c>
      <c r="T3064" s="4">
        <f t="shared" si="285"/>
        <v>42277.75</v>
      </c>
      <c r="U3064" s="5">
        <f>VLOOKUP(currency,Tables!$A$1:$C$14,3,FALSE)*pledged</f>
        <v>6684</v>
      </c>
    </row>
    <row r="3065" spans="1:21" ht="43.2" x14ac:dyDescent="0.55000000000000004">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16">
        <f t="shared" si="283"/>
        <v>25.521739130434781</v>
      </c>
      <c r="Q3065" t="str">
        <f t="shared" si="286"/>
        <v>theater</v>
      </c>
      <c r="R3065" t="str">
        <f t="shared" si="287"/>
        <v>spaces</v>
      </c>
      <c r="S3065" s="4">
        <f t="shared" si="284"/>
        <v>42630.922893518517</v>
      </c>
      <c r="T3065" s="4">
        <f t="shared" si="285"/>
        <v>42665.922893518517</v>
      </c>
      <c r="U3065" s="5">
        <f>VLOOKUP(currency,Tables!$A$1:$C$14,3,FALSE)*pledged</f>
        <v>587</v>
      </c>
    </row>
    <row r="3066" spans="1:21" ht="28.8" x14ac:dyDescent="0.55000000000000004">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16">
        <f t="shared" si="283"/>
        <v>117.65277777777777</v>
      </c>
      <c r="Q3066" t="str">
        <f t="shared" si="286"/>
        <v>theater</v>
      </c>
      <c r="R3066" t="str">
        <f t="shared" si="287"/>
        <v>spaces</v>
      </c>
      <c r="S3066" s="4">
        <f t="shared" si="284"/>
        <v>42299.130162037036</v>
      </c>
      <c r="T3066" s="4">
        <f t="shared" si="285"/>
        <v>42330.290972222225</v>
      </c>
      <c r="U3066" s="5">
        <f>VLOOKUP(currency,Tables!$A$1:$C$14,3,FALSE)*pledged</f>
        <v>8471</v>
      </c>
    </row>
    <row r="3067" spans="1:21" ht="43.2" x14ac:dyDescent="0.55000000000000004">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16">
        <f t="shared" si="283"/>
        <v>5</v>
      </c>
      <c r="Q3067" t="str">
        <f t="shared" si="286"/>
        <v>theater</v>
      </c>
      <c r="R3067" t="str">
        <f t="shared" si="287"/>
        <v>spaces</v>
      </c>
      <c r="S3067" s="4">
        <f t="shared" si="284"/>
        <v>41825.055231481485</v>
      </c>
      <c r="T3067" s="4">
        <f t="shared" si="285"/>
        <v>41850.055231481485</v>
      </c>
      <c r="U3067" s="5">
        <f>VLOOKUP(currency,Tables!$A$1:$C$14,3,FALSE)*pledged</f>
        <v>10</v>
      </c>
    </row>
    <row r="3068" spans="1:21" ht="43.2" x14ac:dyDescent="0.55000000000000004">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16">
        <f t="shared" si="283"/>
        <v>2796.6666666666665</v>
      </c>
      <c r="Q3068" t="str">
        <f t="shared" si="286"/>
        <v>theater</v>
      </c>
      <c r="R3068" t="str">
        <f t="shared" si="287"/>
        <v>spaces</v>
      </c>
      <c r="S3068" s="4">
        <f t="shared" si="284"/>
        <v>42531.228437500002</v>
      </c>
      <c r="T3068" s="4">
        <f t="shared" si="285"/>
        <v>42561.228437500002</v>
      </c>
      <c r="U3068" s="5">
        <f>VLOOKUP(currency,Tables!$A$1:$C$14,3,FALSE)*pledged</f>
        <v>30623.5</v>
      </c>
    </row>
    <row r="3069" spans="1:21" ht="43.2" x14ac:dyDescent="0.55000000000000004">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16">
        <f t="shared" si="283"/>
        <v>200</v>
      </c>
      <c r="Q3069" t="str">
        <f t="shared" si="286"/>
        <v>theater</v>
      </c>
      <c r="R3069" t="str">
        <f t="shared" si="287"/>
        <v>spaces</v>
      </c>
      <c r="S3069" s="4">
        <f t="shared" si="284"/>
        <v>42226.938414351855</v>
      </c>
      <c r="T3069" s="4">
        <f t="shared" si="285"/>
        <v>42256.938414351855</v>
      </c>
      <c r="U3069" s="5">
        <f>VLOOKUP(currency,Tables!$A$1:$C$14,3,FALSE)*pledged</f>
        <v>134</v>
      </c>
    </row>
    <row r="3070" spans="1:21" ht="43.2" x14ac:dyDescent="0.55000000000000004">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16">
        <f t="shared" si="283"/>
        <v>87.5</v>
      </c>
      <c r="Q3070" t="str">
        <f t="shared" si="286"/>
        <v>theater</v>
      </c>
      <c r="R3070" t="str">
        <f t="shared" si="287"/>
        <v>spaces</v>
      </c>
      <c r="S3070" s="4">
        <f t="shared" si="284"/>
        <v>42263.691574074073</v>
      </c>
      <c r="T3070" s="4">
        <f t="shared" si="285"/>
        <v>42293.691574074073</v>
      </c>
      <c r="U3070" s="5">
        <f>VLOOKUP(currency,Tables!$A$1:$C$14,3,FALSE)*pledged</f>
        <v>175</v>
      </c>
    </row>
    <row r="3071" spans="1:21" ht="43.2" x14ac:dyDescent="0.55000000000000004">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16">
        <f t="shared" si="283"/>
        <v>20.142857142857142</v>
      </c>
      <c r="Q3071" t="str">
        <f t="shared" si="286"/>
        <v>theater</v>
      </c>
      <c r="R3071" t="str">
        <f t="shared" si="287"/>
        <v>spaces</v>
      </c>
      <c r="S3071" s="4">
        <f t="shared" si="284"/>
        <v>41957.833726851852</v>
      </c>
      <c r="T3071" s="4">
        <f t="shared" si="285"/>
        <v>41987.833726851852</v>
      </c>
      <c r="U3071" s="5">
        <f>VLOOKUP(currency,Tables!$A$1:$C$14,3,FALSE)*pledged</f>
        <v>141</v>
      </c>
    </row>
    <row r="3072" spans="1:21" ht="43.2" x14ac:dyDescent="0.55000000000000004">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16">
        <f t="shared" si="283"/>
        <v>20.875</v>
      </c>
      <c r="Q3072" t="str">
        <f t="shared" si="286"/>
        <v>theater</v>
      </c>
      <c r="R3072" t="str">
        <f t="shared" si="287"/>
        <v>spaces</v>
      </c>
      <c r="S3072" s="4">
        <f t="shared" si="284"/>
        <v>42690.733437499999</v>
      </c>
      <c r="T3072" s="4">
        <f t="shared" si="285"/>
        <v>42711.733437499999</v>
      </c>
      <c r="U3072" s="5">
        <f>VLOOKUP(currency,Tables!$A$1:$C$14,3,FALSE)*pledged</f>
        <v>440.88</v>
      </c>
    </row>
    <row r="3073" spans="1:21" ht="43.2" x14ac:dyDescent="0.55000000000000004">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16">
        <f t="shared" si="283"/>
        <v>61.307692307692307</v>
      </c>
      <c r="Q3073" t="str">
        <f t="shared" si="286"/>
        <v>theater</v>
      </c>
      <c r="R3073" t="str">
        <f t="shared" si="287"/>
        <v>spaces</v>
      </c>
      <c r="S3073" s="4">
        <f t="shared" si="284"/>
        <v>42097.732418981483</v>
      </c>
      <c r="T3073" s="4">
        <f t="shared" si="285"/>
        <v>42115.249305555553</v>
      </c>
      <c r="U3073" s="5">
        <f>VLOOKUP(currency,Tables!$A$1:$C$14,3,FALSE)*pledged</f>
        <v>7173</v>
      </c>
    </row>
    <row r="3074" spans="1:21" ht="43.2" x14ac:dyDescent="0.55000000000000004">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ref="O3074:O3137" si="288">pledged/goal</f>
        <v>1.6666666666666666E-4</v>
      </c>
      <c r="P3074" s="16">
        <f t="shared" ref="P3074:P3137" si="289">IF(pledged=0,0,pledged/backers_count)</f>
        <v>1</v>
      </c>
      <c r="Q3074" t="str">
        <f t="shared" si="286"/>
        <v>theater</v>
      </c>
      <c r="R3074" t="str">
        <f t="shared" si="287"/>
        <v>spaces</v>
      </c>
      <c r="S3074" s="4">
        <f t="shared" ref="S3074:S3137" si="290">(((Unix_launched_date/60)/60)/24)+DATE(1970,1,1)</f>
        <v>42658.690532407403</v>
      </c>
      <c r="T3074" s="4">
        <f t="shared" ref="T3074:T3137" si="291">(((Unix_deadline/60)/60)/24)+DATE(1970,1,1)</f>
        <v>42673.073611111111</v>
      </c>
      <c r="U3074" s="5">
        <f>VLOOKUP(currency,Tables!$A$1:$C$14,3,FALSE)*pledged</f>
        <v>2</v>
      </c>
    </row>
    <row r="3075" spans="1:21" ht="43.2" x14ac:dyDescent="0.55000000000000004">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si="288"/>
        <v>2.3035714285714285E-4</v>
      </c>
      <c r="P3075" s="16">
        <f t="shared" si="289"/>
        <v>92.142857142857139</v>
      </c>
      <c r="Q3075" t="str">
        <f t="shared" ref="Q3075:Q3138" si="292">LEFT(N3075,FIND("/",N3075,1)-1)</f>
        <v>theater</v>
      </c>
      <c r="R3075" t="str">
        <f t="shared" ref="R3075:R3138" si="293">RIGHT(N3075,(LEN(N3075)-FIND("/",N3075,1)))</f>
        <v>spaces</v>
      </c>
      <c r="S3075" s="4">
        <f t="shared" si="290"/>
        <v>42111.684027777781</v>
      </c>
      <c r="T3075" s="4">
        <f t="shared" si="291"/>
        <v>42169.804861111115</v>
      </c>
      <c r="U3075" s="5">
        <f>VLOOKUP(currency,Tables!$A$1:$C$14,3,FALSE)*pledged</f>
        <v>645</v>
      </c>
    </row>
    <row r="3076" spans="1:21" ht="57.6" x14ac:dyDescent="0.55000000000000004">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16">
        <f t="shared" si="289"/>
        <v>7.333333333333333</v>
      </c>
      <c r="Q3076" t="str">
        <f t="shared" si="292"/>
        <v>theater</v>
      </c>
      <c r="R3076" t="str">
        <f t="shared" si="293"/>
        <v>spaces</v>
      </c>
      <c r="S3076" s="4">
        <f t="shared" si="290"/>
        <v>42409.571284722217</v>
      </c>
      <c r="T3076" s="4">
        <f t="shared" si="291"/>
        <v>42439.571284722217</v>
      </c>
      <c r="U3076" s="5">
        <f>VLOOKUP(currency,Tables!$A$1:$C$14,3,FALSE)*pledged</f>
        <v>25.959999999999997</v>
      </c>
    </row>
    <row r="3077" spans="1:21" ht="43.2" x14ac:dyDescent="0.55000000000000004">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16">
        <f t="shared" si="289"/>
        <v>64.8</v>
      </c>
      <c r="Q3077" t="str">
        <f t="shared" si="292"/>
        <v>theater</v>
      </c>
      <c r="R3077" t="str">
        <f t="shared" si="293"/>
        <v>spaces</v>
      </c>
      <c r="S3077" s="4">
        <f t="shared" si="290"/>
        <v>42551.102314814809</v>
      </c>
      <c r="T3077" s="4">
        <f t="shared" si="291"/>
        <v>42601.102314814809</v>
      </c>
      <c r="U3077" s="5">
        <f>VLOOKUP(currency,Tables!$A$1:$C$14,3,FALSE)*pledged</f>
        <v>1296</v>
      </c>
    </row>
    <row r="3078" spans="1:21" ht="28.8" x14ac:dyDescent="0.55000000000000004">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16">
        <f t="shared" si="289"/>
        <v>30.12</v>
      </c>
      <c r="Q3078" t="str">
        <f t="shared" si="292"/>
        <v>theater</v>
      </c>
      <c r="R3078" t="str">
        <f t="shared" si="293"/>
        <v>spaces</v>
      </c>
      <c r="S3078" s="4">
        <f t="shared" si="290"/>
        <v>42226.651886574073</v>
      </c>
      <c r="T3078" s="4">
        <f t="shared" si="291"/>
        <v>42286.651886574073</v>
      </c>
      <c r="U3078" s="5">
        <f>VLOOKUP(currency,Tables!$A$1:$C$14,3,FALSE)*pledged</f>
        <v>1506</v>
      </c>
    </row>
    <row r="3079" spans="1:21" ht="43.2" x14ac:dyDescent="0.55000000000000004">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16">
        <f t="shared" si="289"/>
        <v>52.5</v>
      </c>
      <c r="Q3079" t="str">
        <f t="shared" si="292"/>
        <v>theater</v>
      </c>
      <c r="R3079" t="str">
        <f t="shared" si="293"/>
        <v>spaces</v>
      </c>
      <c r="S3079" s="4">
        <f t="shared" si="290"/>
        <v>42766.956921296296</v>
      </c>
      <c r="T3079" s="4">
        <f t="shared" si="291"/>
        <v>42796.956921296296</v>
      </c>
      <c r="U3079" s="5">
        <f>VLOOKUP(currency,Tables!$A$1:$C$14,3,FALSE)*pledged</f>
        <v>79.8</v>
      </c>
    </row>
    <row r="3080" spans="1:21" ht="43.2" x14ac:dyDescent="0.55000000000000004">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16">
        <f t="shared" si="289"/>
        <v>23.666666666666668</v>
      </c>
      <c r="Q3080" t="str">
        <f t="shared" si="292"/>
        <v>theater</v>
      </c>
      <c r="R3080" t="str">
        <f t="shared" si="293"/>
        <v>spaces</v>
      </c>
      <c r="S3080" s="4">
        <f t="shared" si="290"/>
        <v>42031.138831018514</v>
      </c>
      <c r="T3080" s="4">
        <f t="shared" si="291"/>
        <v>42061.138831018514</v>
      </c>
      <c r="U3080" s="5">
        <f>VLOOKUP(currency,Tables!$A$1:$C$14,3,FALSE)*pledged</f>
        <v>71</v>
      </c>
    </row>
    <row r="3081" spans="1:21" ht="43.2" x14ac:dyDescent="0.55000000000000004">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16">
        <f t="shared" si="289"/>
        <v>415.77777777777777</v>
      </c>
      <c r="Q3081" t="str">
        <f t="shared" si="292"/>
        <v>theater</v>
      </c>
      <c r="R3081" t="str">
        <f t="shared" si="293"/>
        <v>spaces</v>
      </c>
      <c r="S3081" s="4">
        <f t="shared" si="290"/>
        <v>42055.713368055556</v>
      </c>
      <c r="T3081" s="4">
        <f t="shared" si="291"/>
        <v>42085.671701388885</v>
      </c>
      <c r="U3081" s="5">
        <f>VLOOKUP(currency,Tables!$A$1:$C$14,3,FALSE)*pledged</f>
        <v>11226</v>
      </c>
    </row>
    <row r="3082" spans="1:21" ht="43.2" x14ac:dyDescent="0.55000000000000004">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16">
        <f t="shared" si="289"/>
        <v>53.714285714285715</v>
      </c>
      <c r="Q3082" t="str">
        <f t="shared" si="292"/>
        <v>theater</v>
      </c>
      <c r="R3082" t="str">
        <f t="shared" si="293"/>
        <v>spaces</v>
      </c>
      <c r="S3082" s="4">
        <f t="shared" si="290"/>
        <v>41940.028287037036</v>
      </c>
      <c r="T3082" s="4">
        <f t="shared" si="291"/>
        <v>42000.0699537037</v>
      </c>
      <c r="U3082" s="5">
        <f>VLOOKUP(currency,Tables!$A$1:$C$14,3,FALSE)*pledged</f>
        <v>376</v>
      </c>
    </row>
    <row r="3083" spans="1:21" ht="43.2" x14ac:dyDescent="0.55000000000000004">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16">
        <f t="shared" si="289"/>
        <v>420.6</v>
      </c>
      <c r="Q3083" t="str">
        <f t="shared" si="292"/>
        <v>theater</v>
      </c>
      <c r="R3083" t="str">
        <f t="shared" si="293"/>
        <v>spaces</v>
      </c>
      <c r="S3083" s="4">
        <f t="shared" si="290"/>
        <v>42237.181608796294</v>
      </c>
      <c r="T3083" s="4">
        <f t="shared" si="291"/>
        <v>42267.181608796294</v>
      </c>
      <c r="U3083" s="5">
        <f>VLOOKUP(currency,Tables!$A$1:$C$14,3,FALSE)*pledged</f>
        <v>2103</v>
      </c>
    </row>
    <row r="3084" spans="1:21" ht="43.2" x14ac:dyDescent="0.55000000000000004">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288"/>
        <v>0</v>
      </c>
      <c r="P3084" s="16">
        <f t="shared" si="289"/>
        <v>0</v>
      </c>
      <c r="Q3084" t="str">
        <f t="shared" si="292"/>
        <v>theater</v>
      </c>
      <c r="R3084" t="str">
        <f t="shared" si="293"/>
        <v>spaces</v>
      </c>
      <c r="S3084" s="4">
        <f t="shared" si="290"/>
        <v>42293.922986111109</v>
      </c>
      <c r="T3084" s="4">
        <f t="shared" si="291"/>
        <v>42323.96465277778</v>
      </c>
      <c r="U3084" s="5">
        <f>VLOOKUP(currency,Tables!$A$1:$C$14,3,FALSE)*pledged</f>
        <v>0</v>
      </c>
    </row>
    <row r="3085" spans="1:21" ht="57.6" x14ac:dyDescent="0.55000000000000004">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288"/>
        <v>2.8E-3</v>
      </c>
      <c r="P3085" s="16">
        <f t="shared" si="289"/>
        <v>18.666666666666668</v>
      </c>
      <c r="Q3085" t="str">
        <f t="shared" si="292"/>
        <v>theater</v>
      </c>
      <c r="R3085" t="str">
        <f t="shared" si="293"/>
        <v>spaces</v>
      </c>
      <c r="S3085" s="4">
        <f t="shared" si="290"/>
        <v>41853.563402777778</v>
      </c>
      <c r="T3085" s="4">
        <f t="shared" si="291"/>
        <v>41883.208333333336</v>
      </c>
      <c r="U3085" s="5">
        <f>VLOOKUP(currency,Tables!$A$1:$C$14,3,FALSE)*pledged</f>
        <v>56</v>
      </c>
    </row>
    <row r="3086" spans="1:21" ht="43.2" x14ac:dyDescent="0.55000000000000004">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16">
        <f t="shared" si="289"/>
        <v>78.333333333333329</v>
      </c>
      <c r="Q3086" t="str">
        <f t="shared" si="292"/>
        <v>theater</v>
      </c>
      <c r="R3086" t="str">
        <f t="shared" si="293"/>
        <v>spaces</v>
      </c>
      <c r="S3086" s="4">
        <f t="shared" si="290"/>
        <v>42100.723738425921</v>
      </c>
      <c r="T3086" s="4">
        <f t="shared" si="291"/>
        <v>42129.783333333333</v>
      </c>
      <c r="U3086" s="5">
        <f>VLOOKUP(currency,Tables!$A$1:$C$14,3,FALSE)*pledged</f>
        <v>470</v>
      </c>
    </row>
    <row r="3087" spans="1:21" ht="43.2" x14ac:dyDescent="0.55000000000000004">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16">
        <f t="shared" si="289"/>
        <v>67.777777777777771</v>
      </c>
      <c r="Q3087" t="str">
        <f t="shared" si="292"/>
        <v>theater</v>
      </c>
      <c r="R3087" t="str">
        <f t="shared" si="293"/>
        <v>spaces</v>
      </c>
      <c r="S3087" s="4">
        <f t="shared" si="290"/>
        <v>42246.883784722217</v>
      </c>
      <c r="T3087" s="4">
        <f t="shared" si="291"/>
        <v>42276.883784722217</v>
      </c>
      <c r="U3087" s="5">
        <f>VLOOKUP(currency,Tables!$A$1:$C$14,3,FALSE)*pledged</f>
        <v>610</v>
      </c>
    </row>
    <row r="3088" spans="1:21" ht="43.2" x14ac:dyDescent="0.55000000000000004">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16">
        <f t="shared" si="289"/>
        <v>16.666666666666668</v>
      </c>
      <c r="Q3088" t="str">
        <f t="shared" si="292"/>
        <v>theater</v>
      </c>
      <c r="R3088" t="str">
        <f t="shared" si="293"/>
        <v>spaces</v>
      </c>
      <c r="S3088" s="4">
        <f t="shared" si="290"/>
        <v>42173.67082175926</v>
      </c>
      <c r="T3088" s="4">
        <f t="shared" si="291"/>
        <v>42233.67082175926</v>
      </c>
      <c r="U3088" s="5">
        <f>VLOOKUP(currency,Tables!$A$1:$C$14,3,FALSE)*pledged</f>
        <v>59</v>
      </c>
    </row>
    <row r="3089" spans="1:21" ht="43.2" x14ac:dyDescent="0.55000000000000004">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16">
        <f t="shared" si="289"/>
        <v>62.5</v>
      </c>
      <c r="Q3089" t="str">
        <f t="shared" si="292"/>
        <v>theater</v>
      </c>
      <c r="R3089" t="str">
        <f t="shared" si="293"/>
        <v>spaces</v>
      </c>
      <c r="S3089" s="4">
        <f t="shared" si="290"/>
        <v>42665.150347222225</v>
      </c>
      <c r="T3089" s="4">
        <f t="shared" si="291"/>
        <v>42725.192013888889</v>
      </c>
      <c r="U3089" s="5">
        <f>VLOOKUP(currency,Tables!$A$1:$C$14,3,FALSE)*pledged</f>
        <v>125</v>
      </c>
    </row>
    <row r="3090" spans="1:21" ht="28.8" x14ac:dyDescent="0.55000000000000004">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16">
        <f t="shared" si="289"/>
        <v>42</v>
      </c>
      <c r="Q3090" t="str">
        <f t="shared" si="292"/>
        <v>theater</v>
      </c>
      <c r="R3090" t="str">
        <f t="shared" si="293"/>
        <v>spaces</v>
      </c>
      <c r="S3090" s="4">
        <f t="shared" si="290"/>
        <v>41981.57230324074</v>
      </c>
      <c r="T3090" s="4">
        <f t="shared" si="291"/>
        <v>42012.570138888885</v>
      </c>
      <c r="U3090" s="5">
        <f>VLOOKUP(currency,Tables!$A$1:$C$14,3,FALSE)*pledged</f>
        <v>126</v>
      </c>
    </row>
    <row r="3091" spans="1:21" ht="43.2" x14ac:dyDescent="0.55000000000000004">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16">
        <f t="shared" si="289"/>
        <v>130.0888888888889</v>
      </c>
      <c r="Q3091" t="str">
        <f t="shared" si="292"/>
        <v>theater</v>
      </c>
      <c r="R3091" t="str">
        <f t="shared" si="293"/>
        <v>spaces</v>
      </c>
      <c r="S3091" s="4">
        <f t="shared" si="290"/>
        <v>42528.542627314819</v>
      </c>
      <c r="T3091" s="4">
        <f t="shared" si="291"/>
        <v>42560.082638888889</v>
      </c>
      <c r="U3091" s="5">
        <f>VLOOKUP(currency,Tables!$A$1:$C$14,3,FALSE)*pledged</f>
        <v>5854</v>
      </c>
    </row>
    <row r="3092" spans="1:21" ht="43.2" x14ac:dyDescent="0.55000000000000004">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16">
        <f t="shared" si="289"/>
        <v>1270.2222222222222</v>
      </c>
      <c r="Q3092" t="str">
        <f t="shared" si="292"/>
        <v>theater</v>
      </c>
      <c r="R3092" t="str">
        <f t="shared" si="293"/>
        <v>spaces</v>
      </c>
      <c r="S3092" s="4">
        <f t="shared" si="290"/>
        <v>42065.818807870368</v>
      </c>
      <c r="T3092" s="4">
        <f t="shared" si="291"/>
        <v>42125.777141203704</v>
      </c>
      <c r="U3092" s="5">
        <f>VLOOKUP(currency,Tables!$A$1:$C$14,3,FALSE)*pledged</f>
        <v>11432</v>
      </c>
    </row>
    <row r="3093" spans="1:21" ht="43.2" x14ac:dyDescent="0.55000000000000004">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16">
        <f t="shared" si="289"/>
        <v>88.444444444444443</v>
      </c>
      <c r="Q3093" t="str">
        <f t="shared" si="292"/>
        <v>theater</v>
      </c>
      <c r="R3093" t="str">
        <f t="shared" si="293"/>
        <v>spaces</v>
      </c>
      <c r="S3093" s="4">
        <f t="shared" si="290"/>
        <v>42566.948414351849</v>
      </c>
      <c r="T3093" s="4">
        <f t="shared" si="291"/>
        <v>42596.948414351849</v>
      </c>
      <c r="U3093" s="5">
        <f>VLOOKUP(currency,Tables!$A$1:$C$14,3,FALSE)*pledged</f>
        <v>796</v>
      </c>
    </row>
    <row r="3094" spans="1:21" ht="43.2" x14ac:dyDescent="0.55000000000000004">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16">
        <f t="shared" si="289"/>
        <v>56.342380952380957</v>
      </c>
      <c r="Q3094" t="str">
        <f t="shared" si="292"/>
        <v>theater</v>
      </c>
      <c r="R3094" t="str">
        <f t="shared" si="293"/>
        <v>spaces</v>
      </c>
      <c r="S3094" s="4">
        <f t="shared" si="290"/>
        <v>42255.619351851856</v>
      </c>
      <c r="T3094" s="4">
        <f t="shared" si="291"/>
        <v>42292.916666666672</v>
      </c>
      <c r="U3094" s="5">
        <f>VLOOKUP(currency,Tables!$A$1:$C$14,3,FALSE)*pledged</f>
        <v>1183.19</v>
      </c>
    </row>
    <row r="3095" spans="1:21" ht="43.2" x14ac:dyDescent="0.55000000000000004">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16">
        <f t="shared" si="289"/>
        <v>53.529411764705884</v>
      </c>
      <c r="Q3095" t="str">
        <f t="shared" si="292"/>
        <v>theater</v>
      </c>
      <c r="R3095" t="str">
        <f t="shared" si="293"/>
        <v>spaces</v>
      </c>
      <c r="S3095" s="4">
        <f t="shared" si="290"/>
        <v>41760.909039351849</v>
      </c>
      <c r="T3095" s="4">
        <f t="shared" si="291"/>
        <v>41791.165972222225</v>
      </c>
      <c r="U3095" s="5">
        <f>VLOOKUP(currency,Tables!$A$1:$C$14,3,FALSE)*pledged</f>
        <v>691.6</v>
      </c>
    </row>
    <row r="3096" spans="1:21" ht="28.8" x14ac:dyDescent="0.55000000000000004">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16">
        <f t="shared" si="289"/>
        <v>25</v>
      </c>
      <c r="Q3096" t="str">
        <f t="shared" si="292"/>
        <v>theater</v>
      </c>
      <c r="R3096" t="str">
        <f t="shared" si="293"/>
        <v>spaces</v>
      </c>
      <c r="S3096" s="4">
        <f t="shared" si="290"/>
        <v>42207.795787037037</v>
      </c>
      <c r="T3096" s="4">
        <f t="shared" si="291"/>
        <v>42267.795787037037</v>
      </c>
      <c r="U3096" s="5">
        <f>VLOOKUP(currency,Tables!$A$1:$C$14,3,FALSE)*pledged</f>
        <v>25</v>
      </c>
    </row>
    <row r="3097" spans="1:21" ht="43.2" x14ac:dyDescent="0.55000000000000004">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16">
        <f t="shared" si="289"/>
        <v>50</v>
      </c>
      <c r="Q3097" t="str">
        <f t="shared" si="292"/>
        <v>theater</v>
      </c>
      <c r="R3097" t="str">
        <f t="shared" si="293"/>
        <v>spaces</v>
      </c>
      <c r="S3097" s="4">
        <f t="shared" si="290"/>
        <v>42523.025231481486</v>
      </c>
      <c r="T3097" s="4">
        <f t="shared" si="291"/>
        <v>42583.025231481486</v>
      </c>
      <c r="U3097" s="5">
        <f>VLOOKUP(currency,Tables!$A$1:$C$14,3,FALSE)*pledged</f>
        <v>50</v>
      </c>
    </row>
    <row r="3098" spans="1:21" ht="43.2" x14ac:dyDescent="0.55000000000000004">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16">
        <f t="shared" si="289"/>
        <v>56.785714285714285</v>
      </c>
      <c r="Q3098" t="str">
        <f t="shared" si="292"/>
        <v>theater</v>
      </c>
      <c r="R3098" t="str">
        <f t="shared" si="293"/>
        <v>spaces</v>
      </c>
      <c r="S3098" s="4">
        <f t="shared" si="290"/>
        <v>42114.825532407413</v>
      </c>
      <c r="T3098" s="4">
        <f t="shared" si="291"/>
        <v>42144.825532407413</v>
      </c>
      <c r="U3098" s="5">
        <f>VLOOKUP(currency,Tables!$A$1:$C$14,3,FALSE)*pledged</f>
        <v>795</v>
      </c>
    </row>
    <row r="3099" spans="1:21" ht="43.2" x14ac:dyDescent="0.55000000000000004">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16">
        <f t="shared" si="289"/>
        <v>40.833333333333336</v>
      </c>
      <c r="Q3099" t="str">
        <f t="shared" si="292"/>
        <v>theater</v>
      </c>
      <c r="R3099" t="str">
        <f t="shared" si="293"/>
        <v>spaces</v>
      </c>
      <c r="S3099" s="4">
        <f t="shared" si="290"/>
        <v>42629.503483796296</v>
      </c>
      <c r="T3099" s="4">
        <f t="shared" si="291"/>
        <v>42650.583333333328</v>
      </c>
      <c r="U3099" s="5">
        <f>VLOOKUP(currency,Tables!$A$1:$C$14,3,FALSE)*pledged</f>
        <v>2263.8000000000002</v>
      </c>
    </row>
    <row r="3100" spans="1:21" ht="43.2" x14ac:dyDescent="0.55000000000000004">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16">
        <f t="shared" si="289"/>
        <v>65.111111111111114</v>
      </c>
      <c r="Q3100" t="str">
        <f t="shared" si="292"/>
        <v>theater</v>
      </c>
      <c r="R3100" t="str">
        <f t="shared" si="293"/>
        <v>spaces</v>
      </c>
      <c r="S3100" s="4">
        <f t="shared" si="290"/>
        <v>42359.792233796295</v>
      </c>
      <c r="T3100" s="4">
        <f t="shared" si="291"/>
        <v>42408.01180555555</v>
      </c>
      <c r="U3100" s="5">
        <f>VLOOKUP(currency,Tables!$A$1:$C$14,3,FALSE)*pledged</f>
        <v>1758</v>
      </c>
    </row>
    <row r="3101" spans="1:21" ht="43.2" x14ac:dyDescent="0.55000000000000004">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16">
        <f t="shared" si="289"/>
        <v>55.6</v>
      </c>
      <c r="Q3101" t="str">
        <f t="shared" si="292"/>
        <v>theater</v>
      </c>
      <c r="R3101" t="str">
        <f t="shared" si="293"/>
        <v>spaces</v>
      </c>
      <c r="S3101" s="4">
        <f t="shared" si="290"/>
        <v>42382.189710648148</v>
      </c>
      <c r="T3101" s="4">
        <f t="shared" si="291"/>
        <v>42412.189710648148</v>
      </c>
      <c r="U3101" s="5">
        <f>VLOOKUP(currency,Tables!$A$1:$C$14,3,FALSE)*pledged</f>
        <v>278</v>
      </c>
    </row>
    <row r="3102" spans="1:21" ht="43.2" x14ac:dyDescent="0.55000000000000004">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16">
        <f t="shared" si="289"/>
        <v>140.53846153846155</v>
      </c>
      <c r="Q3102" t="str">
        <f t="shared" si="292"/>
        <v>theater</v>
      </c>
      <c r="R3102" t="str">
        <f t="shared" si="293"/>
        <v>spaces</v>
      </c>
      <c r="S3102" s="4">
        <f t="shared" si="290"/>
        <v>41902.622395833336</v>
      </c>
      <c r="T3102" s="4">
        <f t="shared" si="291"/>
        <v>41932.622395833336</v>
      </c>
      <c r="U3102" s="5">
        <f>VLOOKUP(currency,Tables!$A$1:$C$14,3,FALSE)*pledged</f>
        <v>1827</v>
      </c>
    </row>
    <row r="3103" spans="1:21" ht="57.6" x14ac:dyDescent="0.55000000000000004">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288"/>
        <v>0.12</v>
      </c>
      <c r="P3103" s="16">
        <f t="shared" si="289"/>
        <v>25</v>
      </c>
      <c r="Q3103" t="str">
        <f t="shared" si="292"/>
        <v>theater</v>
      </c>
      <c r="R3103" t="str">
        <f t="shared" si="293"/>
        <v>spaces</v>
      </c>
      <c r="S3103" s="4">
        <f t="shared" si="290"/>
        <v>42171.383530092593</v>
      </c>
      <c r="T3103" s="4">
        <f t="shared" si="291"/>
        <v>42201.330555555556</v>
      </c>
      <c r="U3103" s="5">
        <f>VLOOKUP(currency,Tables!$A$1:$C$14,3,FALSE)*pledged</f>
        <v>354</v>
      </c>
    </row>
    <row r="3104" spans="1:21" ht="43.2" x14ac:dyDescent="0.55000000000000004">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16">
        <f t="shared" si="289"/>
        <v>69.533333333333331</v>
      </c>
      <c r="Q3104" t="str">
        <f t="shared" si="292"/>
        <v>theater</v>
      </c>
      <c r="R3104" t="str">
        <f t="shared" si="293"/>
        <v>spaces</v>
      </c>
      <c r="S3104" s="4">
        <f t="shared" si="290"/>
        <v>42555.340486111112</v>
      </c>
      <c r="T3104" s="4">
        <f t="shared" si="291"/>
        <v>42605.340486111112</v>
      </c>
      <c r="U3104" s="5">
        <f>VLOOKUP(currency,Tables!$A$1:$C$14,3,FALSE)*pledged</f>
        <v>8260.56</v>
      </c>
    </row>
    <row r="3105" spans="1:21" ht="28.8" x14ac:dyDescent="0.55000000000000004">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16">
        <f t="shared" si="289"/>
        <v>5.5</v>
      </c>
      <c r="Q3105" t="str">
        <f t="shared" si="292"/>
        <v>theater</v>
      </c>
      <c r="R3105" t="str">
        <f t="shared" si="293"/>
        <v>spaces</v>
      </c>
      <c r="S3105" s="4">
        <f t="shared" si="290"/>
        <v>42107.156319444446</v>
      </c>
      <c r="T3105" s="4">
        <f t="shared" si="291"/>
        <v>42167.156319444446</v>
      </c>
      <c r="U3105" s="5">
        <f>VLOOKUP(currency,Tables!$A$1:$C$14,3,FALSE)*pledged</f>
        <v>11</v>
      </c>
    </row>
    <row r="3106" spans="1:21" ht="43.2" x14ac:dyDescent="0.55000000000000004">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16">
        <f t="shared" si="289"/>
        <v>237</v>
      </c>
      <c r="Q3106" t="str">
        <f t="shared" si="292"/>
        <v>theater</v>
      </c>
      <c r="R3106" t="str">
        <f t="shared" si="293"/>
        <v>spaces</v>
      </c>
      <c r="S3106" s="4">
        <f t="shared" si="290"/>
        <v>42006.908692129626</v>
      </c>
      <c r="T3106" s="4">
        <f t="shared" si="291"/>
        <v>42038.083333333328</v>
      </c>
      <c r="U3106" s="5">
        <f>VLOOKUP(currency,Tables!$A$1:$C$14,3,FALSE)*pledged</f>
        <v>865.05</v>
      </c>
    </row>
    <row r="3107" spans="1:21" ht="43.2" x14ac:dyDescent="0.55000000000000004">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16">
        <f t="shared" si="289"/>
        <v>79.870967741935488</v>
      </c>
      <c r="Q3107" t="str">
        <f t="shared" si="292"/>
        <v>theater</v>
      </c>
      <c r="R3107" t="str">
        <f t="shared" si="293"/>
        <v>spaces</v>
      </c>
      <c r="S3107" s="4">
        <f t="shared" si="290"/>
        <v>41876.718935185185</v>
      </c>
      <c r="T3107" s="4">
        <f t="shared" si="291"/>
        <v>41931.208333333336</v>
      </c>
      <c r="U3107" s="5">
        <f>VLOOKUP(currency,Tables!$A$1:$C$14,3,FALSE)*pledged</f>
        <v>2476</v>
      </c>
    </row>
    <row r="3108" spans="1:21" ht="43.2" x14ac:dyDescent="0.55000000000000004">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16">
        <f t="shared" si="289"/>
        <v>10.25</v>
      </c>
      <c r="Q3108" t="str">
        <f t="shared" si="292"/>
        <v>theater</v>
      </c>
      <c r="R3108" t="str">
        <f t="shared" si="293"/>
        <v>spaces</v>
      </c>
      <c r="S3108" s="4">
        <f t="shared" si="290"/>
        <v>42241.429120370376</v>
      </c>
      <c r="T3108" s="4">
        <f t="shared" si="291"/>
        <v>42263.916666666672</v>
      </c>
      <c r="U3108" s="5">
        <f>VLOOKUP(currency,Tables!$A$1:$C$14,3,FALSE)*pledged</f>
        <v>54.120000000000005</v>
      </c>
    </row>
    <row r="3109" spans="1:21" ht="43.2" x14ac:dyDescent="0.55000000000000004">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16">
        <f t="shared" si="289"/>
        <v>272.58620689655174</v>
      </c>
      <c r="Q3109" t="str">
        <f t="shared" si="292"/>
        <v>theater</v>
      </c>
      <c r="R3109" t="str">
        <f t="shared" si="293"/>
        <v>spaces</v>
      </c>
      <c r="S3109" s="4">
        <f t="shared" si="290"/>
        <v>42128.814247685179</v>
      </c>
      <c r="T3109" s="4">
        <f t="shared" si="291"/>
        <v>42135.814247685179</v>
      </c>
      <c r="U3109" s="5">
        <f>VLOOKUP(currency,Tables!$A$1:$C$14,3,FALSE)*pledged</f>
        <v>7905</v>
      </c>
    </row>
    <row r="3110" spans="1:21" x14ac:dyDescent="0.55000000000000004">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16">
        <f t="shared" si="289"/>
        <v>13</v>
      </c>
      <c r="Q3110" t="str">
        <f t="shared" si="292"/>
        <v>theater</v>
      </c>
      <c r="R3110" t="str">
        <f t="shared" si="293"/>
        <v>spaces</v>
      </c>
      <c r="S3110" s="4">
        <f t="shared" si="290"/>
        <v>42062.680486111116</v>
      </c>
      <c r="T3110" s="4">
        <f t="shared" si="291"/>
        <v>42122.638819444444</v>
      </c>
      <c r="U3110" s="5">
        <f>VLOOKUP(currency,Tables!$A$1:$C$14,3,FALSE)*pledged</f>
        <v>26</v>
      </c>
    </row>
    <row r="3111" spans="1:21" ht="43.2" x14ac:dyDescent="0.55000000000000004">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16">
        <f t="shared" si="289"/>
        <v>58.184210526315788</v>
      </c>
      <c r="Q3111" t="str">
        <f t="shared" si="292"/>
        <v>theater</v>
      </c>
      <c r="R3111" t="str">
        <f t="shared" si="293"/>
        <v>spaces</v>
      </c>
      <c r="S3111" s="4">
        <f t="shared" si="290"/>
        <v>41844.125115740739</v>
      </c>
      <c r="T3111" s="4">
        <f t="shared" si="291"/>
        <v>41879.125115740739</v>
      </c>
      <c r="U3111" s="5">
        <f>VLOOKUP(currency,Tables!$A$1:$C$14,3,FALSE)*pledged</f>
        <v>6633</v>
      </c>
    </row>
    <row r="3112" spans="1:21" ht="43.2" x14ac:dyDescent="0.55000000000000004">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16">
        <f t="shared" si="289"/>
        <v>10</v>
      </c>
      <c r="Q3112" t="str">
        <f t="shared" si="292"/>
        <v>theater</v>
      </c>
      <c r="R3112" t="str">
        <f t="shared" si="293"/>
        <v>spaces</v>
      </c>
      <c r="S3112" s="4">
        <f t="shared" si="290"/>
        <v>42745.031469907408</v>
      </c>
      <c r="T3112" s="4">
        <f t="shared" si="291"/>
        <v>42785.031469907408</v>
      </c>
      <c r="U3112" s="5">
        <f>VLOOKUP(currency,Tables!$A$1:$C$14,3,FALSE)*pledged</f>
        <v>10</v>
      </c>
    </row>
    <row r="3113" spans="1:21" ht="28.8" x14ac:dyDescent="0.55000000000000004">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16">
        <f t="shared" si="289"/>
        <v>70.10526315789474</v>
      </c>
      <c r="Q3113" t="str">
        <f t="shared" si="292"/>
        <v>theater</v>
      </c>
      <c r="R3113" t="str">
        <f t="shared" si="293"/>
        <v>spaces</v>
      </c>
      <c r="S3113" s="4">
        <f t="shared" si="290"/>
        <v>41885.595138888886</v>
      </c>
      <c r="T3113" s="4">
        <f t="shared" si="291"/>
        <v>41916.595138888886</v>
      </c>
      <c r="U3113" s="5">
        <f>VLOOKUP(currency,Tables!$A$1:$C$14,3,FALSE)*pledged</f>
        <v>5328</v>
      </c>
    </row>
    <row r="3114" spans="1:21" ht="43.2" x14ac:dyDescent="0.55000000000000004">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16">
        <f t="shared" si="289"/>
        <v>57.888888888888886</v>
      </c>
      <c r="Q3114" t="str">
        <f t="shared" si="292"/>
        <v>theater</v>
      </c>
      <c r="R3114" t="str">
        <f t="shared" si="293"/>
        <v>spaces</v>
      </c>
      <c r="S3114" s="4">
        <f t="shared" si="290"/>
        <v>42615.121921296297</v>
      </c>
      <c r="T3114" s="4">
        <f t="shared" si="291"/>
        <v>42675.121921296297</v>
      </c>
      <c r="U3114" s="5">
        <f>VLOOKUP(currency,Tables!$A$1:$C$14,3,FALSE)*pledged</f>
        <v>521</v>
      </c>
    </row>
    <row r="3115" spans="1:21" ht="43.2" x14ac:dyDescent="0.55000000000000004">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16">
        <f t="shared" si="289"/>
        <v>125.27027027027027</v>
      </c>
      <c r="Q3115" t="str">
        <f t="shared" si="292"/>
        <v>theater</v>
      </c>
      <c r="R3115" t="str">
        <f t="shared" si="293"/>
        <v>spaces</v>
      </c>
      <c r="S3115" s="4">
        <f t="shared" si="290"/>
        <v>42081.731273148151</v>
      </c>
      <c r="T3115" s="4">
        <f t="shared" si="291"/>
        <v>42111.731273148151</v>
      </c>
      <c r="U3115" s="5">
        <f>VLOOKUP(currency,Tables!$A$1:$C$14,3,FALSE)*pledged</f>
        <v>4635</v>
      </c>
    </row>
    <row r="3116" spans="1:21" ht="43.2" x14ac:dyDescent="0.55000000000000004">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288"/>
        <v>0</v>
      </c>
      <c r="P3116" s="16">
        <f t="shared" si="289"/>
        <v>0</v>
      </c>
      <c r="Q3116" t="str">
        <f t="shared" si="292"/>
        <v>theater</v>
      </c>
      <c r="R3116" t="str">
        <f t="shared" si="293"/>
        <v>spaces</v>
      </c>
      <c r="S3116" s="4">
        <f t="shared" si="290"/>
        <v>41843.632523148146</v>
      </c>
      <c r="T3116" s="4">
        <f t="shared" si="291"/>
        <v>41903.632523148146</v>
      </c>
      <c r="U3116" s="5">
        <f>VLOOKUP(currency,Tables!$A$1:$C$14,3,FALSE)*pledged</f>
        <v>0</v>
      </c>
    </row>
    <row r="3117" spans="1:21" ht="43.2" x14ac:dyDescent="0.55000000000000004">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288"/>
        <v>0.03</v>
      </c>
      <c r="P3117" s="16">
        <f t="shared" si="289"/>
        <v>300</v>
      </c>
      <c r="Q3117" t="str">
        <f t="shared" si="292"/>
        <v>theater</v>
      </c>
      <c r="R3117" t="str">
        <f t="shared" si="293"/>
        <v>spaces</v>
      </c>
      <c r="S3117" s="4">
        <f t="shared" si="290"/>
        <v>42496.447071759263</v>
      </c>
      <c r="T3117" s="4">
        <f t="shared" si="291"/>
        <v>42526.447071759263</v>
      </c>
      <c r="U3117" s="5">
        <f>VLOOKUP(currency,Tables!$A$1:$C$14,3,FALSE)*pledged</f>
        <v>33</v>
      </c>
    </row>
    <row r="3118" spans="1:21" ht="43.2" x14ac:dyDescent="0.55000000000000004">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16">
        <f t="shared" si="289"/>
        <v>43</v>
      </c>
      <c r="Q3118" t="str">
        <f t="shared" si="292"/>
        <v>theater</v>
      </c>
      <c r="R3118" t="str">
        <f t="shared" si="293"/>
        <v>spaces</v>
      </c>
      <c r="S3118" s="4">
        <f t="shared" si="290"/>
        <v>42081.515335648146</v>
      </c>
      <c r="T3118" s="4">
        <f t="shared" si="291"/>
        <v>42095.515335648146</v>
      </c>
      <c r="U3118" s="5">
        <f>VLOOKUP(currency,Tables!$A$1:$C$14,3,FALSE)*pledged</f>
        <v>430</v>
      </c>
    </row>
    <row r="3119" spans="1:21" ht="43.2" x14ac:dyDescent="0.55000000000000004">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288"/>
        <v>1E-3</v>
      </c>
      <c r="P3119" s="16">
        <f t="shared" si="289"/>
        <v>1</v>
      </c>
      <c r="Q3119" t="str">
        <f t="shared" si="292"/>
        <v>theater</v>
      </c>
      <c r="R3119" t="str">
        <f t="shared" si="293"/>
        <v>spaces</v>
      </c>
      <c r="S3119" s="4">
        <f t="shared" si="290"/>
        <v>42509.374537037031</v>
      </c>
      <c r="T3119" s="4">
        <f t="shared" si="291"/>
        <v>42517.55</v>
      </c>
      <c r="U3119" s="5">
        <f>VLOOKUP(currency,Tables!$A$1:$C$14,3,FALSE)*pledged</f>
        <v>1.32</v>
      </c>
    </row>
    <row r="3120" spans="1:21" ht="28.8" x14ac:dyDescent="0.55000000000000004">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16">
        <f t="shared" si="289"/>
        <v>775</v>
      </c>
      <c r="Q3120" t="str">
        <f t="shared" si="292"/>
        <v>theater</v>
      </c>
      <c r="R3120" t="str">
        <f t="shared" si="293"/>
        <v>spaces</v>
      </c>
      <c r="S3120" s="4">
        <f t="shared" si="290"/>
        <v>42534.649571759262</v>
      </c>
      <c r="T3120" s="4">
        <f t="shared" si="291"/>
        <v>42553.649571759262</v>
      </c>
      <c r="U3120" s="5">
        <f>VLOOKUP(currency,Tables!$A$1:$C$14,3,FALSE)*pledged</f>
        <v>170.5</v>
      </c>
    </row>
    <row r="3121" spans="1:21" ht="43.2" x14ac:dyDescent="0.55000000000000004">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16">
        <f t="shared" si="289"/>
        <v>5</v>
      </c>
      <c r="Q3121" t="str">
        <f t="shared" si="292"/>
        <v>theater</v>
      </c>
      <c r="R3121" t="str">
        <f t="shared" si="293"/>
        <v>spaces</v>
      </c>
      <c r="S3121" s="4">
        <f t="shared" si="290"/>
        <v>42060.04550925926</v>
      </c>
      <c r="T3121" s="4">
        <f t="shared" si="291"/>
        <v>42090.003842592589</v>
      </c>
      <c r="U3121" s="5">
        <f>VLOOKUP(currency,Tables!$A$1:$C$14,3,FALSE)*pledged</f>
        <v>5</v>
      </c>
    </row>
    <row r="3122" spans="1:21" ht="43.2" x14ac:dyDescent="0.55000000000000004">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16">
        <f t="shared" si="289"/>
        <v>12.8</v>
      </c>
      <c r="Q3122" t="str">
        <f t="shared" si="292"/>
        <v>theater</v>
      </c>
      <c r="R3122" t="str">
        <f t="shared" si="293"/>
        <v>spaces</v>
      </c>
      <c r="S3122" s="4">
        <f t="shared" si="290"/>
        <v>42435.942083333335</v>
      </c>
      <c r="T3122" s="4">
        <f t="shared" si="291"/>
        <v>42495.900416666671</v>
      </c>
      <c r="U3122" s="5">
        <f>VLOOKUP(currency,Tables!$A$1:$C$14,3,FALSE)*pledged</f>
        <v>151.04</v>
      </c>
    </row>
    <row r="3123" spans="1:21" ht="28.8" x14ac:dyDescent="0.55000000000000004">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16">
        <f t="shared" si="289"/>
        <v>10</v>
      </c>
      <c r="Q3123" t="str">
        <f t="shared" si="292"/>
        <v>theater</v>
      </c>
      <c r="R3123" t="str">
        <f t="shared" si="293"/>
        <v>spaces</v>
      </c>
      <c r="S3123" s="4">
        <f t="shared" si="290"/>
        <v>41848.679803240739</v>
      </c>
      <c r="T3123" s="4">
        <f t="shared" si="291"/>
        <v>41908.679803240739</v>
      </c>
      <c r="U3123" s="5">
        <f>VLOOKUP(currency,Tables!$A$1:$C$14,3,FALSE)*pledged</f>
        <v>7.6</v>
      </c>
    </row>
    <row r="3124" spans="1:21" x14ac:dyDescent="0.55000000000000004">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16">
        <f t="shared" si="289"/>
        <v>58</v>
      </c>
      <c r="Q3124" t="str">
        <f t="shared" si="292"/>
        <v>theater</v>
      </c>
      <c r="R3124" t="str">
        <f t="shared" si="293"/>
        <v>spaces</v>
      </c>
      <c r="S3124" s="4">
        <f t="shared" si="290"/>
        <v>42678.932083333333</v>
      </c>
      <c r="T3124" s="4">
        <f t="shared" si="291"/>
        <v>42683.973750000005</v>
      </c>
      <c r="U3124" s="5">
        <f>VLOOKUP(currency,Tables!$A$1:$C$14,3,FALSE)*pledged</f>
        <v>116</v>
      </c>
    </row>
    <row r="3125" spans="1:21" ht="43.2" x14ac:dyDescent="0.55000000000000004">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16">
        <f t="shared" si="289"/>
        <v>244.80459770114942</v>
      </c>
      <c r="Q3125" t="str">
        <f t="shared" si="292"/>
        <v>theater</v>
      </c>
      <c r="R3125" t="str">
        <f t="shared" si="293"/>
        <v>spaces</v>
      </c>
      <c r="S3125" s="4">
        <f t="shared" si="290"/>
        <v>42530.993032407408</v>
      </c>
      <c r="T3125" s="4">
        <f t="shared" si="291"/>
        <v>42560.993032407408</v>
      </c>
      <c r="U3125" s="5">
        <f>VLOOKUP(currency,Tables!$A$1:$C$14,3,FALSE)*pledged</f>
        <v>85192</v>
      </c>
    </row>
    <row r="3126" spans="1:21" ht="28.8" x14ac:dyDescent="0.55000000000000004">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16">
        <f t="shared" si="289"/>
        <v>6.5</v>
      </c>
      <c r="Q3126" t="str">
        <f t="shared" si="292"/>
        <v>theater</v>
      </c>
      <c r="R3126" t="str">
        <f t="shared" si="293"/>
        <v>spaces</v>
      </c>
      <c r="S3126" s="4">
        <f t="shared" si="290"/>
        <v>41977.780104166668</v>
      </c>
      <c r="T3126" s="4">
        <f t="shared" si="291"/>
        <v>42037.780104166668</v>
      </c>
      <c r="U3126" s="5">
        <f>VLOOKUP(currency,Tables!$A$1:$C$14,3,FALSE)*pledged</f>
        <v>26</v>
      </c>
    </row>
    <row r="3127" spans="1:21" x14ac:dyDescent="0.55000000000000004">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288"/>
        <v>0</v>
      </c>
      <c r="P3127" s="16">
        <f t="shared" si="289"/>
        <v>0</v>
      </c>
      <c r="Q3127" t="str">
        <f t="shared" si="292"/>
        <v>theater</v>
      </c>
      <c r="R3127" t="str">
        <f t="shared" si="293"/>
        <v>spaces</v>
      </c>
      <c r="S3127" s="4">
        <f t="shared" si="290"/>
        <v>42346.20685185185</v>
      </c>
      <c r="T3127" s="4">
        <f t="shared" si="291"/>
        <v>42376.20685185185</v>
      </c>
      <c r="U3127" s="5">
        <f>VLOOKUP(currency,Tables!$A$1:$C$14,3,FALSE)*pledged</f>
        <v>0</v>
      </c>
    </row>
    <row r="3128" spans="1:21" ht="72" x14ac:dyDescent="0.55000000000000004">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16">
        <f t="shared" si="289"/>
        <v>61.176470588235297</v>
      </c>
      <c r="Q3128" t="str">
        <f t="shared" si="292"/>
        <v>theater</v>
      </c>
      <c r="R3128" t="str">
        <f t="shared" si="293"/>
        <v>spaces</v>
      </c>
      <c r="S3128" s="4">
        <f t="shared" si="290"/>
        <v>42427.01807870371</v>
      </c>
      <c r="T3128" s="4">
        <f t="shared" si="291"/>
        <v>42456.976412037038</v>
      </c>
      <c r="U3128" s="5">
        <f>VLOOKUP(currency,Tables!$A$1:$C$14,3,FALSE)*pledged</f>
        <v>1040</v>
      </c>
    </row>
    <row r="3129" spans="1:21" ht="43.2" x14ac:dyDescent="0.55000000000000004">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288"/>
        <v>0</v>
      </c>
      <c r="P3129" s="16">
        <f t="shared" si="289"/>
        <v>0</v>
      </c>
      <c r="Q3129" t="str">
        <f t="shared" si="292"/>
        <v>theater</v>
      </c>
      <c r="R3129" t="str">
        <f t="shared" si="293"/>
        <v>spaces</v>
      </c>
      <c r="S3129" s="4">
        <f t="shared" si="290"/>
        <v>42034.856817129628</v>
      </c>
      <c r="T3129" s="4">
        <f t="shared" si="291"/>
        <v>42064.856817129628</v>
      </c>
      <c r="U3129" s="5">
        <f>VLOOKUP(currency,Tables!$A$1:$C$14,3,FALSE)*pledged</f>
        <v>0</v>
      </c>
    </row>
    <row r="3130" spans="1:21" ht="43.2" x14ac:dyDescent="0.55000000000000004">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16">
        <f t="shared" si="289"/>
        <v>139.23931623931625</v>
      </c>
      <c r="Q3130" t="str">
        <f t="shared" si="292"/>
        <v>theater</v>
      </c>
      <c r="R3130" t="str">
        <f t="shared" si="293"/>
        <v>plays</v>
      </c>
      <c r="S3130" s="4">
        <f t="shared" si="290"/>
        <v>42780.825706018513</v>
      </c>
      <c r="T3130" s="4">
        <f t="shared" si="291"/>
        <v>42810.784039351856</v>
      </c>
      <c r="U3130" s="5">
        <f>VLOOKUP(currency,Tables!$A$1:$C$14,3,FALSE)*pledged</f>
        <v>16291</v>
      </c>
    </row>
    <row r="3131" spans="1:21" ht="43.2" x14ac:dyDescent="0.55000000000000004">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16">
        <f t="shared" si="289"/>
        <v>10</v>
      </c>
      <c r="Q3131" t="str">
        <f t="shared" si="292"/>
        <v>theater</v>
      </c>
      <c r="R3131" t="str">
        <f t="shared" si="293"/>
        <v>plays</v>
      </c>
      <c r="S3131" s="4">
        <f t="shared" si="290"/>
        <v>42803.842812499999</v>
      </c>
      <c r="T3131" s="4">
        <f t="shared" si="291"/>
        <v>42843.801145833335</v>
      </c>
      <c r="U3131" s="5">
        <f>VLOOKUP(currency,Tables!$A$1:$C$14,3,FALSE)*pledged</f>
        <v>10</v>
      </c>
    </row>
    <row r="3132" spans="1:21" ht="43.2" x14ac:dyDescent="0.55000000000000004">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16">
        <f t="shared" si="289"/>
        <v>93.75</v>
      </c>
      <c r="Q3132" t="str">
        <f t="shared" si="292"/>
        <v>theater</v>
      </c>
      <c r="R3132" t="str">
        <f t="shared" si="293"/>
        <v>plays</v>
      </c>
      <c r="S3132" s="4">
        <f t="shared" si="290"/>
        <v>42808.640231481477</v>
      </c>
      <c r="T3132" s="4">
        <f t="shared" si="291"/>
        <v>42839.207638888889</v>
      </c>
      <c r="U3132" s="5">
        <f>VLOOKUP(currency,Tables!$A$1:$C$14,3,FALSE)*pledged</f>
        <v>375</v>
      </c>
    </row>
    <row r="3133" spans="1:21" ht="28.8" x14ac:dyDescent="0.55000000000000004">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16">
        <f t="shared" si="289"/>
        <v>53.75</v>
      </c>
      <c r="Q3133" t="str">
        <f t="shared" si="292"/>
        <v>theater</v>
      </c>
      <c r="R3133" t="str">
        <f t="shared" si="293"/>
        <v>plays</v>
      </c>
      <c r="S3133" s="4">
        <f t="shared" si="290"/>
        <v>42803.579224537039</v>
      </c>
      <c r="T3133" s="4">
        <f t="shared" si="291"/>
        <v>42833.537557870368</v>
      </c>
      <c r="U3133" s="5">
        <f>VLOOKUP(currency,Tables!$A$1:$C$14,3,FALSE)*pledged</f>
        <v>645</v>
      </c>
    </row>
    <row r="3134" spans="1:21" ht="28.8" x14ac:dyDescent="0.55000000000000004">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16">
        <f t="shared" si="289"/>
        <v>10</v>
      </c>
      <c r="Q3134" t="str">
        <f t="shared" si="292"/>
        <v>theater</v>
      </c>
      <c r="R3134" t="str">
        <f t="shared" si="293"/>
        <v>plays</v>
      </c>
      <c r="S3134" s="4">
        <f t="shared" si="290"/>
        <v>42786.350231481483</v>
      </c>
      <c r="T3134" s="4">
        <f t="shared" si="291"/>
        <v>42846.308564814812</v>
      </c>
      <c r="U3134" s="5">
        <f>VLOOKUP(currency,Tables!$A$1:$C$14,3,FALSE)*pledged</f>
        <v>10</v>
      </c>
    </row>
    <row r="3135" spans="1:21" ht="43.2" x14ac:dyDescent="0.55000000000000004">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288"/>
        <v>1.08</v>
      </c>
      <c r="P3135" s="16">
        <f t="shared" si="289"/>
        <v>33.75</v>
      </c>
      <c r="Q3135" t="str">
        <f t="shared" si="292"/>
        <v>theater</v>
      </c>
      <c r="R3135" t="str">
        <f t="shared" si="293"/>
        <v>plays</v>
      </c>
      <c r="S3135" s="4">
        <f t="shared" si="290"/>
        <v>42788.565208333333</v>
      </c>
      <c r="T3135" s="4">
        <f t="shared" si="291"/>
        <v>42818.523541666669</v>
      </c>
      <c r="U3135" s="5">
        <f>VLOOKUP(currency,Tables!$A$1:$C$14,3,FALSE)*pledged</f>
        <v>712.80000000000007</v>
      </c>
    </row>
    <row r="3136" spans="1:21" ht="43.2" x14ac:dyDescent="0.55000000000000004">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16">
        <f t="shared" si="289"/>
        <v>18.75</v>
      </c>
      <c r="Q3136" t="str">
        <f t="shared" si="292"/>
        <v>theater</v>
      </c>
      <c r="R3136" t="str">
        <f t="shared" si="293"/>
        <v>plays</v>
      </c>
      <c r="S3136" s="4">
        <f t="shared" si="290"/>
        <v>42800.720127314817</v>
      </c>
      <c r="T3136" s="4">
        <f t="shared" si="291"/>
        <v>42821.678460648152</v>
      </c>
      <c r="U3136" s="5">
        <f>VLOOKUP(currency,Tables!$A$1:$C$14,3,FALSE)*pledged</f>
        <v>297</v>
      </c>
    </row>
    <row r="3137" spans="1:21" ht="43.2" x14ac:dyDescent="0.55000000000000004">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16">
        <f t="shared" si="289"/>
        <v>23.142857142857142</v>
      </c>
      <c r="Q3137" t="str">
        <f t="shared" si="292"/>
        <v>theater</v>
      </c>
      <c r="R3137" t="str">
        <f t="shared" si="293"/>
        <v>plays</v>
      </c>
      <c r="S3137" s="4">
        <f t="shared" si="290"/>
        <v>42807.151863425926</v>
      </c>
      <c r="T3137" s="4">
        <f t="shared" si="291"/>
        <v>42829.151863425926</v>
      </c>
      <c r="U3137" s="5">
        <f>VLOOKUP(currency,Tables!$A$1:$C$14,3,FALSE)*pledged</f>
        <v>162</v>
      </c>
    </row>
    <row r="3138" spans="1:21" ht="43.2" x14ac:dyDescent="0.55000000000000004">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ref="O3138:O3201" si="294">pledged/goal</f>
        <v>1.278</v>
      </c>
      <c r="P3138" s="16">
        <f t="shared" ref="P3138:P3201" si="295">IF(pledged=0,0,pledged/backers_count)</f>
        <v>29.045454545454547</v>
      </c>
      <c r="Q3138" t="str">
        <f t="shared" si="292"/>
        <v>theater</v>
      </c>
      <c r="R3138" t="str">
        <f t="shared" si="293"/>
        <v>plays</v>
      </c>
      <c r="S3138" s="4">
        <f t="shared" ref="S3138:S3201" si="296">(((Unix_launched_date/60)/60)/24)+DATE(1970,1,1)</f>
        <v>42789.462430555555</v>
      </c>
      <c r="T3138" s="4">
        <f t="shared" ref="T3138:T3201" si="297">(((Unix_deadline/60)/60)/24)+DATE(1970,1,1)</f>
        <v>42825.957638888889</v>
      </c>
      <c r="U3138" s="5">
        <f>VLOOKUP(currency,Tables!$A$1:$C$14,3,FALSE)*pledged</f>
        <v>843.48</v>
      </c>
    </row>
    <row r="3139" spans="1:21" ht="28.8" x14ac:dyDescent="0.55000000000000004">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si="294"/>
        <v>3.3333333333333333E-2</v>
      </c>
      <c r="P3139" s="16">
        <f t="shared" si="295"/>
        <v>50</v>
      </c>
      <c r="Q3139" t="str">
        <f t="shared" ref="Q3139:Q3202" si="298">LEFT(N3139,FIND("/",N3139,1)-1)</f>
        <v>theater</v>
      </c>
      <c r="R3139" t="str">
        <f t="shared" ref="R3139:R3202" si="299">RIGHT(N3139,(LEN(N3139)-FIND("/",N3139,1)))</f>
        <v>plays</v>
      </c>
      <c r="S3139" s="4">
        <f t="shared" si="296"/>
        <v>42807.885057870371</v>
      </c>
      <c r="T3139" s="4">
        <f t="shared" si="297"/>
        <v>42858.8</v>
      </c>
      <c r="U3139" s="5">
        <f>VLOOKUP(currency,Tables!$A$1:$C$14,3,FALSE)*pledged</f>
        <v>50</v>
      </c>
    </row>
    <row r="3140" spans="1:21" ht="57.6" x14ac:dyDescent="0.55000000000000004">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294"/>
        <v>0</v>
      </c>
      <c r="P3140" s="16">
        <f t="shared" si="295"/>
        <v>0</v>
      </c>
      <c r="Q3140" t="str">
        <f t="shared" si="298"/>
        <v>theater</v>
      </c>
      <c r="R3140" t="str">
        <f t="shared" si="299"/>
        <v>plays</v>
      </c>
      <c r="S3140" s="4">
        <f t="shared" si="296"/>
        <v>42809.645914351851</v>
      </c>
      <c r="T3140" s="4">
        <f t="shared" si="297"/>
        <v>42828.645914351851</v>
      </c>
      <c r="U3140" s="5">
        <f>VLOOKUP(currency,Tables!$A$1:$C$14,3,FALSE)*pledged</f>
        <v>0</v>
      </c>
    </row>
    <row r="3141" spans="1:21" ht="43.2" x14ac:dyDescent="0.55000000000000004">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16">
        <f t="shared" si="295"/>
        <v>450</v>
      </c>
      <c r="Q3141" t="str">
        <f t="shared" si="298"/>
        <v>theater</v>
      </c>
      <c r="R3141" t="str">
        <f t="shared" si="299"/>
        <v>plays</v>
      </c>
      <c r="S3141" s="4">
        <f t="shared" si="296"/>
        <v>42785.270370370374</v>
      </c>
      <c r="T3141" s="4">
        <f t="shared" si="297"/>
        <v>42819.189583333333</v>
      </c>
      <c r="U3141" s="5">
        <f>VLOOKUP(currency,Tables!$A$1:$C$14,3,FALSE)*pledged</f>
        <v>124.2</v>
      </c>
    </row>
    <row r="3142" spans="1:21" ht="43.2" x14ac:dyDescent="0.55000000000000004">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16">
        <f t="shared" si="295"/>
        <v>24</v>
      </c>
      <c r="Q3142" t="str">
        <f t="shared" si="298"/>
        <v>theater</v>
      </c>
      <c r="R3142" t="str">
        <f t="shared" si="299"/>
        <v>plays</v>
      </c>
      <c r="S3142" s="4">
        <f t="shared" si="296"/>
        <v>42802.718784722223</v>
      </c>
      <c r="T3142" s="4">
        <f t="shared" si="297"/>
        <v>42832.677118055552</v>
      </c>
      <c r="U3142" s="5">
        <f>VLOOKUP(currency,Tables!$A$1:$C$14,3,FALSE)*pledged</f>
        <v>113.28</v>
      </c>
    </row>
    <row r="3143" spans="1:21" ht="57.6" x14ac:dyDescent="0.55000000000000004">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16">
        <f t="shared" si="295"/>
        <v>32.25</v>
      </c>
      <c r="Q3143" t="str">
        <f t="shared" si="298"/>
        <v>theater</v>
      </c>
      <c r="R3143" t="str">
        <f t="shared" si="299"/>
        <v>plays</v>
      </c>
      <c r="S3143" s="4">
        <f t="shared" si="296"/>
        <v>42800.753333333334</v>
      </c>
      <c r="T3143" s="4">
        <f t="shared" si="297"/>
        <v>42841.833333333328</v>
      </c>
      <c r="U3143" s="5">
        <f>VLOOKUP(currency,Tables!$A$1:$C$14,3,FALSE)*pledged</f>
        <v>304.44</v>
      </c>
    </row>
    <row r="3144" spans="1:21" ht="43.2" x14ac:dyDescent="0.55000000000000004">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16">
        <f t="shared" si="295"/>
        <v>15</v>
      </c>
      <c r="Q3144" t="str">
        <f t="shared" si="298"/>
        <v>theater</v>
      </c>
      <c r="R3144" t="str">
        <f t="shared" si="299"/>
        <v>plays</v>
      </c>
      <c r="S3144" s="4">
        <f t="shared" si="296"/>
        <v>42783.513182870374</v>
      </c>
      <c r="T3144" s="4">
        <f t="shared" si="297"/>
        <v>42813.471516203703</v>
      </c>
      <c r="U3144" s="5">
        <f>VLOOKUP(currency,Tables!$A$1:$C$14,3,FALSE)*pledged</f>
        <v>59.400000000000006</v>
      </c>
    </row>
    <row r="3145" spans="1:21" ht="57.6" x14ac:dyDescent="0.55000000000000004">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294"/>
        <v>0</v>
      </c>
      <c r="P3145" s="16">
        <f t="shared" si="295"/>
        <v>0</v>
      </c>
      <c r="Q3145" t="str">
        <f t="shared" si="298"/>
        <v>theater</v>
      </c>
      <c r="R3145" t="str">
        <f t="shared" si="299"/>
        <v>plays</v>
      </c>
      <c r="S3145" s="4">
        <f t="shared" si="296"/>
        <v>42808.358287037037</v>
      </c>
      <c r="T3145" s="4">
        <f t="shared" si="297"/>
        <v>42834.358287037037</v>
      </c>
      <c r="U3145" s="5">
        <f>VLOOKUP(currency,Tables!$A$1:$C$14,3,FALSE)*pledged</f>
        <v>0</v>
      </c>
    </row>
    <row r="3146" spans="1:21" ht="57.6" x14ac:dyDescent="0.55000000000000004">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16">
        <f t="shared" si="295"/>
        <v>251.33333333333334</v>
      </c>
      <c r="Q3146" t="str">
        <f t="shared" si="298"/>
        <v>theater</v>
      </c>
      <c r="R3146" t="str">
        <f t="shared" si="299"/>
        <v>plays</v>
      </c>
      <c r="S3146" s="4">
        <f t="shared" si="296"/>
        <v>42796.538275462968</v>
      </c>
      <c r="T3146" s="4">
        <f t="shared" si="297"/>
        <v>42813.25</v>
      </c>
      <c r="U3146" s="5">
        <f>VLOOKUP(currency,Tables!$A$1:$C$14,3,FALSE)*pledged</f>
        <v>7540</v>
      </c>
    </row>
    <row r="3147" spans="1:21" ht="43.2" x14ac:dyDescent="0.55000000000000004">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294"/>
        <v>0</v>
      </c>
      <c r="P3147" s="16">
        <f t="shared" si="295"/>
        <v>0</v>
      </c>
      <c r="Q3147" t="str">
        <f t="shared" si="298"/>
        <v>theater</v>
      </c>
      <c r="R3147" t="str">
        <f t="shared" si="299"/>
        <v>plays</v>
      </c>
      <c r="S3147" s="4">
        <f t="shared" si="296"/>
        <v>42762.040902777779</v>
      </c>
      <c r="T3147" s="4">
        <f t="shared" si="297"/>
        <v>42821.999236111107</v>
      </c>
      <c r="U3147" s="5">
        <f>VLOOKUP(currency,Tables!$A$1:$C$14,3,FALSE)*pledged</f>
        <v>0</v>
      </c>
    </row>
    <row r="3148" spans="1:21" ht="28.8" x14ac:dyDescent="0.55000000000000004">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16">
        <f t="shared" si="295"/>
        <v>437.5</v>
      </c>
      <c r="Q3148" t="str">
        <f t="shared" si="298"/>
        <v>theater</v>
      </c>
      <c r="R3148" t="str">
        <f t="shared" si="299"/>
        <v>plays</v>
      </c>
      <c r="S3148" s="4">
        <f t="shared" si="296"/>
        <v>42796.682476851856</v>
      </c>
      <c r="T3148" s="4">
        <f t="shared" si="297"/>
        <v>42841.640810185185</v>
      </c>
      <c r="U3148" s="5">
        <f>VLOOKUP(currency,Tables!$A$1:$C$14,3,FALSE)*pledged</f>
        <v>241.5</v>
      </c>
    </row>
    <row r="3149" spans="1:21" ht="43.2" x14ac:dyDescent="0.55000000000000004">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16">
        <f t="shared" si="295"/>
        <v>110.35211267605634</v>
      </c>
      <c r="Q3149" t="str">
        <f t="shared" si="298"/>
        <v>theater</v>
      </c>
      <c r="R3149" t="str">
        <f t="shared" si="299"/>
        <v>plays</v>
      </c>
      <c r="S3149" s="4">
        <f t="shared" si="296"/>
        <v>41909.969386574077</v>
      </c>
      <c r="T3149" s="4">
        <f t="shared" si="297"/>
        <v>41950.011053240742</v>
      </c>
      <c r="U3149" s="5">
        <f>VLOOKUP(currency,Tables!$A$1:$C$14,3,FALSE)*pledged</f>
        <v>23505</v>
      </c>
    </row>
    <row r="3150" spans="1:21" ht="28.8" x14ac:dyDescent="0.55000000000000004">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16">
        <f t="shared" si="295"/>
        <v>41.421052631578945</v>
      </c>
      <c r="Q3150" t="str">
        <f t="shared" si="298"/>
        <v>theater</v>
      </c>
      <c r="R3150" t="str">
        <f t="shared" si="299"/>
        <v>plays</v>
      </c>
      <c r="S3150" s="4">
        <f t="shared" si="296"/>
        <v>41891.665324074071</v>
      </c>
      <c r="T3150" s="4">
        <f t="shared" si="297"/>
        <v>41913.166666666664</v>
      </c>
      <c r="U3150" s="5">
        <f>VLOOKUP(currency,Tables!$A$1:$C$14,3,FALSE)*pledged</f>
        <v>2361</v>
      </c>
    </row>
    <row r="3151" spans="1:21" ht="43.2" x14ac:dyDescent="0.55000000000000004">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294"/>
        <v>1.04</v>
      </c>
      <c r="P3151" s="16">
        <f t="shared" si="295"/>
        <v>52</v>
      </c>
      <c r="Q3151" t="str">
        <f t="shared" si="298"/>
        <v>theater</v>
      </c>
      <c r="R3151" t="str">
        <f t="shared" si="299"/>
        <v>plays</v>
      </c>
      <c r="S3151" s="4">
        <f t="shared" si="296"/>
        <v>41226.017361111109</v>
      </c>
      <c r="T3151" s="4">
        <f t="shared" si="297"/>
        <v>41250.083333333336</v>
      </c>
      <c r="U3151" s="5">
        <f>VLOOKUP(currency,Tables!$A$1:$C$14,3,FALSE)*pledged</f>
        <v>1300</v>
      </c>
    </row>
    <row r="3152" spans="1:21" ht="57.6" x14ac:dyDescent="0.55000000000000004">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16">
        <f t="shared" si="295"/>
        <v>33.990384615384613</v>
      </c>
      <c r="Q3152" t="str">
        <f t="shared" si="298"/>
        <v>theater</v>
      </c>
      <c r="R3152" t="str">
        <f t="shared" si="299"/>
        <v>plays</v>
      </c>
      <c r="S3152" s="4">
        <f t="shared" si="296"/>
        <v>40478.263923611114</v>
      </c>
      <c r="T3152" s="4">
        <f t="shared" si="297"/>
        <v>40568.166666666664</v>
      </c>
      <c r="U3152" s="5">
        <f>VLOOKUP(currency,Tables!$A$1:$C$14,3,FALSE)*pledged</f>
        <v>3535</v>
      </c>
    </row>
    <row r="3153" spans="1:21" ht="43.2" x14ac:dyDescent="0.55000000000000004">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16">
        <f t="shared" si="295"/>
        <v>103.35294117647059</v>
      </c>
      <c r="Q3153" t="str">
        <f t="shared" si="298"/>
        <v>theater</v>
      </c>
      <c r="R3153" t="str">
        <f t="shared" si="299"/>
        <v>plays</v>
      </c>
      <c r="S3153" s="4">
        <f t="shared" si="296"/>
        <v>41862.83997685185</v>
      </c>
      <c r="T3153" s="4">
        <f t="shared" si="297"/>
        <v>41892.83997685185</v>
      </c>
      <c r="U3153" s="5">
        <f>VLOOKUP(currency,Tables!$A$1:$C$14,3,FALSE)*pledged</f>
        <v>3514</v>
      </c>
    </row>
    <row r="3154" spans="1:21" ht="43.2" x14ac:dyDescent="0.55000000000000004">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16">
        <f t="shared" si="295"/>
        <v>34.791044776119406</v>
      </c>
      <c r="Q3154" t="str">
        <f t="shared" si="298"/>
        <v>theater</v>
      </c>
      <c r="R3154" t="str">
        <f t="shared" si="299"/>
        <v>plays</v>
      </c>
      <c r="S3154" s="4">
        <f t="shared" si="296"/>
        <v>41550.867673611108</v>
      </c>
      <c r="T3154" s="4">
        <f t="shared" si="297"/>
        <v>41580.867673611108</v>
      </c>
      <c r="U3154" s="5">
        <f>VLOOKUP(currency,Tables!$A$1:$C$14,3,FALSE)*pledged</f>
        <v>3076.92</v>
      </c>
    </row>
    <row r="3155" spans="1:21" ht="43.2" x14ac:dyDescent="0.55000000000000004">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16">
        <f t="shared" si="295"/>
        <v>41.773858921161825</v>
      </c>
      <c r="Q3155" t="str">
        <f t="shared" si="298"/>
        <v>theater</v>
      </c>
      <c r="R3155" t="str">
        <f t="shared" si="299"/>
        <v>plays</v>
      </c>
      <c r="S3155" s="4">
        <f t="shared" si="296"/>
        <v>40633.154363425929</v>
      </c>
      <c r="T3155" s="4">
        <f t="shared" si="297"/>
        <v>40664.207638888889</v>
      </c>
      <c r="U3155" s="5">
        <f>VLOOKUP(currency,Tables!$A$1:$C$14,3,FALSE)*pledged</f>
        <v>10067.5</v>
      </c>
    </row>
    <row r="3156" spans="1:21" ht="43.2" x14ac:dyDescent="0.55000000000000004">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16">
        <f t="shared" si="295"/>
        <v>64.268292682926827</v>
      </c>
      <c r="Q3156" t="str">
        <f t="shared" si="298"/>
        <v>theater</v>
      </c>
      <c r="R3156" t="str">
        <f t="shared" si="299"/>
        <v>plays</v>
      </c>
      <c r="S3156" s="4">
        <f t="shared" si="296"/>
        <v>40970.875671296293</v>
      </c>
      <c r="T3156" s="4">
        <f t="shared" si="297"/>
        <v>41000.834004629629</v>
      </c>
      <c r="U3156" s="5">
        <f>VLOOKUP(currency,Tables!$A$1:$C$14,3,FALSE)*pledged</f>
        <v>7905</v>
      </c>
    </row>
    <row r="3157" spans="1:21" ht="43.2" x14ac:dyDescent="0.55000000000000004">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16">
        <f t="shared" si="295"/>
        <v>31.209370860927152</v>
      </c>
      <c r="Q3157" t="str">
        <f t="shared" si="298"/>
        <v>theater</v>
      </c>
      <c r="R3157" t="str">
        <f t="shared" si="299"/>
        <v>plays</v>
      </c>
      <c r="S3157" s="4">
        <f t="shared" si="296"/>
        <v>41233.499131944445</v>
      </c>
      <c r="T3157" s="4">
        <f t="shared" si="297"/>
        <v>41263.499131944445</v>
      </c>
      <c r="U3157" s="5">
        <f>VLOOKUP(currency,Tables!$A$1:$C$14,3,FALSE)*pledged</f>
        <v>12441.303599999999</v>
      </c>
    </row>
    <row r="3158" spans="1:21" ht="43.2" x14ac:dyDescent="0.55000000000000004">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16">
        <f t="shared" si="295"/>
        <v>62.921348314606739</v>
      </c>
      <c r="Q3158" t="str">
        <f t="shared" si="298"/>
        <v>theater</v>
      </c>
      <c r="R3158" t="str">
        <f t="shared" si="299"/>
        <v>plays</v>
      </c>
      <c r="S3158" s="4">
        <f t="shared" si="296"/>
        <v>41026.953055555554</v>
      </c>
      <c r="T3158" s="4">
        <f t="shared" si="297"/>
        <v>41061.953055555554</v>
      </c>
      <c r="U3158" s="5">
        <f>VLOOKUP(currency,Tables!$A$1:$C$14,3,FALSE)*pledged</f>
        <v>5600</v>
      </c>
    </row>
    <row r="3159" spans="1:21" ht="28.8" x14ac:dyDescent="0.55000000000000004">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294"/>
        <v>1.01</v>
      </c>
      <c r="P3159" s="16">
        <f t="shared" si="295"/>
        <v>98.536585365853654</v>
      </c>
      <c r="Q3159" t="str">
        <f t="shared" si="298"/>
        <v>theater</v>
      </c>
      <c r="R3159" t="str">
        <f t="shared" si="299"/>
        <v>plays</v>
      </c>
      <c r="S3159" s="4">
        <f t="shared" si="296"/>
        <v>41829.788252314815</v>
      </c>
      <c r="T3159" s="4">
        <f t="shared" si="297"/>
        <v>41839.208333333336</v>
      </c>
      <c r="U3159" s="5">
        <f>VLOOKUP(currency,Tables!$A$1:$C$14,3,FALSE)*pledged</f>
        <v>4040</v>
      </c>
    </row>
    <row r="3160" spans="1:21" ht="28.8" x14ac:dyDescent="0.55000000000000004">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16">
        <f t="shared" si="295"/>
        <v>82.608695652173907</v>
      </c>
      <c r="Q3160" t="str">
        <f t="shared" si="298"/>
        <v>theater</v>
      </c>
      <c r="R3160" t="str">
        <f t="shared" si="299"/>
        <v>plays</v>
      </c>
      <c r="S3160" s="4">
        <f t="shared" si="296"/>
        <v>41447.839722222219</v>
      </c>
      <c r="T3160" s="4">
        <f t="shared" si="297"/>
        <v>41477.839722222219</v>
      </c>
      <c r="U3160" s="5">
        <f>VLOOKUP(currency,Tables!$A$1:$C$14,3,FALSE)*pledged</f>
        <v>5700</v>
      </c>
    </row>
    <row r="3161" spans="1:21" ht="28.8" x14ac:dyDescent="0.55000000000000004">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16">
        <f t="shared" si="295"/>
        <v>38.504230769230773</v>
      </c>
      <c r="Q3161" t="str">
        <f t="shared" si="298"/>
        <v>theater</v>
      </c>
      <c r="R3161" t="str">
        <f t="shared" si="299"/>
        <v>plays</v>
      </c>
      <c r="S3161" s="4">
        <f t="shared" si="296"/>
        <v>40884.066678240742</v>
      </c>
      <c r="T3161" s="4">
        <f t="shared" si="297"/>
        <v>40926.958333333336</v>
      </c>
      <c r="U3161" s="5">
        <f>VLOOKUP(currency,Tables!$A$1:$C$14,3,FALSE)*pledged</f>
        <v>2002.22</v>
      </c>
    </row>
    <row r="3162" spans="1:21" ht="43.2" x14ac:dyDescent="0.55000000000000004">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16">
        <f t="shared" si="295"/>
        <v>80.15789473684211</v>
      </c>
      <c r="Q3162" t="str">
        <f t="shared" si="298"/>
        <v>theater</v>
      </c>
      <c r="R3162" t="str">
        <f t="shared" si="299"/>
        <v>plays</v>
      </c>
      <c r="S3162" s="4">
        <f t="shared" si="296"/>
        <v>41841.26489583333</v>
      </c>
      <c r="T3162" s="4">
        <f t="shared" si="297"/>
        <v>41864.207638888889</v>
      </c>
      <c r="U3162" s="5">
        <f>VLOOKUP(currency,Tables!$A$1:$C$14,3,FALSE)*pledged</f>
        <v>4569</v>
      </c>
    </row>
    <row r="3163" spans="1:21" ht="43.2" x14ac:dyDescent="0.55000000000000004">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16">
        <f t="shared" si="295"/>
        <v>28.405405405405407</v>
      </c>
      <c r="Q3163" t="str">
        <f t="shared" si="298"/>
        <v>theater</v>
      </c>
      <c r="R3163" t="str">
        <f t="shared" si="299"/>
        <v>plays</v>
      </c>
      <c r="S3163" s="4">
        <f t="shared" si="296"/>
        <v>41897.536134259259</v>
      </c>
      <c r="T3163" s="4">
        <f t="shared" si="297"/>
        <v>41927.536134259259</v>
      </c>
      <c r="U3163" s="5">
        <f>VLOOKUP(currency,Tables!$A$1:$C$14,3,FALSE)*pledged</f>
        <v>2774.6400000000003</v>
      </c>
    </row>
    <row r="3164" spans="1:21" ht="43.2" x14ac:dyDescent="0.55000000000000004">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16">
        <f t="shared" si="295"/>
        <v>80.730158730158735</v>
      </c>
      <c r="Q3164" t="str">
        <f t="shared" si="298"/>
        <v>theater</v>
      </c>
      <c r="R3164" t="str">
        <f t="shared" si="299"/>
        <v>plays</v>
      </c>
      <c r="S3164" s="4">
        <f t="shared" si="296"/>
        <v>41799.685902777775</v>
      </c>
      <c r="T3164" s="4">
        <f t="shared" si="297"/>
        <v>41827.083333333336</v>
      </c>
      <c r="U3164" s="5">
        <f>VLOOKUP(currency,Tables!$A$1:$C$14,3,FALSE)*pledged</f>
        <v>5086</v>
      </c>
    </row>
    <row r="3165" spans="1:21" ht="43.2" x14ac:dyDescent="0.55000000000000004">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16">
        <f t="shared" si="295"/>
        <v>200.69444444444446</v>
      </c>
      <c r="Q3165" t="str">
        <f t="shared" si="298"/>
        <v>theater</v>
      </c>
      <c r="R3165" t="str">
        <f t="shared" si="299"/>
        <v>plays</v>
      </c>
      <c r="S3165" s="4">
        <f t="shared" si="296"/>
        <v>41775.753761574073</v>
      </c>
      <c r="T3165" s="4">
        <f t="shared" si="297"/>
        <v>41805.753761574073</v>
      </c>
      <c r="U3165" s="5">
        <f>VLOOKUP(currency,Tables!$A$1:$C$14,3,FALSE)*pledged</f>
        <v>14450</v>
      </c>
    </row>
    <row r="3166" spans="1:21" ht="43.2" x14ac:dyDescent="0.55000000000000004">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16">
        <f t="shared" si="295"/>
        <v>37.591549295774648</v>
      </c>
      <c r="Q3166" t="str">
        <f t="shared" si="298"/>
        <v>theater</v>
      </c>
      <c r="R3166" t="str">
        <f t="shared" si="299"/>
        <v>plays</v>
      </c>
      <c r="S3166" s="4">
        <f t="shared" si="296"/>
        <v>41766.80572916667</v>
      </c>
      <c r="T3166" s="4">
        <f t="shared" si="297"/>
        <v>41799.80572916667</v>
      </c>
      <c r="U3166" s="5">
        <f>VLOOKUP(currency,Tables!$A$1:$C$14,3,FALSE)*pledged</f>
        <v>2669</v>
      </c>
    </row>
    <row r="3167" spans="1:21" ht="43.2" x14ac:dyDescent="0.55000000000000004">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16">
        <f t="shared" si="295"/>
        <v>58.095238095238095</v>
      </c>
      <c r="Q3167" t="str">
        <f t="shared" si="298"/>
        <v>theater</v>
      </c>
      <c r="R3167" t="str">
        <f t="shared" si="299"/>
        <v>plays</v>
      </c>
      <c r="S3167" s="4">
        <f t="shared" si="296"/>
        <v>40644.159259259257</v>
      </c>
      <c r="T3167" s="4">
        <f t="shared" si="297"/>
        <v>40666.165972222225</v>
      </c>
      <c r="U3167" s="5">
        <f>VLOOKUP(currency,Tables!$A$1:$C$14,3,FALSE)*pledged</f>
        <v>1220</v>
      </c>
    </row>
    <row r="3168" spans="1:21" ht="43.2" x14ac:dyDescent="0.55000000000000004">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16">
        <f t="shared" si="295"/>
        <v>60.300892473118282</v>
      </c>
      <c r="Q3168" t="str">
        <f t="shared" si="298"/>
        <v>theater</v>
      </c>
      <c r="R3168" t="str">
        <f t="shared" si="299"/>
        <v>plays</v>
      </c>
      <c r="S3168" s="4">
        <f t="shared" si="296"/>
        <v>41940.69158564815</v>
      </c>
      <c r="T3168" s="4">
        <f t="shared" si="297"/>
        <v>41969.332638888889</v>
      </c>
      <c r="U3168" s="5">
        <f>VLOOKUP(currency,Tables!$A$1:$C$14,3,FALSE)*pledged</f>
        <v>56079.83</v>
      </c>
    </row>
    <row r="3169" spans="1:21" ht="28.8" x14ac:dyDescent="0.55000000000000004">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16">
        <f t="shared" si="295"/>
        <v>63.363636363636367</v>
      </c>
      <c r="Q3169" t="str">
        <f t="shared" si="298"/>
        <v>theater</v>
      </c>
      <c r="R3169" t="str">
        <f t="shared" si="299"/>
        <v>plays</v>
      </c>
      <c r="S3169" s="4">
        <f t="shared" si="296"/>
        <v>41839.175706018519</v>
      </c>
      <c r="T3169" s="4">
        <f t="shared" si="297"/>
        <v>41853.175706018519</v>
      </c>
      <c r="U3169" s="5">
        <f>VLOOKUP(currency,Tables!$A$1:$C$14,3,FALSE)*pledged</f>
        <v>3485</v>
      </c>
    </row>
    <row r="3170" spans="1:21" ht="43.2" x14ac:dyDescent="0.55000000000000004">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16">
        <f t="shared" si="295"/>
        <v>50.901639344262293</v>
      </c>
      <c r="Q3170" t="str">
        <f t="shared" si="298"/>
        <v>theater</v>
      </c>
      <c r="R3170" t="str">
        <f t="shared" si="299"/>
        <v>plays</v>
      </c>
      <c r="S3170" s="4">
        <f t="shared" si="296"/>
        <v>41772.105937500004</v>
      </c>
      <c r="T3170" s="4">
        <f t="shared" si="297"/>
        <v>41803.916666666664</v>
      </c>
      <c r="U3170" s="5">
        <f>VLOOKUP(currency,Tables!$A$1:$C$14,3,FALSE)*pledged</f>
        <v>3105</v>
      </c>
    </row>
    <row r="3171" spans="1:21" ht="28.8" x14ac:dyDescent="0.55000000000000004">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16">
        <f t="shared" si="295"/>
        <v>100.5</v>
      </c>
      <c r="Q3171" t="str">
        <f t="shared" si="298"/>
        <v>theater</v>
      </c>
      <c r="R3171" t="str">
        <f t="shared" si="299"/>
        <v>plays</v>
      </c>
      <c r="S3171" s="4">
        <f t="shared" si="296"/>
        <v>41591.737974537034</v>
      </c>
      <c r="T3171" s="4">
        <f t="shared" si="297"/>
        <v>41621.207638888889</v>
      </c>
      <c r="U3171" s="5">
        <f>VLOOKUP(currency,Tables!$A$1:$C$14,3,FALSE)*pledged</f>
        <v>8241</v>
      </c>
    </row>
    <row r="3172" spans="1:21" ht="43.2" x14ac:dyDescent="0.55000000000000004">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16">
        <f t="shared" si="295"/>
        <v>31.619718309859156</v>
      </c>
      <c r="Q3172" t="str">
        <f t="shared" si="298"/>
        <v>theater</v>
      </c>
      <c r="R3172" t="str">
        <f t="shared" si="299"/>
        <v>plays</v>
      </c>
      <c r="S3172" s="4">
        <f t="shared" si="296"/>
        <v>41789.080370370371</v>
      </c>
      <c r="T3172" s="4">
        <f t="shared" si="297"/>
        <v>41822.166666666664</v>
      </c>
      <c r="U3172" s="5">
        <f>VLOOKUP(currency,Tables!$A$1:$C$14,3,FALSE)*pledged</f>
        <v>2245</v>
      </c>
    </row>
    <row r="3173" spans="1:21" ht="43.2" x14ac:dyDescent="0.55000000000000004">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16">
        <f t="shared" si="295"/>
        <v>65.102564102564102</v>
      </c>
      <c r="Q3173" t="str">
        <f t="shared" si="298"/>
        <v>theater</v>
      </c>
      <c r="R3173" t="str">
        <f t="shared" si="299"/>
        <v>plays</v>
      </c>
      <c r="S3173" s="4">
        <f t="shared" si="296"/>
        <v>42466.608310185184</v>
      </c>
      <c r="T3173" s="4">
        <f t="shared" si="297"/>
        <v>42496.608310185184</v>
      </c>
      <c r="U3173" s="5">
        <f>VLOOKUP(currency,Tables!$A$1:$C$14,3,FALSE)*pledged</f>
        <v>10054.44</v>
      </c>
    </row>
    <row r="3174" spans="1:21" ht="43.2" x14ac:dyDescent="0.55000000000000004">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16">
        <f t="shared" si="295"/>
        <v>79.310344827586206</v>
      </c>
      <c r="Q3174" t="str">
        <f t="shared" si="298"/>
        <v>theater</v>
      </c>
      <c r="R3174" t="str">
        <f t="shared" si="299"/>
        <v>plays</v>
      </c>
      <c r="S3174" s="4">
        <f t="shared" si="296"/>
        <v>40923.729953703703</v>
      </c>
      <c r="T3174" s="4">
        <f t="shared" si="297"/>
        <v>40953.729953703703</v>
      </c>
      <c r="U3174" s="5">
        <f>VLOOKUP(currency,Tables!$A$1:$C$14,3,FALSE)*pledged</f>
        <v>2300</v>
      </c>
    </row>
    <row r="3175" spans="1:21" ht="43.2" x14ac:dyDescent="0.55000000000000004">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16">
        <f t="shared" si="295"/>
        <v>139.18918918918919</v>
      </c>
      <c r="Q3175" t="str">
        <f t="shared" si="298"/>
        <v>theater</v>
      </c>
      <c r="R3175" t="str">
        <f t="shared" si="299"/>
        <v>plays</v>
      </c>
      <c r="S3175" s="4">
        <f t="shared" si="296"/>
        <v>41878.878379629627</v>
      </c>
      <c r="T3175" s="4">
        <f t="shared" si="297"/>
        <v>41908.878379629627</v>
      </c>
      <c r="U3175" s="5">
        <f>VLOOKUP(currency,Tables!$A$1:$C$14,3,FALSE)*pledged</f>
        <v>10300</v>
      </c>
    </row>
    <row r="3176" spans="1:21" ht="43.2" x14ac:dyDescent="0.55000000000000004">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16">
        <f t="shared" si="295"/>
        <v>131.91304347826087</v>
      </c>
      <c r="Q3176" t="str">
        <f t="shared" si="298"/>
        <v>theater</v>
      </c>
      <c r="R3176" t="str">
        <f t="shared" si="299"/>
        <v>plays</v>
      </c>
      <c r="S3176" s="4">
        <f t="shared" si="296"/>
        <v>41862.864675925928</v>
      </c>
      <c r="T3176" s="4">
        <f t="shared" si="297"/>
        <v>41876.864675925928</v>
      </c>
      <c r="U3176" s="5">
        <f>VLOOKUP(currency,Tables!$A$1:$C$14,3,FALSE)*pledged</f>
        <v>3034</v>
      </c>
    </row>
    <row r="3177" spans="1:21" ht="57.6" x14ac:dyDescent="0.55000000000000004">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16">
        <f t="shared" si="295"/>
        <v>91.3</v>
      </c>
      <c r="Q3177" t="str">
        <f t="shared" si="298"/>
        <v>theater</v>
      </c>
      <c r="R3177" t="str">
        <f t="shared" si="299"/>
        <v>plays</v>
      </c>
      <c r="S3177" s="4">
        <f t="shared" si="296"/>
        <v>40531.886886574073</v>
      </c>
      <c r="T3177" s="4">
        <f t="shared" si="297"/>
        <v>40591.886886574073</v>
      </c>
      <c r="U3177" s="5">
        <f>VLOOKUP(currency,Tables!$A$1:$C$14,3,FALSE)*pledged</f>
        <v>5478</v>
      </c>
    </row>
    <row r="3178" spans="1:21" ht="43.2" x14ac:dyDescent="0.55000000000000004">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16">
        <f t="shared" si="295"/>
        <v>39.672727272727272</v>
      </c>
      <c r="Q3178" t="str">
        <f t="shared" si="298"/>
        <v>theater</v>
      </c>
      <c r="R3178" t="str">
        <f t="shared" si="299"/>
        <v>plays</v>
      </c>
      <c r="S3178" s="4">
        <f t="shared" si="296"/>
        <v>41477.930914351848</v>
      </c>
      <c r="T3178" s="4">
        <f t="shared" si="297"/>
        <v>41504.625</v>
      </c>
      <c r="U3178" s="5">
        <f>VLOOKUP(currency,Tables!$A$1:$C$14,3,FALSE)*pledged</f>
        <v>2182</v>
      </c>
    </row>
    <row r="3179" spans="1:21" ht="43.2" x14ac:dyDescent="0.55000000000000004">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16">
        <f t="shared" si="295"/>
        <v>57.549019607843135</v>
      </c>
      <c r="Q3179" t="str">
        <f t="shared" si="298"/>
        <v>theater</v>
      </c>
      <c r="R3179" t="str">
        <f t="shared" si="299"/>
        <v>plays</v>
      </c>
      <c r="S3179" s="4">
        <f t="shared" si="296"/>
        <v>41781.666770833333</v>
      </c>
      <c r="T3179" s="4">
        <f t="shared" si="297"/>
        <v>41811.666770833333</v>
      </c>
      <c r="U3179" s="5">
        <f>VLOOKUP(currency,Tables!$A$1:$C$14,3,FALSE)*pledged</f>
        <v>2935</v>
      </c>
    </row>
    <row r="3180" spans="1:21" ht="43.2" x14ac:dyDescent="0.55000000000000004">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16">
        <f t="shared" si="295"/>
        <v>33.025641025641029</v>
      </c>
      <c r="Q3180" t="str">
        <f t="shared" si="298"/>
        <v>theater</v>
      </c>
      <c r="R3180" t="str">
        <f t="shared" si="299"/>
        <v>plays</v>
      </c>
      <c r="S3180" s="4">
        <f t="shared" si="296"/>
        <v>41806.605034722219</v>
      </c>
      <c r="T3180" s="4">
        <f t="shared" si="297"/>
        <v>41836.605034722219</v>
      </c>
      <c r="U3180" s="5">
        <f>VLOOKUP(currency,Tables!$A$1:$C$14,3,FALSE)*pledged</f>
        <v>3400.32</v>
      </c>
    </row>
    <row r="3181" spans="1:21" ht="28.8" x14ac:dyDescent="0.55000000000000004">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16">
        <f t="shared" si="295"/>
        <v>77.335806451612896</v>
      </c>
      <c r="Q3181" t="str">
        <f t="shared" si="298"/>
        <v>theater</v>
      </c>
      <c r="R3181" t="str">
        <f t="shared" si="299"/>
        <v>plays</v>
      </c>
      <c r="S3181" s="4">
        <f t="shared" si="296"/>
        <v>41375.702210648145</v>
      </c>
      <c r="T3181" s="4">
        <f t="shared" si="297"/>
        <v>41400.702210648145</v>
      </c>
      <c r="U3181" s="5">
        <f>VLOOKUP(currency,Tables!$A$1:$C$14,3,FALSE)*pledged</f>
        <v>4794.82</v>
      </c>
    </row>
    <row r="3182" spans="1:21" ht="43.2" x14ac:dyDescent="0.55000000000000004">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16">
        <f t="shared" si="295"/>
        <v>31.933333333333334</v>
      </c>
      <c r="Q3182" t="str">
        <f t="shared" si="298"/>
        <v>theater</v>
      </c>
      <c r="R3182" t="str">
        <f t="shared" si="299"/>
        <v>plays</v>
      </c>
      <c r="S3182" s="4">
        <f t="shared" si="296"/>
        <v>41780.412604166668</v>
      </c>
      <c r="T3182" s="4">
        <f t="shared" si="297"/>
        <v>41810.412604166668</v>
      </c>
      <c r="U3182" s="5">
        <f>VLOOKUP(currency,Tables!$A$1:$C$14,3,FALSE)*pledged</f>
        <v>1896.8400000000001</v>
      </c>
    </row>
    <row r="3183" spans="1:21" ht="43.2" x14ac:dyDescent="0.55000000000000004">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16">
        <f t="shared" si="295"/>
        <v>36.333333333333336</v>
      </c>
      <c r="Q3183" t="str">
        <f t="shared" si="298"/>
        <v>theater</v>
      </c>
      <c r="R3183" t="str">
        <f t="shared" si="299"/>
        <v>plays</v>
      </c>
      <c r="S3183" s="4">
        <f t="shared" si="296"/>
        <v>41779.310034722221</v>
      </c>
      <c r="T3183" s="4">
        <f t="shared" si="297"/>
        <v>41805.666666666664</v>
      </c>
      <c r="U3183" s="5">
        <f>VLOOKUP(currency,Tables!$A$1:$C$14,3,FALSE)*pledged</f>
        <v>719.4</v>
      </c>
    </row>
    <row r="3184" spans="1:21" ht="57.6" x14ac:dyDescent="0.55000000000000004">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16">
        <f t="shared" si="295"/>
        <v>46.768211920529801</v>
      </c>
      <c r="Q3184" t="str">
        <f t="shared" si="298"/>
        <v>theater</v>
      </c>
      <c r="R3184" t="str">
        <f t="shared" si="299"/>
        <v>plays</v>
      </c>
      <c r="S3184" s="4">
        <f t="shared" si="296"/>
        <v>40883.949317129627</v>
      </c>
      <c r="T3184" s="4">
        <f t="shared" si="297"/>
        <v>40939.708333333336</v>
      </c>
      <c r="U3184" s="5">
        <f>VLOOKUP(currency,Tables!$A$1:$C$14,3,FALSE)*pledged</f>
        <v>7062</v>
      </c>
    </row>
    <row r="3185" spans="1:21" ht="43.2" x14ac:dyDescent="0.55000000000000004">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16">
        <f t="shared" si="295"/>
        <v>40.073529411764703</v>
      </c>
      <c r="Q3185" t="str">
        <f t="shared" si="298"/>
        <v>theater</v>
      </c>
      <c r="R3185" t="str">
        <f t="shared" si="299"/>
        <v>plays</v>
      </c>
      <c r="S3185" s="4">
        <f t="shared" si="296"/>
        <v>41491.79478009259</v>
      </c>
      <c r="T3185" s="4">
        <f t="shared" si="297"/>
        <v>41509.79478009259</v>
      </c>
      <c r="U3185" s="5">
        <f>VLOOKUP(currency,Tables!$A$1:$C$14,3,FALSE)*pledged</f>
        <v>2725</v>
      </c>
    </row>
    <row r="3186" spans="1:21" ht="43.2" x14ac:dyDescent="0.55000000000000004">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16">
        <f t="shared" si="295"/>
        <v>100.21739130434783</v>
      </c>
      <c r="Q3186" t="str">
        <f t="shared" si="298"/>
        <v>theater</v>
      </c>
      <c r="R3186" t="str">
        <f t="shared" si="299"/>
        <v>plays</v>
      </c>
      <c r="S3186" s="4">
        <f t="shared" si="296"/>
        <v>41791.993414351848</v>
      </c>
      <c r="T3186" s="4">
        <f t="shared" si="297"/>
        <v>41821.993414351848</v>
      </c>
      <c r="U3186" s="5">
        <f>VLOOKUP(currency,Tables!$A$1:$C$14,3,FALSE)*pledged</f>
        <v>4610</v>
      </c>
    </row>
    <row r="3187" spans="1:21" ht="43.2" x14ac:dyDescent="0.55000000000000004">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294"/>
        <v>1</v>
      </c>
      <c r="P3187" s="16">
        <f t="shared" si="295"/>
        <v>41.666666666666664</v>
      </c>
      <c r="Q3187" t="str">
        <f t="shared" si="298"/>
        <v>theater</v>
      </c>
      <c r="R3187" t="str">
        <f t="shared" si="299"/>
        <v>plays</v>
      </c>
      <c r="S3187" s="4">
        <f t="shared" si="296"/>
        <v>41829.977326388893</v>
      </c>
      <c r="T3187" s="4">
        <f t="shared" si="297"/>
        <v>41836.977326388893</v>
      </c>
      <c r="U3187" s="5">
        <f>VLOOKUP(currency,Tables!$A$1:$C$14,3,FALSE)*pledged</f>
        <v>1320</v>
      </c>
    </row>
    <row r="3188" spans="1:21" ht="43.2" x14ac:dyDescent="0.55000000000000004">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16">
        <f t="shared" si="295"/>
        <v>46.714285714285715</v>
      </c>
      <c r="Q3188" t="str">
        <f t="shared" si="298"/>
        <v>theater</v>
      </c>
      <c r="R3188" t="str">
        <f t="shared" si="299"/>
        <v>plays</v>
      </c>
      <c r="S3188" s="4">
        <f t="shared" si="296"/>
        <v>41868.924050925925</v>
      </c>
      <c r="T3188" s="4">
        <f t="shared" si="297"/>
        <v>41898.875</v>
      </c>
      <c r="U3188" s="5">
        <f>VLOOKUP(currency,Tables!$A$1:$C$14,3,FALSE)*pledged</f>
        <v>4316.4000000000005</v>
      </c>
    </row>
    <row r="3189" spans="1:21" ht="43.2" x14ac:dyDescent="0.55000000000000004">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16">
        <f t="shared" si="295"/>
        <v>71.491803278688522</v>
      </c>
      <c r="Q3189" t="str">
        <f t="shared" si="298"/>
        <v>theater</v>
      </c>
      <c r="R3189" t="str">
        <f t="shared" si="299"/>
        <v>plays</v>
      </c>
      <c r="S3189" s="4">
        <f t="shared" si="296"/>
        <v>41835.666354166664</v>
      </c>
      <c r="T3189" s="4">
        <f t="shared" si="297"/>
        <v>41855.666354166664</v>
      </c>
      <c r="U3189" s="5">
        <f>VLOOKUP(currency,Tables!$A$1:$C$14,3,FALSE)*pledged</f>
        <v>17444</v>
      </c>
    </row>
    <row r="3190" spans="1:21" ht="43.2" x14ac:dyDescent="0.55000000000000004">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294"/>
        <v>0.65</v>
      </c>
      <c r="P3190" s="16">
        <f t="shared" si="295"/>
        <v>14.444444444444445</v>
      </c>
      <c r="Q3190" t="str">
        <f t="shared" si="298"/>
        <v>theater</v>
      </c>
      <c r="R3190" t="str">
        <f t="shared" si="299"/>
        <v>musical</v>
      </c>
      <c r="S3190" s="4">
        <f t="shared" si="296"/>
        <v>42144.415532407409</v>
      </c>
      <c r="T3190" s="4">
        <f t="shared" si="297"/>
        <v>42165.415532407409</v>
      </c>
      <c r="U3190" s="5">
        <f>VLOOKUP(currency,Tables!$A$1:$C$14,3,FALSE)*pledged</f>
        <v>171.6</v>
      </c>
    </row>
    <row r="3191" spans="1:21" ht="57.6" x14ac:dyDescent="0.55000000000000004">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16">
        <f t="shared" si="295"/>
        <v>356.84210526315792</v>
      </c>
      <c r="Q3191" t="str">
        <f t="shared" si="298"/>
        <v>theater</v>
      </c>
      <c r="R3191" t="str">
        <f t="shared" si="299"/>
        <v>musical</v>
      </c>
      <c r="S3191" s="4">
        <f t="shared" si="296"/>
        <v>42118.346435185187</v>
      </c>
      <c r="T3191" s="4">
        <f t="shared" si="297"/>
        <v>42148.346435185187</v>
      </c>
      <c r="U3191" s="5">
        <f>VLOOKUP(currency,Tables!$A$1:$C$14,3,FALSE)*pledged</f>
        <v>745.8</v>
      </c>
    </row>
    <row r="3192" spans="1:21" ht="43.2" x14ac:dyDescent="0.55000000000000004">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294"/>
        <v>0</v>
      </c>
      <c r="P3192" s="16">
        <f t="shared" si="295"/>
        <v>0</v>
      </c>
      <c r="Q3192" t="str">
        <f t="shared" si="298"/>
        <v>theater</v>
      </c>
      <c r="R3192" t="str">
        <f t="shared" si="299"/>
        <v>musical</v>
      </c>
      <c r="S3192" s="4">
        <f t="shared" si="296"/>
        <v>42683.151331018518</v>
      </c>
      <c r="T3192" s="4">
        <f t="shared" si="297"/>
        <v>42713.192997685182</v>
      </c>
      <c r="U3192" s="5">
        <f>VLOOKUP(currency,Tables!$A$1:$C$14,3,FALSE)*pledged</f>
        <v>0</v>
      </c>
    </row>
    <row r="3193" spans="1:21" ht="43.2" x14ac:dyDescent="0.55000000000000004">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16">
        <f t="shared" si="295"/>
        <v>37.75</v>
      </c>
      <c r="Q3193" t="str">
        <f t="shared" si="298"/>
        <v>theater</v>
      </c>
      <c r="R3193" t="str">
        <f t="shared" si="299"/>
        <v>musical</v>
      </c>
      <c r="S3193" s="4">
        <f t="shared" si="296"/>
        <v>42538.755428240736</v>
      </c>
      <c r="T3193" s="4">
        <f t="shared" si="297"/>
        <v>42598.755428240736</v>
      </c>
      <c r="U3193" s="5">
        <f>VLOOKUP(currency,Tables!$A$1:$C$14,3,FALSE)*pledged</f>
        <v>151</v>
      </c>
    </row>
    <row r="3194" spans="1:21" ht="43.2" x14ac:dyDescent="0.55000000000000004">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16">
        <f t="shared" si="295"/>
        <v>12.75</v>
      </c>
      <c r="Q3194" t="str">
        <f t="shared" si="298"/>
        <v>theater</v>
      </c>
      <c r="R3194" t="str">
        <f t="shared" si="299"/>
        <v>musical</v>
      </c>
      <c r="S3194" s="4">
        <f t="shared" si="296"/>
        <v>42018.94049768518</v>
      </c>
      <c r="T3194" s="4">
        <f t="shared" si="297"/>
        <v>42063.916666666672</v>
      </c>
      <c r="U3194" s="5">
        <f>VLOOKUP(currency,Tables!$A$1:$C$14,3,FALSE)*pledged</f>
        <v>134.64000000000001</v>
      </c>
    </row>
    <row r="3195" spans="1:21" ht="43.2" x14ac:dyDescent="0.55000000000000004">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16">
        <f t="shared" si="295"/>
        <v>24.458333333333332</v>
      </c>
      <c r="Q3195" t="str">
        <f t="shared" si="298"/>
        <v>theater</v>
      </c>
      <c r="R3195" t="str">
        <f t="shared" si="299"/>
        <v>musical</v>
      </c>
      <c r="S3195" s="4">
        <f t="shared" si="296"/>
        <v>42010.968240740738</v>
      </c>
      <c r="T3195" s="4">
        <f t="shared" si="297"/>
        <v>42055.968240740738</v>
      </c>
      <c r="U3195" s="5">
        <f>VLOOKUP(currency,Tables!$A$1:$C$14,3,FALSE)*pledged</f>
        <v>774.84</v>
      </c>
    </row>
    <row r="3196" spans="1:21" ht="43.2" x14ac:dyDescent="0.55000000000000004">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294"/>
        <v>0</v>
      </c>
      <c r="P3196" s="16">
        <f t="shared" si="295"/>
        <v>0</v>
      </c>
      <c r="Q3196" t="str">
        <f t="shared" si="298"/>
        <v>theater</v>
      </c>
      <c r="R3196" t="str">
        <f t="shared" si="299"/>
        <v>musical</v>
      </c>
      <c r="S3196" s="4">
        <f t="shared" si="296"/>
        <v>42182.062476851846</v>
      </c>
      <c r="T3196" s="4">
        <f t="shared" si="297"/>
        <v>42212.062476851846</v>
      </c>
      <c r="U3196" s="5">
        <f>VLOOKUP(currency,Tables!$A$1:$C$14,3,FALSE)*pledged</f>
        <v>0</v>
      </c>
    </row>
    <row r="3197" spans="1:21" ht="43.2" x14ac:dyDescent="0.55000000000000004">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16">
        <f t="shared" si="295"/>
        <v>53.07692307692308</v>
      </c>
      <c r="Q3197" t="str">
        <f t="shared" si="298"/>
        <v>theater</v>
      </c>
      <c r="R3197" t="str">
        <f t="shared" si="299"/>
        <v>musical</v>
      </c>
      <c r="S3197" s="4">
        <f t="shared" si="296"/>
        <v>42017.594236111108</v>
      </c>
      <c r="T3197" s="4">
        <f t="shared" si="297"/>
        <v>42047.594236111108</v>
      </c>
      <c r="U3197" s="5">
        <f>VLOOKUP(currency,Tables!$A$1:$C$14,3,FALSE)*pledged</f>
        <v>2070</v>
      </c>
    </row>
    <row r="3198" spans="1:21" ht="43.2" x14ac:dyDescent="0.55000000000000004">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16">
        <f t="shared" si="295"/>
        <v>300</v>
      </c>
      <c r="Q3198" t="str">
        <f t="shared" si="298"/>
        <v>theater</v>
      </c>
      <c r="R3198" t="str">
        <f t="shared" si="299"/>
        <v>musical</v>
      </c>
      <c r="S3198" s="4">
        <f t="shared" si="296"/>
        <v>42157.598090277781</v>
      </c>
      <c r="T3198" s="4">
        <f t="shared" si="297"/>
        <v>42217.583333333328</v>
      </c>
      <c r="U3198" s="5">
        <f>VLOOKUP(currency,Tables!$A$1:$C$14,3,FALSE)*pledged</f>
        <v>1800</v>
      </c>
    </row>
    <row r="3199" spans="1:21" ht="28.8" x14ac:dyDescent="0.55000000000000004">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16">
        <f t="shared" si="295"/>
        <v>286.25</v>
      </c>
      <c r="Q3199" t="str">
        <f t="shared" si="298"/>
        <v>theater</v>
      </c>
      <c r="R3199" t="str">
        <f t="shared" si="299"/>
        <v>musical</v>
      </c>
      <c r="S3199" s="4">
        <f t="shared" si="296"/>
        <v>42009.493263888886</v>
      </c>
      <c r="T3199" s="4">
        <f t="shared" si="297"/>
        <v>42039.493263888886</v>
      </c>
      <c r="U3199" s="5">
        <f>VLOOKUP(currency,Tables!$A$1:$C$14,3,FALSE)*pledged</f>
        <v>125.95</v>
      </c>
    </row>
    <row r="3200" spans="1:21" ht="43.2" x14ac:dyDescent="0.55000000000000004">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16">
        <f t="shared" si="295"/>
        <v>36.666666666666664</v>
      </c>
      <c r="Q3200" t="str">
        <f t="shared" si="298"/>
        <v>theater</v>
      </c>
      <c r="R3200" t="str">
        <f t="shared" si="299"/>
        <v>musical</v>
      </c>
      <c r="S3200" s="4">
        <f t="shared" si="296"/>
        <v>42013.424502314811</v>
      </c>
      <c r="T3200" s="4">
        <f t="shared" si="297"/>
        <v>42051.424502314811</v>
      </c>
      <c r="U3200" s="5">
        <f>VLOOKUP(currency,Tables!$A$1:$C$14,3,FALSE)*pledged</f>
        <v>17.600000000000001</v>
      </c>
    </row>
    <row r="3201" spans="1:21" ht="43.2" x14ac:dyDescent="0.55000000000000004">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16">
        <f t="shared" si="295"/>
        <v>49.20754716981132</v>
      </c>
      <c r="Q3201" t="str">
        <f t="shared" si="298"/>
        <v>theater</v>
      </c>
      <c r="R3201" t="str">
        <f t="shared" si="299"/>
        <v>musical</v>
      </c>
      <c r="S3201" s="4">
        <f t="shared" si="296"/>
        <v>41858.761782407404</v>
      </c>
      <c r="T3201" s="4">
        <f t="shared" si="297"/>
        <v>41888.875</v>
      </c>
      <c r="U3201" s="5">
        <f>VLOOKUP(currency,Tables!$A$1:$C$14,3,FALSE)*pledged</f>
        <v>2608</v>
      </c>
    </row>
    <row r="3202" spans="1:21" ht="43.2" x14ac:dyDescent="0.55000000000000004">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ref="O3202:O3265" si="300">pledged/goal</f>
        <v>2.0000000000000002E-5</v>
      </c>
      <c r="P3202" s="16">
        <f t="shared" ref="P3202:P3265" si="301">IF(pledged=0,0,pledged/backers_count)</f>
        <v>1</v>
      </c>
      <c r="Q3202" t="str">
        <f t="shared" si="298"/>
        <v>theater</v>
      </c>
      <c r="R3202" t="str">
        <f t="shared" si="299"/>
        <v>musical</v>
      </c>
      <c r="S3202" s="4">
        <f t="shared" ref="S3202:S3265" si="302">(((Unix_launched_date/60)/60)/24)+DATE(1970,1,1)</f>
        <v>42460.320613425924</v>
      </c>
      <c r="T3202" s="4">
        <f t="shared" ref="T3202:T3265" si="303">(((Unix_deadline/60)/60)/24)+DATE(1970,1,1)</f>
        <v>42490.231944444444</v>
      </c>
      <c r="U3202" s="5">
        <f>VLOOKUP(currency,Tables!$A$1:$C$14,3,FALSE)*pledged</f>
        <v>1</v>
      </c>
    </row>
    <row r="3203" spans="1:21" ht="43.2" x14ac:dyDescent="0.55000000000000004">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si="300"/>
        <v>1.2500000000000001E-2</v>
      </c>
      <c r="P3203" s="16">
        <f t="shared" si="301"/>
        <v>12.5</v>
      </c>
      <c r="Q3203" t="str">
        <f t="shared" ref="Q3203:Q3266" si="304">LEFT(N3203,FIND("/",N3203,1)-1)</f>
        <v>theater</v>
      </c>
      <c r="R3203" t="str">
        <f t="shared" ref="R3203:R3266" si="305">RIGHT(N3203,(LEN(N3203)-FIND("/",N3203,1)))</f>
        <v>musical</v>
      </c>
      <c r="S3203" s="4">
        <f t="shared" si="302"/>
        <v>41861.767094907409</v>
      </c>
      <c r="T3203" s="4">
        <f t="shared" si="303"/>
        <v>41882.767094907409</v>
      </c>
      <c r="U3203" s="5">
        <f>VLOOKUP(currency,Tables!$A$1:$C$14,3,FALSE)*pledged</f>
        <v>33</v>
      </c>
    </row>
    <row r="3204" spans="1:21" ht="43.2" x14ac:dyDescent="0.55000000000000004">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16">
        <f t="shared" si="301"/>
        <v>109.04</v>
      </c>
      <c r="Q3204" t="str">
        <f t="shared" si="304"/>
        <v>theater</v>
      </c>
      <c r="R3204" t="str">
        <f t="shared" si="305"/>
        <v>musical</v>
      </c>
      <c r="S3204" s="4">
        <f t="shared" si="302"/>
        <v>42293.853541666671</v>
      </c>
      <c r="T3204" s="4">
        <f t="shared" si="303"/>
        <v>42352.249305555553</v>
      </c>
      <c r="U3204" s="5">
        <f>VLOOKUP(currency,Tables!$A$1:$C$14,3,FALSE)*pledged</f>
        <v>2726</v>
      </c>
    </row>
    <row r="3205" spans="1:21" ht="43.2" x14ac:dyDescent="0.55000000000000004">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300"/>
        <v>0.25</v>
      </c>
      <c r="P3205" s="16">
        <f t="shared" si="301"/>
        <v>41.666666666666664</v>
      </c>
      <c r="Q3205" t="str">
        <f t="shared" si="304"/>
        <v>theater</v>
      </c>
      <c r="R3205" t="str">
        <f t="shared" si="305"/>
        <v>musical</v>
      </c>
      <c r="S3205" s="4">
        <f t="shared" si="302"/>
        <v>42242.988680555558</v>
      </c>
      <c r="T3205" s="4">
        <f t="shared" si="303"/>
        <v>42272.988680555558</v>
      </c>
      <c r="U3205" s="5">
        <f>VLOOKUP(currency,Tables!$A$1:$C$14,3,FALSE)*pledged</f>
        <v>250</v>
      </c>
    </row>
    <row r="3206" spans="1:21" ht="43.2" x14ac:dyDescent="0.55000000000000004">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300"/>
        <v>0</v>
      </c>
      <c r="P3206" s="16">
        <f t="shared" si="301"/>
        <v>0</v>
      </c>
      <c r="Q3206" t="str">
        <f t="shared" si="304"/>
        <v>theater</v>
      </c>
      <c r="R3206" t="str">
        <f t="shared" si="305"/>
        <v>musical</v>
      </c>
      <c r="S3206" s="4">
        <f t="shared" si="302"/>
        <v>42172.686099537037</v>
      </c>
      <c r="T3206" s="4">
        <f t="shared" si="303"/>
        <v>42202.676388888889</v>
      </c>
      <c r="U3206" s="5">
        <f>VLOOKUP(currency,Tables!$A$1:$C$14,3,FALSE)*pledged</f>
        <v>0</v>
      </c>
    </row>
    <row r="3207" spans="1:21" ht="43.2" x14ac:dyDescent="0.55000000000000004">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16">
        <f t="shared" si="301"/>
        <v>22.75</v>
      </c>
      <c r="Q3207" t="str">
        <f t="shared" si="304"/>
        <v>theater</v>
      </c>
      <c r="R3207" t="str">
        <f t="shared" si="305"/>
        <v>musical</v>
      </c>
      <c r="S3207" s="4">
        <f t="shared" si="302"/>
        <v>42095.374675925923</v>
      </c>
      <c r="T3207" s="4">
        <f t="shared" si="303"/>
        <v>42125.374675925923</v>
      </c>
      <c r="U3207" s="5">
        <f>VLOOKUP(currency,Tables!$A$1:$C$14,3,FALSE)*pledged</f>
        <v>360.36</v>
      </c>
    </row>
    <row r="3208" spans="1:21" ht="43.2" x14ac:dyDescent="0.55000000000000004">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300"/>
        <v>0</v>
      </c>
      <c r="P3208" s="16">
        <f t="shared" si="301"/>
        <v>0</v>
      </c>
      <c r="Q3208" t="str">
        <f t="shared" si="304"/>
        <v>theater</v>
      </c>
      <c r="R3208" t="str">
        <f t="shared" si="305"/>
        <v>musical</v>
      </c>
      <c r="S3208" s="4">
        <f t="shared" si="302"/>
        <v>42236.276053240741</v>
      </c>
      <c r="T3208" s="4">
        <f t="shared" si="303"/>
        <v>42266.276053240741</v>
      </c>
      <c r="U3208" s="5">
        <f>VLOOKUP(currency,Tables!$A$1:$C$14,3,FALSE)*pledged</f>
        <v>0</v>
      </c>
    </row>
    <row r="3209" spans="1:21" ht="43.2" x14ac:dyDescent="0.55000000000000004">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16">
        <f t="shared" si="301"/>
        <v>70.833333333333329</v>
      </c>
      <c r="Q3209" t="str">
        <f t="shared" si="304"/>
        <v>theater</v>
      </c>
      <c r="R3209" t="str">
        <f t="shared" si="305"/>
        <v>musical</v>
      </c>
      <c r="S3209" s="4">
        <f t="shared" si="302"/>
        <v>42057.277858796297</v>
      </c>
      <c r="T3209" s="4">
        <f t="shared" si="303"/>
        <v>42117.236192129625</v>
      </c>
      <c r="U3209" s="5">
        <f>VLOOKUP(currency,Tables!$A$1:$C$14,3,FALSE)*pledged</f>
        <v>2550</v>
      </c>
    </row>
    <row r="3210" spans="1:21" ht="43.2" x14ac:dyDescent="0.55000000000000004">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16">
        <f t="shared" si="301"/>
        <v>63.109756097560975</v>
      </c>
      <c r="Q3210" t="str">
        <f t="shared" si="304"/>
        <v>theater</v>
      </c>
      <c r="R3210" t="str">
        <f t="shared" si="305"/>
        <v>plays</v>
      </c>
      <c r="S3210" s="4">
        <f t="shared" si="302"/>
        <v>41827.605057870373</v>
      </c>
      <c r="T3210" s="4">
        <f t="shared" si="303"/>
        <v>41848.605057870373</v>
      </c>
      <c r="U3210" s="5">
        <f>VLOOKUP(currency,Tables!$A$1:$C$14,3,FALSE)*pledged</f>
        <v>5175</v>
      </c>
    </row>
    <row r="3211" spans="1:21" ht="43.2" x14ac:dyDescent="0.55000000000000004">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16">
        <f t="shared" si="301"/>
        <v>50.157964601769912</v>
      </c>
      <c r="Q3211" t="str">
        <f t="shared" si="304"/>
        <v>theater</v>
      </c>
      <c r="R3211" t="str">
        <f t="shared" si="305"/>
        <v>plays</v>
      </c>
      <c r="S3211" s="4">
        <f t="shared" si="302"/>
        <v>41778.637245370373</v>
      </c>
      <c r="T3211" s="4">
        <f t="shared" si="303"/>
        <v>41810.958333333336</v>
      </c>
      <c r="U3211" s="5">
        <f>VLOOKUP(currency,Tables!$A$1:$C$14,3,FALSE)*pledged</f>
        <v>11335.7</v>
      </c>
    </row>
    <row r="3212" spans="1:21" ht="43.2" x14ac:dyDescent="0.55000000000000004">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16">
        <f t="shared" si="301"/>
        <v>62.883333333333333</v>
      </c>
      <c r="Q3212" t="str">
        <f t="shared" si="304"/>
        <v>theater</v>
      </c>
      <c r="R3212" t="str">
        <f t="shared" si="305"/>
        <v>plays</v>
      </c>
      <c r="S3212" s="4">
        <f t="shared" si="302"/>
        <v>41013.936562499999</v>
      </c>
      <c r="T3212" s="4">
        <f t="shared" si="303"/>
        <v>41061.165972222225</v>
      </c>
      <c r="U3212" s="5">
        <f>VLOOKUP(currency,Tables!$A$1:$C$14,3,FALSE)*pledged</f>
        <v>3773</v>
      </c>
    </row>
    <row r="3213" spans="1:21" ht="43.2" x14ac:dyDescent="0.55000000000000004">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16">
        <f t="shared" si="301"/>
        <v>85.531055900621112</v>
      </c>
      <c r="Q3213" t="str">
        <f t="shared" si="304"/>
        <v>theater</v>
      </c>
      <c r="R3213" t="str">
        <f t="shared" si="305"/>
        <v>plays</v>
      </c>
      <c r="S3213" s="4">
        <f t="shared" si="302"/>
        <v>41834.586574074077</v>
      </c>
      <c r="T3213" s="4">
        <f t="shared" si="303"/>
        <v>41866.083333333336</v>
      </c>
      <c r="U3213" s="5">
        <f>VLOOKUP(currency,Tables!$A$1:$C$14,3,FALSE)*pledged</f>
        <v>27541</v>
      </c>
    </row>
    <row r="3214" spans="1:21" ht="28.8" x14ac:dyDescent="0.55000000000000004">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16">
        <f t="shared" si="301"/>
        <v>53.723404255319146</v>
      </c>
      <c r="Q3214" t="str">
        <f t="shared" si="304"/>
        <v>theater</v>
      </c>
      <c r="R3214" t="str">
        <f t="shared" si="305"/>
        <v>plays</v>
      </c>
      <c r="S3214" s="4">
        <f t="shared" si="302"/>
        <v>41829.795729166668</v>
      </c>
      <c r="T3214" s="4">
        <f t="shared" si="303"/>
        <v>41859.795729166668</v>
      </c>
      <c r="U3214" s="5">
        <f>VLOOKUP(currency,Tables!$A$1:$C$14,3,FALSE)*pledged</f>
        <v>5050</v>
      </c>
    </row>
    <row r="3215" spans="1:21" ht="43.2" x14ac:dyDescent="0.55000000000000004">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16">
        <f t="shared" si="301"/>
        <v>127.80851063829788</v>
      </c>
      <c r="Q3215" t="str">
        <f t="shared" si="304"/>
        <v>theater</v>
      </c>
      <c r="R3215" t="str">
        <f t="shared" si="305"/>
        <v>plays</v>
      </c>
      <c r="S3215" s="4">
        <f t="shared" si="302"/>
        <v>42171.763414351852</v>
      </c>
      <c r="T3215" s="4">
        <f t="shared" si="303"/>
        <v>42211.763414351852</v>
      </c>
      <c r="U3215" s="5">
        <f>VLOOKUP(currency,Tables!$A$1:$C$14,3,FALSE)*pledged</f>
        <v>7929.2400000000007</v>
      </c>
    </row>
    <row r="3216" spans="1:21" ht="43.2" x14ac:dyDescent="0.55000000000000004">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16">
        <f t="shared" si="301"/>
        <v>106.57391304347826</v>
      </c>
      <c r="Q3216" t="str">
        <f t="shared" si="304"/>
        <v>theater</v>
      </c>
      <c r="R3216" t="str">
        <f t="shared" si="305"/>
        <v>plays</v>
      </c>
      <c r="S3216" s="4">
        <f t="shared" si="302"/>
        <v>42337.792511574073</v>
      </c>
      <c r="T3216" s="4">
        <f t="shared" si="303"/>
        <v>42374.996527777781</v>
      </c>
      <c r="U3216" s="5">
        <f>VLOOKUP(currency,Tables!$A$1:$C$14,3,FALSE)*pledged</f>
        <v>16177.92</v>
      </c>
    </row>
    <row r="3217" spans="1:21" ht="57.6" x14ac:dyDescent="0.55000000000000004">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16">
        <f t="shared" si="301"/>
        <v>262.11194029850748</v>
      </c>
      <c r="Q3217" t="str">
        <f t="shared" si="304"/>
        <v>theater</v>
      </c>
      <c r="R3217" t="str">
        <f t="shared" si="305"/>
        <v>plays</v>
      </c>
      <c r="S3217" s="4">
        <f t="shared" si="302"/>
        <v>42219.665173611109</v>
      </c>
      <c r="T3217" s="4">
        <f t="shared" si="303"/>
        <v>42257.165972222225</v>
      </c>
      <c r="U3217" s="5">
        <f>VLOOKUP(currency,Tables!$A$1:$C$14,3,FALSE)*pledged</f>
        <v>35123</v>
      </c>
    </row>
    <row r="3218" spans="1:21" ht="43.2" x14ac:dyDescent="0.55000000000000004">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16">
        <f t="shared" si="301"/>
        <v>57.171428571428571</v>
      </c>
      <c r="Q3218" t="str">
        <f t="shared" si="304"/>
        <v>theater</v>
      </c>
      <c r="R3218" t="str">
        <f t="shared" si="305"/>
        <v>plays</v>
      </c>
      <c r="S3218" s="4">
        <f t="shared" si="302"/>
        <v>42165.462627314817</v>
      </c>
      <c r="T3218" s="4">
        <f t="shared" si="303"/>
        <v>42196.604166666672</v>
      </c>
      <c r="U3218" s="5">
        <f>VLOOKUP(currency,Tables!$A$1:$C$14,3,FALSE)*pledged</f>
        <v>2641.32</v>
      </c>
    </row>
    <row r="3219" spans="1:21" ht="28.8" x14ac:dyDescent="0.55000000000000004">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16">
        <f t="shared" si="301"/>
        <v>50.20192307692308</v>
      </c>
      <c r="Q3219" t="str">
        <f t="shared" si="304"/>
        <v>theater</v>
      </c>
      <c r="R3219" t="str">
        <f t="shared" si="305"/>
        <v>plays</v>
      </c>
      <c r="S3219" s="4">
        <f t="shared" si="302"/>
        <v>42648.546111111107</v>
      </c>
      <c r="T3219" s="4">
        <f t="shared" si="303"/>
        <v>42678.546111111107</v>
      </c>
      <c r="U3219" s="5">
        <f>VLOOKUP(currency,Tables!$A$1:$C$14,3,FALSE)*pledged</f>
        <v>5221</v>
      </c>
    </row>
    <row r="3220" spans="1:21" ht="43.2" x14ac:dyDescent="0.55000000000000004">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16">
        <f t="shared" si="301"/>
        <v>66.586956521739125</v>
      </c>
      <c r="Q3220" t="str">
        <f t="shared" si="304"/>
        <v>theater</v>
      </c>
      <c r="R3220" t="str">
        <f t="shared" si="305"/>
        <v>plays</v>
      </c>
      <c r="S3220" s="4">
        <f t="shared" si="302"/>
        <v>41971.002152777779</v>
      </c>
      <c r="T3220" s="4">
        <f t="shared" si="303"/>
        <v>42004</v>
      </c>
      <c r="U3220" s="5">
        <f>VLOOKUP(currency,Tables!$A$1:$C$14,3,FALSE)*pledged</f>
        <v>16172.640000000001</v>
      </c>
    </row>
    <row r="3221" spans="1:21" ht="28.8" x14ac:dyDescent="0.55000000000000004">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16">
        <f t="shared" si="301"/>
        <v>168.25210084033614</v>
      </c>
      <c r="Q3221" t="str">
        <f t="shared" si="304"/>
        <v>theater</v>
      </c>
      <c r="R3221" t="str">
        <f t="shared" si="305"/>
        <v>plays</v>
      </c>
      <c r="S3221" s="4">
        <f t="shared" si="302"/>
        <v>42050.983182870375</v>
      </c>
      <c r="T3221" s="4">
        <f t="shared" si="303"/>
        <v>42085.941516203704</v>
      </c>
      <c r="U3221" s="5">
        <f>VLOOKUP(currency,Tables!$A$1:$C$14,3,FALSE)*pledged</f>
        <v>20022</v>
      </c>
    </row>
    <row r="3222" spans="1:21" ht="28.8" x14ac:dyDescent="0.55000000000000004">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16">
        <f t="shared" si="301"/>
        <v>256.37288135593218</v>
      </c>
      <c r="Q3222" t="str">
        <f t="shared" si="304"/>
        <v>theater</v>
      </c>
      <c r="R3222" t="str">
        <f t="shared" si="305"/>
        <v>plays</v>
      </c>
      <c r="S3222" s="4">
        <f t="shared" si="302"/>
        <v>42772.833379629628</v>
      </c>
      <c r="T3222" s="4">
        <f t="shared" si="303"/>
        <v>42806.875</v>
      </c>
      <c r="U3222" s="5">
        <f>VLOOKUP(currency,Tables!$A$1:$C$14,3,FALSE)*pledged</f>
        <v>15126</v>
      </c>
    </row>
    <row r="3223" spans="1:21" ht="57.6" x14ac:dyDescent="0.55000000000000004">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16">
        <f t="shared" si="301"/>
        <v>36.610619469026545</v>
      </c>
      <c r="Q3223" t="str">
        <f t="shared" si="304"/>
        <v>theater</v>
      </c>
      <c r="R3223" t="str">
        <f t="shared" si="305"/>
        <v>plays</v>
      </c>
      <c r="S3223" s="4">
        <f t="shared" si="302"/>
        <v>42155.696793981479</v>
      </c>
      <c r="T3223" s="4">
        <f t="shared" si="303"/>
        <v>42190.696793981479</v>
      </c>
      <c r="U3223" s="5">
        <f>VLOOKUP(currency,Tables!$A$1:$C$14,3,FALSE)*pledged</f>
        <v>5460.84</v>
      </c>
    </row>
    <row r="3224" spans="1:21" ht="28.8" x14ac:dyDescent="0.55000000000000004">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16">
        <f t="shared" si="301"/>
        <v>37.142857142857146</v>
      </c>
      <c r="Q3224" t="str">
        <f t="shared" si="304"/>
        <v>theater</v>
      </c>
      <c r="R3224" t="str">
        <f t="shared" si="305"/>
        <v>plays</v>
      </c>
      <c r="S3224" s="4">
        <f t="shared" si="302"/>
        <v>42270.582141203704</v>
      </c>
      <c r="T3224" s="4">
        <f t="shared" si="303"/>
        <v>42301.895138888889</v>
      </c>
      <c r="U3224" s="5">
        <f>VLOOKUP(currency,Tables!$A$1:$C$14,3,FALSE)*pledged</f>
        <v>3120</v>
      </c>
    </row>
    <row r="3225" spans="1:21" ht="28.8" x14ac:dyDescent="0.55000000000000004">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16">
        <f t="shared" si="301"/>
        <v>45.878378378378379</v>
      </c>
      <c r="Q3225" t="str">
        <f t="shared" si="304"/>
        <v>theater</v>
      </c>
      <c r="R3225" t="str">
        <f t="shared" si="305"/>
        <v>plays</v>
      </c>
      <c r="S3225" s="4">
        <f t="shared" si="302"/>
        <v>42206.835370370376</v>
      </c>
      <c r="T3225" s="4">
        <f t="shared" si="303"/>
        <v>42236.835370370376</v>
      </c>
      <c r="U3225" s="5">
        <f>VLOOKUP(currency,Tables!$A$1:$C$14,3,FALSE)*pledged</f>
        <v>3395</v>
      </c>
    </row>
    <row r="3226" spans="1:21" ht="43.2" x14ac:dyDescent="0.55000000000000004">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16">
        <f t="shared" si="301"/>
        <v>141.71296296296296</v>
      </c>
      <c r="Q3226" t="str">
        <f t="shared" si="304"/>
        <v>theater</v>
      </c>
      <c r="R3226" t="str">
        <f t="shared" si="305"/>
        <v>plays</v>
      </c>
      <c r="S3226" s="4">
        <f t="shared" si="302"/>
        <v>42697.850844907407</v>
      </c>
      <c r="T3226" s="4">
        <f t="shared" si="303"/>
        <v>42745.208333333328</v>
      </c>
      <c r="U3226" s="5">
        <f>VLOOKUP(currency,Tables!$A$1:$C$14,3,FALSE)*pledged</f>
        <v>30610</v>
      </c>
    </row>
    <row r="3227" spans="1:21" ht="43.2" x14ac:dyDescent="0.55000000000000004">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16">
        <f t="shared" si="301"/>
        <v>52.487179487179489</v>
      </c>
      <c r="Q3227" t="str">
        <f t="shared" si="304"/>
        <v>theater</v>
      </c>
      <c r="R3227" t="str">
        <f t="shared" si="305"/>
        <v>plays</v>
      </c>
      <c r="S3227" s="4">
        <f t="shared" si="302"/>
        <v>42503.559467592597</v>
      </c>
      <c r="T3227" s="4">
        <f t="shared" si="303"/>
        <v>42524.875</v>
      </c>
      <c r="U3227" s="5">
        <f>VLOOKUP(currency,Tables!$A$1:$C$14,3,FALSE)*pledged</f>
        <v>2047</v>
      </c>
    </row>
    <row r="3228" spans="1:21" ht="43.2" x14ac:dyDescent="0.55000000000000004">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16">
        <f t="shared" si="301"/>
        <v>59.523809523809526</v>
      </c>
      <c r="Q3228" t="str">
        <f t="shared" si="304"/>
        <v>theater</v>
      </c>
      <c r="R3228" t="str">
        <f t="shared" si="305"/>
        <v>plays</v>
      </c>
      <c r="S3228" s="4">
        <f t="shared" si="302"/>
        <v>42277.583472222221</v>
      </c>
      <c r="T3228" s="4">
        <f t="shared" si="303"/>
        <v>42307.583472222221</v>
      </c>
      <c r="U3228" s="5">
        <f>VLOOKUP(currency,Tables!$A$1:$C$14,3,FALSE)*pledged</f>
        <v>1650</v>
      </c>
    </row>
    <row r="3229" spans="1:21" ht="43.2" x14ac:dyDescent="0.55000000000000004">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300"/>
        <v>1.25</v>
      </c>
      <c r="P3229" s="16">
        <f t="shared" si="301"/>
        <v>50</v>
      </c>
      <c r="Q3229" t="str">
        <f t="shared" si="304"/>
        <v>theater</v>
      </c>
      <c r="R3229" t="str">
        <f t="shared" si="305"/>
        <v>plays</v>
      </c>
      <c r="S3229" s="4">
        <f t="shared" si="302"/>
        <v>42722.882361111115</v>
      </c>
      <c r="T3229" s="4">
        <f t="shared" si="303"/>
        <v>42752.882361111115</v>
      </c>
      <c r="U3229" s="5">
        <f>VLOOKUP(currency,Tables!$A$1:$C$14,3,FALSE)*pledged</f>
        <v>1980</v>
      </c>
    </row>
    <row r="3230" spans="1:21" ht="28.8" x14ac:dyDescent="0.55000000000000004">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16">
        <f t="shared" si="301"/>
        <v>193.62162162162161</v>
      </c>
      <c r="Q3230" t="str">
        <f t="shared" si="304"/>
        <v>theater</v>
      </c>
      <c r="R3230" t="str">
        <f t="shared" si="305"/>
        <v>plays</v>
      </c>
      <c r="S3230" s="4">
        <f t="shared" si="302"/>
        <v>42323.70930555556</v>
      </c>
      <c r="T3230" s="4">
        <f t="shared" si="303"/>
        <v>42355.207638888889</v>
      </c>
      <c r="U3230" s="5">
        <f>VLOOKUP(currency,Tables!$A$1:$C$14,3,FALSE)*pledged</f>
        <v>7164</v>
      </c>
    </row>
    <row r="3231" spans="1:21" ht="43.2" x14ac:dyDescent="0.55000000000000004">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16">
        <f t="shared" si="301"/>
        <v>106.79702970297029</v>
      </c>
      <c r="Q3231" t="str">
        <f t="shared" si="304"/>
        <v>theater</v>
      </c>
      <c r="R3231" t="str">
        <f t="shared" si="305"/>
        <v>plays</v>
      </c>
      <c r="S3231" s="4">
        <f t="shared" si="302"/>
        <v>41933.291643518518</v>
      </c>
      <c r="T3231" s="4">
        <f t="shared" si="303"/>
        <v>41963.333310185189</v>
      </c>
      <c r="U3231" s="5">
        <f>VLOOKUP(currency,Tables!$A$1:$C$14,3,FALSE)*pledged</f>
        <v>21573</v>
      </c>
    </row>
    <row r="3232" spans="1:21" ht="43.2" x14ac:dyDescent="0.55000000000000004">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16">
        <f t="shared" si="301"/>
        <v>77.21621621621621</v>
      </c>
      <c r="Q3232" t="str">
        <f t="shared" si="304"/>
        <v>theater</v>
      </c>
      <c r="R3232" t="str">
        <f t="shared" si="305"/>
        <v>plays</v>
      </c>
      <c r="S3232" s="4">
        <f t="shared" si="302"/>
        <v>41898.168125000004</v>
      </c>
      <c r="T3232" s="4">
        <f t="shared" si="303"/>
        <v>41913.165972222225</v>
      </c>
      <c r="U3232" s="5">
        <f>VLOOKUP(currency,Tables!$A$1:$C$14,3,FALSE)*pledged</f>
        <v>2857</v>
      </c>
    </row>
    <row r="3233" spans="1:21" ht="43.2" x14ac:dyDescent="0.55000000000000004">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300"/>
        <v>1.61</v>
      </c>
      <c r="P3233" s="16">
        <f t="shared" si="301"/>
        <v>57.5</v>
      </c>
      <c r="Q3233" t="str">
        <f t="shared" si="304"/>
        <v>theater</v>
      </c>
      <c r="R3233" t="str">
        <f t="shared" si="305"/>
        <v>plays</v>
      </c>
      <c r="S3233" s="4">
        <f t="shared" si="302"/>
        <v>42446.943831018521</v>
      </c>
      <c r="T3233" s="4">
        <f t="shared" si="303"/>
        <v>42476.943831018521</v>
      </c>
      <c r="U3233" s="5">
        <f>VLOOKUP(currency,Tables!$A$1:$C$14,3,FALSE)*pledged</f>
        <v>1610</v>
      </c>
    </row>
    <row r="3234" spans="1:21" ht="43.2" x14ac:dyDescent="0.55000000000000004">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16">
        <f t="shared" si="301"/>
        <v>50.46153846153846</v>
      </c>
      <c r="Q3234" t="str">
        <f t="shared" si="304"/>
        <v>theater</v>
      </c>
      <c r="R3234" t="str">
        <f t="shared" si="305"/>
        <v>plays</v>
      </c>
      <c r="S3234" s="4">
        <f t="shared" si="302"/>
        <v>42463.81385416667</v>
      </c>
      <c r="T3234" s="4">
        <f t="shared" si="303"/>
        <v>42494.165972222225</v>
      </c>
      <c r="U3234" s="5">
        <f>VLOOKUP(currency,Tables!$A$1:$C$14,3,FALSE)*pledged</f>
        <v>1312</v>
      </c>
    </row>
    <row r="3235" spans="1:21" ht="43.2" x14ac:dyDescent="0.55000000000000004">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16">
        <f t="shared" si="301"/>
        <v>97.377049180327873</v>
      </c>
      <c r="Q3235" t="str">
        <f t="shared" si="304"/>
        <v>theater</v>
      </c>
      <c r="R3235" t="str">
        <f t="shared" si="305"/>
        <v>plays</v>
      </c>
      <c r="S3235" s="4">
        <f t="shared" si="302"/>
        <v>42766.805034722223</v>
      </c>
      <c r="T3235" s="4">
        <f t="shared" si="303"/>
        <v>42796.805034722223</v>
      </c>
      <c r="U3235" s="5">
        <f>VLOOKUP(currency,Tables!$A$1:$C$14,3,FALSE)*pledged</f>
        <v>5940</v>
      </c>
    </row>
    <row r="3236" spans="1:21" ht="43.2" x14ac:dyDescent="0.55000000000000004">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16">
        <f t="shared" si="301"/>
        <v>34.91921739130435</v>
      </c>
      <c r="Q3236" t="str">
        <f t="shared" si="304"/>
        <v>theater</v>
      </c>
      <c r="R3236" t="str">
        <f t="shared" si="305"/>
        <v>plays</v>
      </c>
      <c r="S3236" s="4">
        <f t="shared" si="302"/>
        <v>42734.789444444439</v>
      </c>
      <c r="T3236" s="4">
        <f t="shared" si="303"/>
        <v>42767.979861111111</v>
      </c>
      <c r="U3236" s="5">
        <f>VLOOKUP(currency,Tables!$A$1:$C$14,3,FALSE)*pledged</f>
        <v>5300.7372000000005</v>
      </c>
    </row>
    <row r="3237" spans="1:21" ht="43.2" x14ac:dyDescent="0.55000000000000004">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16">
        <f t="shared" si="301"/>
        <v>85.530386740331494</v>
      </c>
      <c r="Q3237" t="str">
        <f t="shared" si="304"/>
        <v>theater</v>
      </c>
      <c r="R3237" t="str">
        <f t="shared" si="305"/>
        <v>plays</v>
      </c>
      <c r="S3237" s="4">
        <f t="shared" si="302"/>
        <v>42522.347812499997</v>
      </c>
      <c r="T3237" s="4">
        <f t="shared" si="303"/>
        <v>42552.347812499997</v>
      </c>
      <c r="U3237" s="5">
        <f>VLOOKUP(currency,Tables!$A$1:$C$14,3,FALSE)*pledged</f>
        <v>15481</v>
      </c>
    </row>
    <row r="3238" spans="1:21" ht="43.2" x14ac:dyDescent="0.55000000000000004">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16">
        <f t="shared" si="301"/>
        <v>182.90909090909091</v>
      </c>
      <c r="Q3238" t="str">
        <f t="shared" si="304"/>
        <v>theater</v>
      </c>
      <c r="R3238" t="str">
        <f t="shared" si="305"/>
        <v>plays</v>
      </c>
      <c r="S3238" s="4">
        <f t="shared" si="302"/>
        <v>42702.917048611111</v>
      </c>
      <c r="T3238" s="4">
        <f t="shared" si="303"/>
        <v>42732.917048611111</v>
      </c>
      <c r="U3238" s="5">
        <f>VLOOKUP(currency,Tables!$A$1:$C$14,3,FALSE)*pledged</f>
        <v>20120</v>
      </c>
    </row>
    <row r="3239" spans="1:21" ht="28.8" x14ac:dyDescent="0.55000000000000004">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16">
        <f t="shared" si="301"/>
        <v>131.13620817843866</v>
      </c>
      <c r="Q3239" t="str">
        <f t="shared" si="304"/>
        <v>theater</v>
      </c>
      <c r="R3239" t="str">
        <f t="shared" si="305"/>
        <v>plays</v>
      </c>
      <c r="S3239" s="4">
        <f t="shared" si="302"/>
        <v>42252.474351851852</v>
      </c>
      <c r="T3239" s="4">
        <f t="shared" si="303"/>
        <v>42276.165972222225</v>
      </c>
      <c r="U3239" s="5">
        <f>VLOOKUP(currency,Tables!$A$1:$C$14,3,FALSE)*pledged</f>
        <v>35275.64</v>
      </c>
    </row>
    <row r="3240" spans="1:21" ht="43.2" x14ac:dyDescent="0.55000000000000004">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16">
        <f t="shared" si="301"/>
        <v>39.810126582278478</v>
      </c>
      <c r="Q3240" t="str">
        <f t="shared" si="304"/>
        <v>theater</v>
      </c>
      <c r="R3240" t="str">
        <f t="shared" si="305"/>
        <v>plays</v>
      </c>
      <c r="S3240" s="4">
        <f t="shared" si="302"/>
        <v>42156.510393518518</v>
      </c>
      <c r="T3240" s="4">
        <f t="shared" si="303"/>
        <v>42186.510393518518</v>
      </c>
      <c r="U3240" s="5">
        <f>VLOOKUP(currency,Tables!$A$1:$C$14,3,FALSE)*pledged</f>
        <v>4151.4000000000005</v>
      </c>
    </row>
    <row r="3241" spans="1:21" ht="43.2" x14ac:dyDescent="0.55000000000000004">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16">
        <f t="shared" si="301"/>
        <v>59.701730769230764</v>
      </c>
      <c r="Q3241" t="str">
        <f t="shared" si="304"/>
        <v>theater</v>
      </c>
      <c r="R3241" t="str">
        <f t="shared" si="305"/>
        <v>plays</v>
      </c>
      <c r="S3241" s="4">
        <f t="shared" si="302"/>
        <v>42278.089039351849</v>
      </c>
      <c r="T3241" s="4">
        <f t="shared" si="303"/>
        <v>42302.999305555553</v>
      </c>
      <c r="U3241" s="5">
        <f>VLOOKUP(currency,Tables!$A$1:$C$14,3,FALSE)*pledged</f>
        <v>8195.8536000000004</v>
      </c>
    </row>
    <row r="3242" spans="1:21" ht="43.2" x14ac:dyDescent="0.55000000000000004">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16">
        <f t="shared" si="301"/>
        <v>88.735294117647058</v>
      </c>
      <c r="Q3242" t="str">
        <f t="shared" si="304"/>
        <v>theater</v>
      </c>
      <c r="R3242" t="str">
        <f t="shared" si="305"/>
        <v>plays</v>
      </c>
      <c r="S3242" s="4">
        <f t="shared" si="302"/>
        <v>42754.693842592591</v>
      </c>
      <c r="T3242" s="4">
        <f t="shared" si="303"/>
        <v>42782.958333333328</v>
      </c>
      <c r="U3242" s="5">
        <f>VLOOKUP(currency,Tables!$A$1:$C$14,3,FALSE)*pledged</f>
        <v>3982.44</v>
      </c>
    </row>
    <row r="3243" spans="1:21" ht="57.6" x14ac:dyDescent="0.55000000000000004">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16">
        <f t="shared" si="301"/>
        <v>58.688622754491021</v>
      </c>
      <c r="Q3243" t="str">
        <f t="shared" si="304"/>
        <v>theater</v>
      </c>
      <c r="R3243" t="str">
        <f t="shared" si="305"/>
        <v>plays</v>
      </c>
      <c r="S3243" s="4">
        <f t="shared" si="302"/>
        <v>41893.324884259258</v>
      </c>
      <c r="T3243" s="4">
        <f t="shared" si="303"/>
        <v>41926.290972222225</v>
      </c>
      <c r="U3243" s="5">
        <f>VLOOKUP(currency,Tables!$A$1:$C$14,3,FALSE)*pledged</f>
        <v>9801</v>
      </c>
    </row>
    <row r="3244" spans="1:21" ht="28.8" x14ac:dyDescent="0.55000000000000004">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16">
        <f t="shared" si="301"/>
        <v>69.56513661202186</v>
      </c>
      <c r="Q3244" t="str">
        <f t="shared" si="304"/>
        <v>theater</v>
      </c>
      <c r="R3244" t="str">
        <f t="shared" si="305"/>
        <v>plays</v>
      </c>
      <c r="S3244" s="4">
        <f t="shared" si="302"/>
        <v>41871.755694444444</v>
      </c>
      <c r="T3244" s="4">
        <f t="shared" si="303"/>
        <v>41901.755694444444</v>
      </c>
      <c r="U3244" s="5">
        <f>VLOOKUP(currency,Tables!$A$1:$C$14,3,FALSE)*pledged</f>
        <v>12730.42</v>
      </c>
    </row>
    <row r="3245" spans="1:21" ht="43.2" x14ac:dyDescent="0.55000000000000004">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16">
        <f t="shared" si="301"/>
        <v>115.87323943661971</v>
      </c>
      <c r="Q3245" t="str">
        <f t="shared" si="304"/>
        <v>theater</v>
      </c>
      <c r="R3245" t="str">
        <f t="shared" si="305"/>
        <v>plays</v>
      </c>
      <c r="S3245" s="4">
        <f t="shared" si="302"/>
        <v>42262.096782407403</v>
      </c>
      <c r="T3245" s="4">
        <f t="shared" si="303"/>
        <v>42286</v>
      </c>
      <c r="U3245" s="5">
        <f>VLOOKUP(currency,Tables!$A$1:$C$14,3,FALSE)*pledged</f>
        <v>8227</v>
      </c>
    </row>
    <row r="3246" spans="1:21" ht="43.2" x14ac:dyDescent="0.55000000000000004">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16">
        <f t="shared" si="301"/>
        <v>23.869565217391305</v>
      </c>
      <c r="Q3246" t="str">
        <f t="shared" si="304"/>
        <v>theater</v>
      </c>
      <c r="R3246" t="str">
        <f t="shared" si="305"/>
        <v>plays</v>
      </c>
      <c r="S3246" s="4">
        <f t="shared" si="302"/>
        <v>42675.694236111114</v>
      </c>
      <c r="T3246" s="4">
        <f t="shared" si="303"/>
        <v>42705.735902777778</v>
      </c>
      <c r="U3246" s="5">
        <f>VLOOKUP(currency,Tables!$A$1:$C$14,3,FALSE)*pledged</f>
        <v>2174.04</v>
      </c>
    </row>
    <row r="3247" spans="1:21" ht="43.2" x14ac:dyDescent="0.55000000000000004">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16">
        <f t="shared" si="301"/>
        <v>81.125925925925927</v>
      </c>
      <c r="Q3247" t="str">
        <f t="shared" si="304"/>
        <v>theater</v>
      </c>
      <c r="R3247" t="str">
        <f t="shared" si="305"/>
        <v>plays</v>
      </c>
      <c r="S3247" s="4">
        <f t="shared" si="302"/>
        <v>42135.60020833333</v>
      </c>
      <c r="T3247" s="4">
        <f t="shared" si="303"/>
        <v>42167.083333333328</v>
      </c>
      <c r="U3247" s="5">
        <f>VLOOKUP(currency,Tables!$A$1:$C$14,3,FALSE)*pledged</f>
        <v>21904</v>
      </c>
    </row>
    <row r="3248" spans="1:21" ht="43.2" x14ac:dyDescent="0.55000000000000004">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16">
        <f t="shared" si="301"/>
        <v>57.626943005181346</v>
      </c>
      <c r="Q3248" t="str">
        <f t="shared" si="304"/>
        <v>theater</v>
      </c>
      <c r="R3248" t="str">
        <f t="shared" si="305"/>
        <v>plays</v>
      </c>
      <c r="S3248" s="4">
        <f t="shared" si="302"/>
        <v>42230.472222222219</v>
      </c>
      <c r="T3248" s="4">
        <f t="shared" si="303"/>
        <v>42259.165972222225</v>
      </c>
      <c r="U3248" s="5">
        <f>VLOOKUP(currency,Tables!$A$1:$C$14,3,FALSE)*pledged</f>
        <v>11122</v>
      </c>
    </row>
    <row r="3249" spans="1:21" ht="43.2" x14ac:dyDescent="0.55000000000000004">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16">
        <f t="shared" si="301"/>
        <v>46.429824561403507</v>
      </c>
      <c r="Q3249" t="str">
        <f t="shared" si="304"/>
        <v>theater</v>
      </c>
      <c r="R3249" t="str">
        <f t="shared" si="305"/>
        <v>plays</v>
      </c>
      <c r="S3249" s="4">
        <f t="shared" si="302"/>
        <v>42167.434166666666</v>
      </c>
      <c r="T3249" s="4">
        <f t="shared" si="303"/>
        <v>42197.434166666666</v>
      </c>
      <c r="U3249" s="5">
        <f>VLOOKUP(currency,Tables!$A$1:$C$14,3,FALSE)*pledged</f>
        <v>3493.38</v>
      </c>
    </row>
    <row r="3250" spans="1:21" ht="28.8" x14ac:dyDescent="0.55000000000000004">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16">
        <f t="shared" si="301"/>
        <v>60.475000000000001</v>
      </c>
      <c r="Q3250" t="str">
        <f t="shared" si="304"/>
        <v>theater</v>
      </c>
      <c r="R3250" t="str">
        <f t="shared" si="305"/>
        <v>plays</v>
      </c>
      <c r="S3250" s="4">
        <f t="shared" si="302"/>
        <v>42068.888391203705</v>
      </c>
      <c r="T3250" s="4">
        <f t="shared" si="303"/>
        <v>42098.846724537041</v>
      </c>
      <c r="U3250" s="5">
        <f>VLOOKUP(currency,Tables!$A$1:$C$14,3,FALSE)*pledged</f>
        <v>12095</v>
      </c>
    </row>
    <row r="3251" spans="1:21" ht="43.2" x14ac:dyDescent="0.55000000000000004">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16">
        <f t="shared" si="301"/>
        <v>65.579545454545453</v>
      </c>
      <c r="Q3251" t="str">
        <f t="shared" si="304"/>
        <v>theater</v>
      </c>
      <c r="R3251" t="str">
        <f t="shared" si="305"/>
        <v>plays</v>
      </c>
      <c r="S3251" s="4">
        <f t="shared" si="302"/>
        <v>42145.746689814812</v>
      </c>
      <c r="T3251" s="4">
        <f t="shared" si="303"/>
        <v>42175.746689814812</v>
      </c>
      <c r="U3251" s="5">
        <f>VLOOKUP(currency,Tables!$A$1:$C$14,3,FALSE)*pledged</f>
        <v>5771</v>
      </c>
    </row>
    <row r="3252" spans="1:21" ht="43.2" x14ac:dyDescent="0.55000000000000004">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16">
        <f t="shared" si="301"/>
        <v>119.1924882629108</v>
      </c>
      <c r="Q3252" t="str">
        <f t="shared" si="304"/>
        <v>theater</v>
      </c>
      <c r="R3252" t="str">
        <f t="shared" si="305"/>
        <v>plays</v>
      </c>
      <c r="S3252" s="4">
        <f t="shared" si="302"/>
        <v>41918.742175925923</v>
      </c>
      <c r="T3252" s="4">
        <f t="shared" si="303"/>
        <v>41948.783842592595</v>
      </c>
      <c r="U3252" s="5">
        <f>VLOOKUP(currency,Tables!$A$1:$C$14,3,FALSE)*pledged</f>
        <v>25388</v>
      </c>
    </row>
    <row r="3253" spans="1:21" ht="43.2" x14ac:dyDescent="0.55000000000000004">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16">
        <f t="shared" si="301"/>
        <v>83.05</v>
      </c>
      <c r="Q3253" t="str">
        <f t="shared" si="304"/>
        <v>theater</v>
      </c>
      <c r="R3253" t="str">
        <f t="shared" si="305"/>
        <v>plays</v>
      </c>
      <c r="S3253" s="4">
        <f t="shared" si="302"/>
        <v>42146.731087962966</v>
      </c>
      <c r="T3253" s="4">
        <f t="shared" si="303"/>
        <v>42176.731087962966</v>
      </c>
      <c r="U3253" s="5">
        <f>VLOOKUP(currency,Tables!$A$1:$C$14,3,FALSE)*pledged</f>
        <v>1661</v>
      </c>
    </row>
    <row r="3254" spans="1:21" ht="28.8" x14ac:dyDescent="0.55000000000000004">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16">
        <f t="shared" si="301"/>
        <v>57.52</v>
      </c>
      <c r="Q3254" t="str">
        <f t="shared" si="304"/>
        <v>theater</v>
      </c>
      <c r="R3254" t="str">
        <f t="shared" si="305"/>
        <v>plays</v>
      </c>
      <c r="S3254" s="4">
        <f t="shared" si="302"/>
        <v>42590.472685185188</v>
      </c>
      <c r="T3254" s="4">
        <f t="shared" si="303"/>
        <v>42620.472685185188</v>
      </c>
      <c r="U3254" s="5">
        <f>VLOOKUP(currency,Tables!$A$1:$C$14,3,FALSE)*pledged</f>
        <v>3796.32</v>
      </c>
    </row>
    <row r="3255" spans="1:21" ht="43.2" x14ac:dyDescent="0.55000000000000004">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16">
        <f t="shared" si="301"/>
        <v>177.08695652173913</v>
      </c>
      <c r="Q3255" t="str">
        <f t="shared" si="304"/>
        <v>theater</v>
      </c>
      <c r="R3255" t="str">
        <f t="shared" si="305"/>
        <v>plays</v>
      </c>
      <c r="S3255" s="4">
        <f t="shared" si="302"/>
        <v>42602.576712962968</v>
      </c>
      <c r="T3255" s="4">
        <f t="shared" si="303"/>
        <v>42621.15625</v>
      </c>
      <c r="U3255" s="5">
        <f>VLOOKUP(currency,Tables!$A$1:$C$14,3,FALSE)*pledged</f>
        <v>20365</v>
      </c>
    </row>
    <row r="3256" spans="1:21" ht="43.2" x14ac:dyDescent="0.55000000000000004">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16">
        <f t="shared" si="301"/>
        <v>70.771505376344081</v>
      </c>
      <c r="Q3256" t="str">
        <f t="shared" si="304"/>
        <v>theater</v>
      </c>
      <c r="R3256" t="str">
        <f t="shared" si="305"/>
        <v>plays</v>
      </c>
      <c r="S3256" s="4">
        <f t="shared" si="302"/>
        <v>42059.085752314815</v>
      </c>
      <c r="T3256" s="4">
        <f t="shared" si="303"/>
        <v>42089.044085648144</v>
      </c>
      <c r="U3256" s="5">
        <f>VLOOKUP(currency,Tables!$A$1:$C$14,3,FALSE)*pledged</f>
        <v>17375.82</v>
      </c>
    </row>
    <row r="3257" spans="1:21" ht="43.2" x14ac:dyDescent="0.55000000000000004">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300"/>
        <v>1.75</v>
      </c>
      <c r="P3257" s="16">
        <f t="shared" si="301"/>
        <v>29.166666666666668</v>
      </c>
      <c r="Q3257" t="str">
        <f t="shared" si="304"/>
        <v>theater</v>
      </c>
      <c r="R3257" t="str">
        <f t="shared" si="305"/>
        <v>plays</v>
      </c>
      <c r="S3257" s="4">
        <f t="shared" si="302"/>
        <v>41889.768229166664</v>
      </c>
      <c r="T3257" s="4">
        <f t="shared" si="303"/>
        <v>41919.768229166664</v>
      </c>
      <c r="U3257" s="5">
        <f>VLOOKUP(currency,Tables!$A$1:$C$14,3,FALSE)*pledged</f>
        <v>693</v>
      </c>
    </row>
    <row r="3258" spans="1:21" ht="43.2" x14ac:dyDescent="0.55000000000000004">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16">
        <f t="shared" si="301"/>
        <v>72.76136363636364</v>
      </c>
      <c r="Q3258" t="str">
        <f t="shared" si="304"/>
        <v>theater</v>
      </c>
      <c r="R3258" t="str">
        <f t="shared" si="305"/>
        <v>plays</v>
      </c>
      <c r="S3258" s="4">
        <f t="shared" si="302"/>
        <v>42144.573807870373</v>
      </c>
      <c r="T3258" s="4">
        <f t="shared" si="303"/>
        <v>42166.165972222225</v>
      </c>
      <c r="U3258" s="5">
        <f>VLOOKUP(currency,Tables!$A$1:$C$14,3,FALSE)*pledged</f>
        <v>12806</v>
      </c>
    </row>
    <row r="3259" spans="1:21" ht="43.2" x14ac:dyDescent="0.55000000000000004">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16">
        <f t="shared" si="301"/>
        <v>51.853414634146333</v>
      </c>
      <c r="Q3259" t="str">
        <f t="shared" si="304"/>
        <v>theater</v>
      </c>
      <c r="R3259" t="str">
        <f t="shared" si="305"/>
        <v>plays</v>
      </c>
      <c r="S3259" s="4">
        <f t="shared" si="302"/>
        <v>42758.559629629628</v>
      </c>
      <c r="T3259" s="4">
        <f t="shared" si="303"/>
        <v>42788.559629629628</v>
      </c>
      <c r="U3259" s="5">
        <f>VLOOKUP(currency,Tables!$A$1:$C$14,3,FALSE)*pledged</f>
        <v>2806.3067999999998</v>
      </c>
    </row>
    <row r="3260" spans="1:21" ht="28.8" x14ac:dyDescent="0.55000000000000004">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16">
        <f t="shared" si="301"/>
        <v>98.2</v>
      </c>
      <c r="Q3260" t="str">
        <f t="shared" si="304"/>
        <v>theater</v>
      </c>
      <c r="R3260" t="str">
        <f t="shared" si="305"/>
        <v>plays</v>
      </c>
      <c r="S3260" s="4">
        <f t="shared" si="302"/>
        <v>41982.887280092589</v>
      </c>
      <c r="T3260" s="4">
        <f t="shared" si="303"/>
        <v>42012.887280092589</v>
      </c>
      <c r="U3260" s="5">
        <f>VLOOKUP(currency,Tables!$A$1:$C$14,3,FALSE)*pledged</f>
        <v>7365</v>
      </c>
    </row>
    <row r="3261" spans="1:21" ht="43.2" x14ac:dyDescent="0.55000000000000004">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16">
        <f t="shared" si="301"/>
        <v>251.7381443298969</v>
      </c>
      <c r="Q3261" t="str">
        <f t="shared" si="304"/>
        <v>theater</v>
      </c>
      <c r="R3261" t="str">
        <f t="shared" si="305"/>
        <v>plays</v>
      </c>
      <c r="S3261" s="4">
        <f t="shared" si="302"/>
        <v>42614.760937500003</v>
      </c>
      <c r="T3261" s="4">
        <f t="shared" si="303"/>
        <v>42644.165972222225</v>
      </c>
      <c r="U3261" s="5">
        <f>VLOOKUP(currency,Tables!$A$1:$C$14,3,FALSE)*pledged</f>
        <v>24418.6</v>
      </c>
    </row>
    <row r="3262" spans="1:21" ht="43.2" x14ac:dyDescent="0.55000000000000004">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16">
        <f t="shared" si="301"/>
        <v>74.821917808219183</v>
      </c>
      <c r="Q3262" t="str">
        <f t="shared" si="304"/>
        <v>theater</v>
      </c>
      <c r="R3262" t="str">
        <f t="shared" si="305"/>
        <v>plays</v>
      </c>
      <c r="S3262" s="4">
        <f t="shared" si="302"/>
        <v>42303.672662037032</v>
      </c>
      <c r="T3262" s="4">
        <f t="shared" si="303"/>
        <v>42338.714328703703</v>
      </c>
      <c r="U3262" s="5">
        <f>VLOOKUP(currency,Tables!$A$1:$C$14,3,FALSE)*pledged</f>
        <v>5462</v>
      </c>
    </row>
    <row r="3263" spans="1:21" ht="43.2" x14ac:dyDescent="0.55000000000000004">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16">
        <f t="shared" si="301"/>
        <v>67.65306122448979</v>
      </c>
      <c r="Q3263" t="str">
        <f t="shared" si="304"/>
        <v>theater</v>
      </c>
      <c r="R3263" t="str">
        <f t="shared" si="305"/>
        <v>plays</v>
      </c>
      <c r="S3263" s="4">
        <f t="shared" si="302"/>
        <v>42171.725416666668</v>
      </c>
      <c r="T3263" s="4">
        <f t="shared" si="303"/>
        <v>42201.725416666668</v>
      </c>
      <c r="U3263" s="5">
        <f>VLOOKUP(currency,Tables!$A$1:$C$14,3,FALSE)*pledged</f>
        <v>3315</v>
      </c>
    </row>
    <row r="3264" spans="1:21" ht="28.8" x14ac:dyDescent="0.55000000000000004">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16">
        <f t="shared" si="301"/>
        <v>93.81343283582089</v>
      </c>
      <c r="Q3264" t="str">
        <f t="shared" si="304"/>
        <v>theater</v>
      </c>
      <c r="R3264" t="str">
        <f t="shared" si="305"/>
        <v>plays</v>
      </c>
      <c r="S3264" s="4">
        <f t="shared" si="302"/>
        <v>41964.315532407403</v>
      </c>
      <c r="T3264" s="4">
        <f t="shared" si="303"/>
        <v>41995.166666666672</v>
      </c>
      <c r="U3264" s="5">
        <f>VLOOKUP(currency,Tables!$A$1:$C$14,3,FALSE)*pledged</f>
        <v>12571</v>
      </c>
    </row>
    <row r="3265" spans="1:21" ht="28.8" x14ac:dyDescent="0.55000000000000004">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16">
        <f t="shared" si="301"/>
        <v>41.237647058823526</v>
      </c>
      <c r="Q3265" t="str">
        <f t="shared" si="304"/>
        <v>theater</v>
      </c>
      <c r="R3265" t="str">
        <f t="shared" si="305"/>
        <v>plays</v>
      </c>
      <c r="S3265" s="4">
        <f t="shared" si="302"/>
        <v>42284.516064814816</v>
      </c>
      <c r="T3265" s="4">
        <f t="shared" si="303"/>
        <v>42307.875</v>
      </c>
      <c r="U3265" s="5">
        <f>VLOOKUP(currency,Tables!$A$1:$C$14,3,FALSE)*pledged</f>
        <v>2804.16</v>
      </c>
    </row>
    <row r="3266" spans="1:21" ht="28.8" x14ac:dyDescent="0.55000000000000004">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ref="O3266:O3329" si="306">pledged/goal</f>
        <v>1.03</v>
      </c>
      <c r="P3266" s="16">
        <f t="shared" ref="P3266:P3329" si="307">IF(pledged=0,0,pledged/backers_count)</f>
        <v>52.551020408163268</v>
      </c>
      <c r="Q3266" t="str">
        <f t="shared" si="304"/>
        <v>theater</v>
      </c>
      <c r="R3266" t="str">
        <f t="shared" si="305"/>
        <v>plays</v>
      </c>
      <c r="S3266" s="4">
        <f t="shared" ref="S3266:S3329" si="308">(((Unix_launched_date/60)/60)/24)+DATE(1970,1,1)</f>
        <v>42016.800208333334</v>
      </c>
      <c r="T3266" s="4">
        <f t="shared" ref="T3266:T3329" si="309">(((Unix_deadline/60)/60)/24)+DATE(1970,1,1)</f>
        <v>42032.916666666672</v>
      </c>
      <c r="U3266" s="5">
        <f>VLOOKUP(currency,Tables!$A$1:$C$14,3,FALSE)*pledged</f>
        <v>2575</v>
      </c>
    </row>
    <row r="3267" spans="1:21" ht="43.2" x14ac:dyDescent="0.55000000000000004">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si="306"/>
        <v>1.64</v>
      </c>
      <c r="P3267" s="16">
        <f t="shared" si="307"/>
        <v>70.285714285714292</v>
      </c>
      <c r="Q3267" t="str">
        <f t="shared" ref="Q3267:Q3330" si="310">LEFT(N3267,FIND("/",N3267,1)-1)</f>
        <v>theater</v>
      </c>
      <c r="R3267" t="str">
        <f t="shared" ref="R3267:R3330" si="311">RIGHT(N3267,(LEN(N3267)-FIND("/",N3267,1)))</f>
        <v>plays</v>
      </c>
      <c r="S3267" s="4">
        <f t="shared" si="308"/>
        <v>42311.711979166663</v>
      </c>
      <c r="T3267" s="4">
        <f t="shared" si="309"/>
        <v>42341.708333333328</v>
      </c>
      <c r="U3267" s="5">
        <f>VLOOKUP(currency,Tables!$A$1:$C$14,3,FALSE)*pledged</f>
        <v>5225.04</v>
      </c>
    </row>
    <row r="3268" spans="1:21" ht="43.2" x14ac:dyDescent="0.55000000000000004">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16">
        <f t="shared" si="307"/>
        <v>48.325153374233132</v>
      </c>
      <c r="Q3268" t="str">
        <f t="shared" si="310"/>
        <v>theater</v>
      </c>
      <c r="R3268" t="str">
        <f t="shared" si="311"/>
        <v>plays</v>
      </c>
      <c r="S3268" s="4">
        <f t="shared" si="308"/>
        <v>42136.536134259266</v>
      </c>
      <c r="T3268" s="4">
        <f t="shared" si="309"/>
        <v>42167.875</v>
      </c>
      <c r="U3268" s="5">
        <f>VLOOKUP(currency,Tables!$A$1:$C$14,3,FALSE)*pledged</f>
        <v>7877</v>
      </c>
    </row>
    <row r="3269" spans="1:21" ht="43.2" x14ac:dyDescent="0.55000000000000004">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16">
        <f t="shared" si="307"/>
        <v>53.177083333333336</v>
      </c>
      <c r="Q3269" t="str">
        <f t="shared" si="310"/>
        <v>theater</v>
      </c>
      <c r="R3269" t="str">
        <f t="shared" si="311"/>
        <v>plays</v>
      </c>
      <c r="S3269" s="4">
        <f t="shared" si="308"/>
        <v>42172.757638888885</v>
      </c>
      <c r="T3269" s="4">
        <f t="shared" si="309"/>
        <v>42202.757638888885</v>
      </c>
      <c r="U3269" s="5">
        <f>VLOOKUP(currency,Tables!$A$1:$C$14,3,FALSE)*pledged</f>
        <v>15315</v>
      </c>
    </row>
    <row r="3270" spans="1:21" ht="43.2" x14ac:dyDescent="0.55000000000000004">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306"/>
        <v>1.28</v>
      </c>
      <c r="P3270" s="16">
        <f t="shared" si="307"/>
        <v>60.952380952380949</v>
      </c>
      <c r="Q3270" t="str">
        <f t="shared" si="310"/>
        <v>theater</v>
      </c>
      <c r="R3270" t="str">
        <f t="shared" si="311"/>
        <v>plays</v>
      </c>
      <c r="S3270" s="4">
        <f t="shared" si="308"/>
        <v>42590.90425925926</v>
      </c>
      <c r="T3270" s="4">
        <f t="shared" si="309"/>
        <v>42606.90425925926</v>
      </c>
      <c r="U3270" s="5">
        <f>VLOOKUP(currency,Tables!$A$1:$C$14,3,FALSE)*pledged</f>
        <v>2560</v>
      </c>
    </row>
    <row r="3271" spans="1:21" ht="43.2" x14ac:dyDescent="0.55000000000000004">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16">
        <f t="shared" si="307"/>
        <v>116</v>
      </c>
      <c r="Q3271" t="str">
        <f t="shared" si="310"/>
        <v>theater</v>
      </c>
      <c r="R3271" t="str">
        <f t="shared" si="311"/>
        <v>plays</v>
      </c>
      <c r="S3271" s="4">
        <f t="shared" si="308"/>
        <v>42137.395798611105</v>
      </c>
      <c r="T3271" s="4">
        <f t="shared" si="309"/>
        <v>42171.458333333328</v>
      </c>
      <c r="U3271" s="5">
        <f>VLOOKUP(currency,Tables!$A$1:$C$14,3,FALSE)*pledged</f>
        <v>10718.4</v>
      </c>
    </row>
    <row r="3272" spans="1:21" ht="43.2" x14ac:dyDescent="0.55000000000000004">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16">
        <f t="shared" si="307"/>
        <v>61</v>
      </c>
      <c r="Q3272" t="str">
        <f t="shared" si="310"/>
        <v>theater</v>
      </c>
      <c r="R3272" t="str">
        <f t="shared" si="311"/>
        <v>plays</v>
      </c>
      <c r="S3272" s="4">
        <f t="shared" si="308"/>
        <v>42167.533159722225</v>
      </c>
      <c r="T3272" s="4">
        <f t="shared" si="309"/>
        <v>42197.533159722225</v>
      </c>
      <c r="U3272" s="5">
        <f>VLOOKUP(currency,Tables!$A$1:$C$14,3,FALSE)*pledged</f>
        <v>2415.6</v>
      </c>
    </row>
    <row r="3273" spans="1:21" x14ac:dyDescent="0.55000000000000004">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306"/>
        <v>1.3</v>
      </c>
      <c r="P3273" s="16">
        <f t="shared" si="307"/>
        <v>38.235294117647058</v>
      </c>
      <c r="Q3273" t="str">
        <f t="shared" si="310"/>
        <v>theater</v>
      </c>
      <c r="R3273" t="str">
        <f t="shared" si="311"/>
        <v>plays</v>
      </c>
      <c r="S3273" s="4">
        <f t="shared" si="308"/>
        <v>41915.437210648146</v>
      </c>
      <c r="T3273" s="4">
        <f t="shared" si="309"/>
        <v>41945.478877314818</v>
      </c>
      <c r="U3273" s="5">
        <f>VLOOKUP(currency,Tables!$A$1:$C$14,3,FALSE)*pledged</f>
        <v>2574</v>
      </c>
    </row>
    <row r="3274" spans="1:21" ht="43.2" x14ac:dyDescent="0.55000000000000004">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16">
        <f t="shared" si="307"/>
        <v>106.50344827586207</v>
      </c>
      <c r="Q3274" t="str">
        <f t="shared" si="310"/>
        <v>theater</v>
      </c>
      <c r="R3274" t="str">
        <f t="shared" si="311"/>
        <v>plays</v>
      </c>
      <c r="S3274" s="4">
        <f t="shared" si="308"/>
        <v>42284.500104166669</v>
      </c>
      <c r="T3274" s="4">
        <f t="shared" si="309"/>
        <v>42314.541770833333</v>
      </c>
      <c r="U3274" s="5">
        <f>VLOOKUP(currency,Tables!$A$1:$C$14,3,FALSE)*pledged</f>
        <v>15443</v>
      </c>
    </row>
    <row r="3275" spans="1:21" ht="43.2" x14ac:dyDescent="0.55000000000000004">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16">
        <f t="shared" si="307"/>
        <v>204.57142857142858</v>
      </c>
      <c r="Q3275" t="str">
        <f t="shared" si="310"/>
        <v>theater</v>
      </c>
      <c r="R3275" t="str">
        <f t="shared" si="311"/>
        <v>plays</v>
      </c>
      <c r="S3275" s="4">
        <f t="shared" si="308"/>
        <v>42611.801412037035</v>
      </c>
      <c r="T3275" s="4">
        <f t="shared" si="309"/>
        <v>42627.791666666672</v>
      </c>
      <c r="U3275" s="5">
        <f>VLOOKUP(currency,Tables!$A$1:$C$14,3,FALSE)*pledged</f>
        <v>4296</v>
      </c>
    </row>
    <row r="3276" spans="1:21" ht="43.2" x14ac:dyDescent="0.55000000000000004">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16">
        <f t="shared" si="307"/>
        <v>54.912587412587413</v>
      </c>
      <c r="Q3276" t="str">
        <f t="shared" si="310"/>
        <v>theater</v>
      </c>
      <c r="R3276" t="str">
        <f t="shared" si="311"/>
        <v>plays</v>
      </c>
      <c r="S3276" s="4">
        <f t="shared" si="308"/>
        <v>42400.704537037032</v>
      </c>
      <c r="T3276" s="4">
        <f t="shared" si="309"/>
        <v>42444.875</v>
      </c>
      <c r="U3276" s="5">
        <f>VLOOKUP(currency,Tables!$A$1:$C$14,3,FALSE)*pledged</f>
        <v>15705</v>
      </c>
    </row>
    <row r="3277" spans="1:21" ht="43.2" x14ac:dyDescent="0.55000000000000004">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16">
        <f t="shared" si="307"/>
        <v>150.41666666666666</v>
      </c>
      <c r="Q3277" t="str">
        <f t="shared" si="310"/>
        <v>theater</v>
      </c>
      <c r="R3277" t="str">
        <f t="shared" si="311"/>
        <v>plays</v>
      </c>
      <c r="S3277" s="4">
        <f t="shared" si="308"/>
        <v>42017.88045138889</v>
      </c>
      <c r="T3277" s="4">
        <f t="shared" si="309"/>
        <v>42044.1875</v>
      </c>
      <c r="U3277" s="5">
        <f>VLOOKUP(currency,Tables!$A$1:$C$14,3,FALSE)*pledged</f>
        <v>1805</v>
      </c>
    </row>
    <row r="3278" spans="1:21" ht="43.2" x14ac:dyDescent="0.55000000000000004">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16">
        <f t="shared" si="307"/>
        <v>52.58</v>
      </c>
      <c r="Q3278" t="str">
        <f t="shared" si="310"/>
        <v>theater</v>
      </c>
      <c r="R3278" t="str">
        <f t="shared" si="311"/>
        <v>plays</v>
      </c>
      <c r="S3278" s="4">
        <f t="shared" si="308"/>
        <v>42426.949988425928</v>
      </c>
      <c r="T3278" s="4">
        <f t="shared" si="309"/>
        <v>42461.165972222225</v>
      </c>
      <c r="U3278" s="5">
        <f>VLOOKUP(currency,Tables!$A$1:$C$14,3,FALSE)*pledged</f>
        <v>3996.08</v>
      </c>
    </row>
    <row r="3279" spans="1:21" ht="43.2" x14ac:dyDescent="0.55000000000000004">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16">
        <f t="shared" si="307"/>
        <v>54.3</v>
      </c>
      <c r="Q3279" t="str">
        <f t="shared" si="310"/>
        <v>theater</v>
      </c>
      <c r="R3279" t="str">
        <f t="shared" si="311"/>
        <v>plays</v>
      </c>
      <c r="S3279" s="4">
        <f t="shared" si="308"/>
        <v>41931.682939814818</v>
      </c>
      <c r="T3279" s="4">
        <f t="shared" si="309"/>
        <v>41961.724606481483</v>
      </c>
      <c r="U3279" s="5">
        <f>VLOOKUP(currency,Tables!$A$1:$C$14,3,FALSE)*pledged</f>
        <v>7167.6</v>
      </c>
    </row>
    <row r="3280" spans="1:21" ht="43.2" x14ac:dyDescent="0.55000000000000004">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16">
        <f t="shared" si="307"/>
        <v>76.029411764705884</v>
      </c>
      <c r="Q3280" t="str">
        <f t="shared" si="310"/>
        <v>theater</v>
      </c>
      <c r="R3280" t="str">
        <f t="shared" si="311"/>
        <v>plays</v>
      </c>
      <c r="S3280" s="4">
        <f t="shared" si="308"/>
        <v>42124.848414351851</v>
      </c>
      <c r="T3280" s="4">
        <f t="shared" si="309"/>
        <v>42154.848414351851</v>
      </c>
      <c r="U3280" s="5">
        <f>VLOOKUP(currency,Tables!$A$1:$C$14,3,FALSE)*pledged</f>
        <v>3412.2000000000003</v>
      </c>
    </row>
    <row r="3281" spans="1:21" ht="43.2" x14ac:dyDescent="0.55000000000000004">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16">
        <f t="shared" si="307"/>
        <v>105.2063492063492</v>
      </c>
      <c r="Q3281" t="str">
        <f t="shared" si="310"/>
        <v>theater</v>
      </c>
      <c r="R3281" t="str">
        <f t="shared" si="311"/>
        <v>plays</v>
      </c>
      <c r="S3281" s="4">
        <f t="shared" si="308"/>
        <v>42431.102534722217</v>
      </c>
      <c r="T3281" s="4">
        <f t="shared" si="309"/>
        <v>42461.06086805556</v>
      </c>
      <c r="U3281" s="5">
        <f>VLOOKUP(currency,Tables!$A$1:$C$14,3,FALSE)*pledged</f>
        <v>6628</v>
      </c>
    </row>
    <row r="3282" spans="1:21" ht="43.2" x14ac:dyDescent="0.55000000000000004">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306"/>
        <v>1.03</v>
      </c>
      <c r="P3282" s="16">
        <f t="shared" si="307"/>
        <v>68.666666666666671</v>
      </c>
      <c r="Q3282" t="str">
        <f t="shared" si="310"/>
        <v>theater</v>
      </c>
      <c r="R3282" t="str">
        <f t="shared" si="311"/>
        <v>plays</v>
      </c>
      <c r="S3282" s="4">
        <f t="shared" si="308"/>
        <v>42121.756921296299</v>
      </c>
      <c r="T3282" s="4">
        <f t="shared" si="309"/>
        <v>42156.208333333328</v>
      </c>
      <c r="U3282" s="5">
        <f>VLOOKUP(currency,Tables!$A$1:$C$14,3,FALSE)*pledged</f>
        <v>2060</v>
      </c>
    </row>
    <row r="3283" spans="1:21" ht="28.8" x14ac:dyDescent="0.55000000000000004">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16">
        <f t="shared" si="307"/>
        <v>129.36170212765958</v>
      </c>
      <c r="Q3283" t="str">
        <f t="shared" si="310"/>
        <v>theater</v>
      </c>
      <c r="R3283" t="str">
        <f t="shared" si="311"/>
        <v>plays</v>
      </c>
      <c r="S3283" s="4">
        <f t="shared" si="308"/>
        <v>42219.019733796296</v>
      </c>
      <c r="T3283" s="4">
        <f t="shared" si="309"/>
        <v>42249.019733796296</v>
      </c>
      <c r="U3283" s="5">
        <f>VLOOKUP(currency,Tables!$A$1:$C$14,3,FALSE)*pledged</f>
        <v>6080</v>
      </c>
    </row>
    <row r="3284" spans="1:21" ht="43.2" x14ac:dyDescent="0.55000000000000004">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16">
        <f t="shared" si="307"/>
        <v>134.26371308016877</v>
      </c>
      <c r="Q3284" t="str">
        <f t="shared" si="310"/>
        <v>theater</v>
      </c>
      <c r="R3284" t="str">
        <f t="shared" si="311"/>
        <v>plays</v>
      </c>
      <c r="S3284" s="4">
        <f t="shared" si="308"/>
        <v>42445.19430555556</v>
      </c>
      <c r="T3284" s="4">
        <f t="shared" si="309"/>
        <v>42489.19430555556</v>
      </c>
      <c r="U3284" s="5">
        <f>VLOOKUP(currency,Tables!$A$1:$C$14,3,FALSE)*pledged</f>
        <v>31820.5</v>
      </c>
    </row>
    <row r="3285" spans="1:21" ht="43.2" x14ac:dyDescent="0.55000000000000004">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16">
        <f t="shared" si="307"/>
        <v>17.829787234042552</v>
      </c>
      <c r="Q3285" t="str">
        <f t="shared" si="310"/>
        <v>theater</v>
      </c>
      <c r="R3285" t="str">
        <f t="shared" si="311"/>
        <v>plays</v>
      </c>
      <c r="S3285" s="4">
        <f t="shared" si="308"/>
        <v>42379.74418981481</v>
      </c>
      <c r="T3285" s="4">
        <f t="shared" si="309"/>
        <v>42410.875</v>
      </c>
      <c r="U3285" s="5">
        <f>VLOOKUP(currency,Tables!$A$1:$C$14,3,FALSE)*pledged</f>
        <v>1106.1600000000001</v>
      </c>
    </row>
    <row r="3286" spans="1:21" ht="43.2" x14ac:dyDescent="0.55000000000000004">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16">
        <f t="shared" si="307"/>
        <v>203.2</v>
      </c>
      <c r="Q3286" t="str">
        <f t="shared" si="310"/>
        <v>theater</v>
      </c>
      <c r="R3286" t="str">
        <f t="shared" si="311"/>
        <v>plays</v>
      </c>
      <c r="S3286" s="4">
        <f t="shared" si="308"/>
        <v>42380.884872685187</v>
      </c>
      <c r="T3286" s="4">
        <f t="shared" si="309"/>
        <v>42398.249305555553</v>
      </c>
      <c r="U3286" s="5">
        <f>VLOOKUP(currency,Tables!$A$1:$C$14,3,FALSE)*pledged</f>
        <v>3048</v>
      </c>
    </row>
    <row r="3287" spans="1:21" x14ac:dyDescent="0.55000000000000004">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16">
        <f t="shared" si="307"/>
        <v>69.18518518518519</v>
      </c>
      <c r="Q3287" t="str">
        <f t="shared" si="310"/>
        <v>theater</v>
      </c>
      <c r="R3287" t="str">
        <f t="shared" si="311"/>
        <v>plays</v>
      </c>
      <c r="S3287" s="4">
        <f t="shared" si="308"/>
        <v>42762.942430555559</v>
      </c>
      <c r="T3287" s="4">
        <f t="shared" si="309"/>
        <v>42794.208333333328</v>
      </c>
      <c r="U3287" s="5">
        <f>VLOOKUP(currency,Tables!$A$1:$C$14,3,FALSE)*pledged</f>
        <v>5604</v>
      </c>
    </row>
    <row r="3288" spans="1:21" ht="43.2" x14ac:dyDescent="0.55000000000000004">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16">
        <f t="shared" si="307"/>
        <v>125.12295081967213</v>
      </c>
      <c r="Q3288" t="str">
        <f t="shared" si="310"/>
        <v>theater</v>
      </c>
      <c r="R3288" t="str">
        <f t="shared" si="311"/>
        <v>plays</v>
      </c>
      <c r="S3288" s="4">
        <f t="shared" si="308"/>
        <v>42567.840069444443</v>
      </c>
      <c r="T3288" s="4">
        <f t="shared" si="309"/>
        <v>42597.840069444443</v>
      </c>
      <c r="U3288" s="5">
        <f>VLOOKUP(currency,Tables!$A$1:$C$14,3,FALSE)*pledged</f>
        <v>15265</v>
      </c>
    </row>
    <row r="3289" spans="1:21" ht="28.8" x14ac:dyDescent="0.55000000000000004">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306"/>
        <v>1</v>
      </c>
      <c r="P3289" s="16">
        <f t="shared" si="307"/>
        <v>73.529411764705884</v>
      </c>
      <c r="Q3289" t="str">
        <f t="shared" si="310"/>
        <v>theater</v>
      </c>
      <c r="R3289" t="str">
        <f t="shared" si="311"/>
        <v>plays</v>
      </c>
      <c r="S3289" s="4">
        <f t="shared" si="308"/>
        <v>42311.750324074077</v>
      </c>
      <c r="T3289" s="4">
        <f t="shared" si="309"/>
        <v>42336.750324074077</v>
      </c>
      <c r="U3289" s="5">
        <f>VLOOKUP(currency,Tables!$A$1:$C$14,3,FALSE)*pledged</f>
        <v>1900</v>
      </c>
    </row>
    <row r="3290" spans="1:21" ht="43.2" x14ac:dyDescent="0.55000000000000004">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16">
        <f t="shared" si="307"/>
        <v>48.437149758454105</v>
      </c>
      <c r="Q3290" t="str">
        <f t="shared" si="310"/>
        <v>theater</v>
      </c>
      <c r="R3290" t="str">
        <f t="shared" si="311"/>
        <v>plays</v>
      </c>
      <c r="S3290" s="4">
        <f t="shared" si="308"/>
        <v>42505.774479166663</v>
      </c>
      <c r="T3290" s="4">
        <f t="shared" si="309"/>
        <v>42541.958333333328</v>
      </c>
      <c r="U3290" s="5">
        <f>VLOOKUP(currency,Tables!$A$1:$C$14,3,FALSE)*pledged</f>
        <v>13234.9668</v>
      </c>
    </row>
    <row r="3291" spans="1:21" ht="43.2" x14ac:dyDescent="0.55000000000000004">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16">
        <f t="shared" si="307"/>
        <v>26.608400000000003</v>
      </c>
      <c r="Q3291" t="str">
        <f t="shared" si="310"/>
        <v>theater</v>
      </c>
      <c r="R3291" t="str">
        <f t="shared" si="311"/>
        <v>plays</v>
      </c>
      <c r="S3291" s="4">
        <f t="shared" si="308"/>
        <v>42758.368078703701</v>
      </c>
      <c r="T3291" s="4">
        <f t="shared" si="309"/>
        <v>42786.368078703701</v>
      </c>
      <c r="U3291" s="5">
        <f>VLOOKUP(currency,Tables!$A$1:$C$14,3,FALSE)*pledged</f>
        <v>878.07720000000006</v>
      </c>
    </row>
    <row r="3292" spans="1:21" ht="72" x14ac:dyDescent="0.55000000000000004">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16">
        <f t="shared" si="307"/>
        <v>33.666666666666664</v>
      </c>
      <c r="Q3292" t="str">
        <f t="shared" si="310"/>
        <v>theater</v>
      </c>
      <c r="R3292" t="str">
        <f t="shared" si="311"/>
        <v>plays</v>
      </c>
      <c r="S3292" s="4">
        <f t="shared" si="308"/>
        <v>42775.51494212963</v>
      </c>
      <c r="T3292" s="4">
        <f t="shared" si="309"/>
        <v>42805.51494212963</v>
      </c>
      <c r="U3292" s="5">
        <f>VLOOKUP(currency,Tables!$A$1:$C$14,3,FALSE)*pledged</f>
        <v>3199.6800000000003</v>
      </c>
    </row>
    <row r="3293" spans="1:21" ht="43.2" x14ac:dyDescent="0.55000000000000004">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16">
        <f t="shared" si="307"/>
        <v>40.714285714285715</v>
      </c>
      <c r="Q3293" t="str">
        <f t="shared" si="310"/>
        <v>theater</v>
      </c>
      <c r="R3293" t="str">
        <f t="shared" si="311"/>
        <v>plays</v>
      </c>
      <c r="S3293" s="4">
        <f t="shared" si="308"/>
        <v>42232.702546296292</v>
      </c>
      <c r="T3293" s="4">
        <f t="shared" si="309"/>
        <v>42264.165972222225</v>
      </c>
      <c r="U3293" s="5">
        <f>VLOOKUP(currency,Tables!$A$1:$C$14,3,FALSE)*pledged</f>
        <v>570</v>
      </c>
    </row>
    <row r="3294" spans="1:21" ht="43.2" x14ac:dyDescent="0.55000000000000004">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16">
        <f t="shared" si="307"/>
        <v>19.266666666666666</v>
      </c>
      <c r="Q3294" t="str">
        <f t="shared" si="310"/>
        <v>theater</v>
      </c>
      <c r="R3294" t="str">
        <f t="shared" si="311"/>
        <v>plays</v>
      </c>
      <c r="S3294" s="4">
        <f t="shared" si="308"/>
        <v>42282.770231481481</v>
      </c>
      <c r="T3294" s="4">
        <f t="shared" si="309"/>
        <v>42342.811898148153</v>
      </c>
      <c r="U3294" s="5">
        <f>VLOOKUP(currency,Tables!$A$1:$C$14,3,FALSE)*pledged</f>
        <v>381.48</v>
      </c>
    </row>
    <row r="3295" spans="1:21" ht="57.6" x14ac:dyDescent="0.55000000000000004">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16">
        <f t="shared" si="307"/>
        <v>84.285714285714292</v>
      </c>
      <c r="Q3295" t="str">
        <f t="shared" si="310"/>
        <v>theater</v>
      </c>
      <c r="R3295" t="str">
        <f t="shared" si="311"/>
        <v>plays</v>
      </c>
      <c r="S3295" s="4">
        <f t="shared" si="308"/>
        <v>42768.425370370373</v>
      </c>
      <c r="T3295" s="4">
        <f t="shared" si="309"/>
        <v>42798.425370370373</v>
      </c>
      <c r="U3295" s="5">
        <f>VLOOKUP(currency,Tables!$A$1:$C$14,3,FALSE)*pledged</f>
        <v>5138.9000000000005</v>
      </c>
    </row>
    <row r="3296" spans="1:21" ht="43.2" x14ac:dyDescent="0.55000000000000004">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16">
        <f t="shared" si="307"/>
        <v>29.583333333333332</v>
      </c>
      <c r="Q3296" t="str">
        <f t="shared" si="310"/>
        <v>theater</v>
      </c>
      <c r="R3296" t="str">
        <f t="shared" si="311"/>
        <v>plays</v>
      </c>
      <c r="S3296" s="4">
        <f t="shared" si="308"/>
        <v>42141.541134259256</v>
      </c>
      <c r="T3296" s="4">
        <f t="shared" si="309"/>
        <v>42171.541134259256</v>
      </c>
      <c r="U3296" s="5">
        <f>VLOOKUP(currency,Tables!$A$1:$C$14,3,FALSE)*pledged</f>
        <v>937.2</v>
      </c>
    </row>
    <row r="3297" spans="1:21" ht="43.2" x14ac:dyDescent="0.55000000000000004">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16">
        <f t="shared" si="307"/>
        <v>26.667037037037037</v>
      </c>
      <c r="Q3297" t="str">
        <f t="shared" si="310"/>
        <v>theater</v>
      </c>
      <c r="R3297" t="str">
        <f t="shared" si="311"/>
        <v>plays</v>
      </c>
      <c r="S3297" s="4">
        <f t="shared" si="308"/>
        <v>42609.442465277782</v>
      </c>
      <c r="T3297" s="4">
        <f t="shared" si="309"/>
        <v>42639.442465277782</v>
      </c>
      <c r="U3297" s="5">
        <f>VLOOKUP(currency,Tables!$A$1:$C$14,3,FALSE)*pledged</f>
        <v>950.41320000000007</v>
      </c>
    </row>
    <row r="3298" spans="1:21" ht="43.2" x14ac:dyDescent="0.55000000000000004">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16">
        <f t="shared" si="307"/>
        <v>45.978723404255319</v>
      </c>
      <c r="Q3298" t="str">
        <f t="shared" si="310"/>
        <v>theater</v>
      </c>
      <c r="R3298" t="str">
        <f t="shared" si="311"/>
        <v>plays</v>
      </c>
      <c r="S3298" s="4">
        <f t="shared" si="308"/>
        <v>42309.756620370375</v>
      </c>
      <c r="T3298" s="4">
        <f t="shared" si="309"/>
        <v>42330.916666666672</v>
      </c>
      <c r="U3298" s="5">
        <f>VLOOKUP(currency,Tables!$A$1:$C$14,3,FALSE)*pledged</f>
        <v>2852.52</v>
      </c>
    </row>
    <row r="3299" spans="1:21" ht="43.2" x14ac:dyDescent="0.55000000000000004">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16">
        <f t="shared" si="307"/>
        <v>125.09090909090909</v>
      </c>
      <c r="Q3299" t="str">
        <f t="shared" si="310"/>
        <v>theater</v>
      </c>
      <c r="R3299" t="str">
        <f t="shared" si="311"/>
        <v>plays</v>
      </c>
      <c r="S3299" s="4">
        <f t="shared" si="308"/>
        <v>42193.771481481483</v>
      </c>
      <c r="T3299" s="4">
        <f t="shared" si="309"/>
        <v>42212.957638888889</v>
      </c>
      <c r="U3299" s="5">
        <f>VLOOKUP(currency,Tables!$A$1:$C$14,3,FALSE)*pledged</f>
        <v>7265.2800000000007</v>
      </c>
    </row>
    <row r="3300" spans="1:21" ht="43.2" x14ac:dyDescent="0.55000000000000004">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16">
        <f t="shared" si="307"/>
        <v>141.29166666666666</v>
      </c>
      <c r="Q3300" t="str">
        <f t="shared" si="310"/>
        <v>theater</v>
      </c>
      <c r="R3300" t="str">
        <f t="shared" si="311"/>
        <v>plays</v>
      </c>
      <c r="S3300" s="4">
        <f t="shared" si="308"/>
        <v>42239.957962962959</v>
      </c>
      <c r="T3300" s="4">
        <f t="shared" si="309"/>
        <v>42260</v>
      </c>
      <c r="U3300" s="5">
        <f>VLOOKUP(currency,Tables!$A$1:$C$14,3,FALSE)*pledged</f>
        <v>10173</v>
      </c>
    </row>
    <row r="3301" spans="1:21" ht="43.2" x14ac:dyDescent="0.55000000000000004">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16">
        <f t="shared" si="307"/>
        <v>55.333333333333336</v>
      </c>
      <c r="Q3301" t="str">
        <f t="shared" si="310"/>
        <v>theater</v>
      </c>
      <c r="R3301" t="str">
        <f t="shared" si="311"/>
        <v>plays</v>
      </c>
      <c r="S3301" s="4">
        <f t="shared" si="308"/>
        <v>42261.917395833334</v>
      </c>
      <c r="T3301" s="4">
        <f t="shared" si="309"/>
        <v>42291.917395833334</v>
      </c>
      <c r="U3301" s="5">
        <f>VLOOKUP(currency,Tables!$A$1:$C$14,3,FALSE)*pledged</f>
        <v>3486</v>
      </c>
    </row>
    <row r="3302" spans="1:21" ht="43.2" x14ac:dyDescent="0.55000000000000004">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16">
        <f t="shared" si="307"/>
        <v>46.420454545454547</v>
      </c>
      <c r="Q3302" t="str">
        <f t="shared" si="310"/>
        <v>theater</v>
      </c>
      <c r="R3302" t="str">
        <f t="shared" si="311"/>
        <v>plays</v>
      </c>
      <c r="S3302" s="4">
        <f t="shared" si="308"/>
        <v>42102.743773148148</v>
      </c>
      <c r="T3302" s="4">
        <f t="shared" si="309"/>
        <v>42123.743773148148</v>
      </c>
      <c r="U3302" s="5">
        <f>VLOOKUP(currency,Tables!$A$1:$C$14,3,FALSE)*pledged</f>
        <v>4085</v>
      </c>
    </row>
    <row r="3303" spans="1:21" ht="43.2" x14ac:dyDescent="0.55000000000000004">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16">
        <f t="shared" si="307"/>
        <v>57.2</v>
      </c>
      <c r="Q3303" t="str">
        <f t="shared" si="310"/>
        <v>theater</v>
      </c>
      <c r="R3303" t="str">
        <f t="shared" si="311"/>
        <v>plays</v>
      </c>
      <c r="S3303" s="4">
        <f t="shared" si="308"/>
        <v>42538.73583333334</v>
      </c>
      <c r="T3303" s="4">
        <f t="shared" si="309"/>
        <v>42583.290972222225</v>
      </c>
      <c r="U3303" s="5">
        <f>VLOOKUP(currency,Tables!$A$1:$C$14,3,FALSE)*pledged</f>
        <v>4004</v>
      </c>
    </row>
    <row r="3304" spans="1:21" x14ac:dyDescent="0.55000000000000004">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16">
        <f t="shared" si="307"/>
        <v>173.7</v>
      </c>
      <c r="Q3304" t="str">
        <f t="shared" si="310"/>
        <v>theater</v>
      </c>
      <c r="R3304" t="str">
        <f t="shared" si="311"/>
        <v>plays</v>
      </c>
      <c r="S3304" s="4">
        <f t="shared" si="308"/>
        <v>42681.35157407407</v>
      </c>
      <c r="T3304" s="4">
        <f t="shared" si="309"/>
        <v>42711.35157407407</v>
      </c>
      <c r="U3304" s="5">
        <f>VLOOKUP(currency,Tables!$A$1:$C$14,3,FALSE)*pledged</f>
        <v>10248.299999999999</v>
      </c>
    </row>
    <row r="3305" spans="1:21" ht="43.2" x14ac:dyDescent="0.55000000000000004">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16">
        <f t="shared" si="307"/>
        <v>59.6</v>
      </c>
      <c r="Q3305" t="str">
        <f t="shared" si="310"/>
        <v>theater</v>
      </c>
      <c r="R3305" t="str">
        <f t="shared" si="311"/>
        <v>plays</v>
      </c>
      <c r="S3305" s="4">
        <f t="shared" si="308"/>
        <v>42056.65143518518</v>
      </c>
      <c r="T3305" s="4">
        <f t="shared" si="309"/>
        <v>42091.609768518523</v>
      </c>
      <c r="U3305" s="5">
        <f>VLOOKUP(currency,Tables!$A$1:$C$14,3,FALSE)*pledged</f>
        <v>2086</v>
      </c>
    </row>
    <row r="3306" spans="1:21" ht="43.2" x14ac:dyDescent="0.55000000000000004">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16">
        <f t="shared" si="307"/>
        <v>89.585714285714289</v>
      </c>
      <c r="Q3306" t="str">
        <f t="shared" si="310"/>
        <v>theater</v>
      </c>
      <c r="R3306" t="str">
        <f t="shared" si="311"/>
        <v>plays</v>
      </c>
      <c r="S3306" s="4">
        <f t="shared" si="308"/>
        <v>42696.624444444446</v>
      </c>
      <c r="T3306" s="4">
        <f t="shared" si="309"/>
        <v>42726.624444444446</v>
      </c>
      <c r="U3306" s="5">
        <f>VLOOKUP(currency,Tables!$A$1:$C$14,3,FALSE)*pledged</f>
        <v>15677.5</v>
      </c>
    </row>
    <row r="3307" spans="1:21" ht="43.2" x14ac:dyDescent="0.55000000000000004">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16">
        <f t="shared" si="307"/>
        <v>204.05</v>
      </c>
      <c r="Q3307" t="str">
        <f t="shared" si="310"/>
        <v>theater</v>
      </c>
      <c r="R3307" t="str">
        <f t="shared" si="311"/>
        <v>plays</v>
      </c>
      <c r="S3307" s="4">
        <f t="shared" si="308"/>
        <v>42186.855879629627</v>
      </c>
      <c r="T3307" s="4">
        <f t="shared" si="309"/>
        <v>42216.855879629627</v>
      </c>
      <c r="U3307" s="5">
        <f>VLOOKUP(currency,Tables!$A$1:$C$14,3,FALSE)*pledged</f>
        <v>4081</v>
      </c>
    </row>
    <row r="3308" spans="1:21" ht="43.2" x14ac:dyDescent="0.55000000000000004">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16">
        <f t="shared" si="307"/>
        <v>48.703703703703702</v>
      </c>
      <c r="Q3308" t="str">
        <f t="shared" si="310"/>
        <v>theater</v>
      </c>
      <c r="R3308" t="str">
        <f t="shared" si="311"/>
        <v>plays</v>
      </c>
      <c r="S3308" s="4">
        <f t="shared" si="308"/>
        <v>42493.219236111108</v>
      </c>
      <c r="T3308" s="4">
        <f t="shared" si="309"/>
        <v>42531.125</v>
      </c>
      <c r="U3308" s="5">
        <f>VLOOKUP(currency,Tables!$A$1:$C$14,3,FALSE)*pledged</f>
        <v>2630</v>
      </c>
    </row>
    <row r="3309" spans="1:21" ht="43.2" x14ac:dyDescent="0.55000000000000004">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16">
        <f t="shared" si="307"/>
        <v>53.339999999999996</v>
      </c>
      <c r="Q3309" t="str">
        <f t="shared" si="310"/>
        <v>theater</v>
      </c>
      <c r="R3309" t="str">
        <f t="shared" si="311"/>
        <v>plays</v>
      </c>
      <c r="S3309" s="4">
        <f t="shared" si="308"/>
        <v>42475.057164351849</v>
      </c>
      <c r="T3309" s="4">
        <f t="shared" si="309"/>
        <v>42505.057164351849</v>
      </c>
      <c r="U3309" s="5">
        <f>VLOOKUP(currency,Tables!$A$1:$C$14,3,FALSE)*pledged</f>
        <v>1066.8</v>
      </c>
    </row>
    <row r="3310" spans="1:21" ht="43.2" x14ac:dyDescent="0.55000000000000004">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16">
        <f t="shared" si="307"/>
        <v>75.087719298245617</v>
      </c>
      <c r="Q3310" t="str">
        <f t="shared" si="310"/>
        <v>theater</v>
      </c>
      <c r="R3310" t="str">
        <f t="shared" si="311"/>
        <v>plays</v>
      </c>
      <c r="S3310" s="4">
        <f t="shared" si="308"/>
        <v>42452.876909722225</v>
      </c>
      <c r="T3310" s="4">
        <f t="shared" si="309"/>
        <v>42473.876909722225</v>
      </c>
      <c r="U3310" s="5">
        <f>VLOOKUP(currency,Tables!$A$1:$C$14,3,FALSE)*pledged</f>
        <v>4280</v>
      </c>
    </row>
    <row r="3311" spans="1:21" ht="28.8" x14ac:dyDescent="0.55000000000000004">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16">
        <f t="shared" si="307"/>
        <v>18</v>
      </c>
      <c r="Q3311" t="str">
        <f t="shared" si="310"/>
        <v>theater</v>
      </c>
      <c r="R3311" t="str">
        <f t="shared" si="311"/>
        <v>plays</v>
      </c>
      <c r="S3311" s="4">
        <f t="shared" si="308"/>
        <v>42628.650208333333</v>
      </c>
      <c r="T3311" s="4">
        <f t="shared" si="309"/>
        <v>42659.650208333333</v>
      </c>
      <c r="U3311" s="5">
        <f>VLOOKUP(currency,Tables!$A$1:$C$14,3,FALSE)*pledged</f>
        <v>736.56000000000006</v>
      </c>
    </row>
    <row r="3312" spans="1:21" ht="28.8" x14ac:dyDescent="0.55000000000000004">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16">
        <f t="shared" si="307"/>
        <v>209.83870967741936</v>
      </c>
      <c r="Q3312" t="str">
        <f t="shared" si="310"/>
        <v>theater</v>
      </c>
      <c r="R3312" t="str">
        <f t="shared" si="311"/>
        <v>plays</v>
      </c>
      <c r="S3312" s="4">
        <f t="shared" si="308"/>
        <v>42253.928530092591</v>
      </c>
      <c r="T3312" s="4">
        <f t="shared" si="309"/>
        <v>42283.928530092591</v>
      </c>
      <c r="U3312" s="5">
        <f>VLOOKUP(currency,Tables!$A$1:$C$14,3,FALSE)*pledged</f>
        <v>6505</v>
      </c>
    </row>
    <row r="3313" spans="1:21" ht="43.2" x14ac:dyDescent="0.55000000000000004">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16">
        <f t="shared" si="307"/>
        <v>61.022222222222226</v>
      </c>
      <c r="Q3313" t="str">
        <f t="shared" si="310"/>
        <v>theater</v>
      </c>
      <c r="R3313" t="str">
        <f t="shared" si="311"/>
        <v>plays</v>
      </c>
      <c r="S3313" s="4">
        <f t="shared" si="308"/>
        <v>42264.29178240741</v>
      </c>
      <c r="T3313" s="4">
        <f t="shared" si="309"/>
        <v>42294.29178240741</v>
      </c>
      <c r="U3313" s="5">
        <f>VLOOKUP(currency,Tables!$A$1:$C$14,3,FALSE)*pledged</f>
        <v>2746</v>
      </c>
    </row>
    <row r="3314" spans="1:21" ht="43.2" x14ac:dyDescent="0.55000000000000004">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16">
        <f t="shared" si="307"/>
        <v>61</v>
      </c>
      <c r="Q3314" t="str">
        <f t="shared" si="310"/>
        <v>theater</v>
      </c>
      <c r="R3314" t="str">
        <f t="shared" si="311"/>
        <v>plays</v>
      </c>
      <c r="S3314" s="4">
        <f t="shared" si="308"/>
        <v>42664.809560185182</v>
      </c>
      <c r="T3314" s="4">
        <f t="shared" si="309"/>
        <v>42685.916666666672</v>
      </c>
      <c r="U3314" s="5">
        <f>VLOOKUP(currency,Tables!$A$1:$C$14,3,FALSE)*pledged</f>
        <v>2501</v>
      </c>
    </row>
    <row r="3315" spans="1:21" ht="43.2" x14ac:dyDescent="0.55000000000000004">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16">
        <f t="shared" si="307"/>
        <v>80.034482758620683</v>
      </c>
      <c r="Q3315" t="str">
        <f t="shared" si="310"/>
        <v>theater</v>
      </c>
      <c r="R3315" t="str">
        <f t="shared" si="311"/>
        <v>plays</v>
      </c>
      <c r="S3315" s="4">
        <f t="shared" si="308"/>
        <v>42382.244409722218</v>
      </c>
      <c r="T3315" s="4">
        <f t="shared" si="309"/>
        <v>42396.041666666672</v>
      </c>
      <c r="U3315" s="5">
        <f>VLOOKUP(currency,Tables!$A$1:$C$14,3,FALSE)*pledged</f>
        <v>2321</v>
      </c>
    </row>
    <row r="3316" spans="1:21" ht="43.2" x14ac:dyDescent="0.55000000000000004">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16">
        <f t="shared" si="307"/>
        <v>29.068965517241381</v>
      </c>
      <c r="Q3316" t="str">
        <f t="shared" si="310"/>
        <v>theater</v>
      </c>
      <c r="R3316" t="str">
        <f t="shared" si="311"/>
        <v>plays</v>
      </c>
      <c r="S3316" s="4">
        <f t="shared" si="308"/>
        <v>42105.267488425925</v>
      </c>
      <c r="T3316" s="4">
        <f t="shared" si="309"/>
        <v>42132.836805555555</v>
      </c>
      <c r="U3316" s="5">
        <f>VLOOKUP(currency,Tables!$A$1:$C$14,3,FALSE)*pledged</f>
        <v>2225.52</v>
      </c>
    </row>
    <row r="3317" spans="1:21" ht="43.2" x14ac:dyDescent="0.55000000000000004">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16">
        <f t="shared" si="307"/>
        <v>49.438202247191015</v>
      </c>
      <c r="Q3317" t="str">
        <f t="shared" si="310"/>
        <v>theater</v>
      </c>
      <c r="R3317" t="str">
        <f t="shared" si="311"/>
        <v>plays</v>
      </c>
      <c r="S3317" s="4">
        <f t="shared" si="308"/>
        <v>42466.303715277783</v>
      </c>
      <c r="T3317" s="4">
        <f t="shared" si="309"/>
        <v>42496.303715277783</v>
      </c>
      <c r="U3317" s="5">
        <f>VLOOKUP(currency,Tables!$A$1:$C$14,3,FALSE)*pledged</f>
        <v>5808</v>
      </c>
    </row>
    <row r="3318" spans="1:21" ht="72" x14ac:dyDescent="0.55000000000000004">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16">
        <f t="shared" si="307"/>
        <v>93.977440000000001</v>
      </c>
      <c r="Q3318" t="str">
        <f t="shared" si="310"/>
        <v>theater</v>
      </c>
      <c r="R3318" t="str">
        <f t="shared" si="311"/>
        <v>plays</v>
      </c>
      <c r="S3318" s="4">
        <f t="shared" si="308"/>
        <v>41826.871238425927</v>
      </c>
      <c r="T3318" s="4">
        <f t="shared" si="309"/>
        <v>41859.57916666667</v>
      </c>
      <c r="U3318" s="5">
        <f>VLOOKUP(currency,Tables!$A$1:$C$14,3,FALSE)*pledged</f>
        <v>11747.18</v>
      </c>
    </row>
    <row r="3319" spans="1:21" ht="43.2" x14ac:dyDescent="0.55000000000000004">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16">
        <f t="shared" si="307"/>
        <v>61.944444444444443</v>
      </c>
      <c r="Q3319" t="str">
        <f t="shared" si="310"/>
        <v>theater</v>
      </c>
      <c r="R3319" t="str">
        <f t="shared" si="311"/>
        <v>plays</v>
      </c>
      <c r="S3319" s="4">
        <f t="shared" si="308"/>
        <v>42499.039629629624</v>
      </c>
      <c r="T3319" s="4">
        <f t="shared" si="309"/>
        <v>42529.039629629624</v>
      </c>
      <c r="U3319" s="5">
        <f>VLOOKUP(currency,Tables!$A$1:$C$14,3,FALSE)*pledged</f>
        <v>1115</v>
      </c>
    </row>
    <row r="3320" spans="1:21" ht="28.8" x14ac:dyDescent="0.55000000000000004">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16">
        <f t="shared" si="307"/>
        <v>78.5</v>
      </c>
      <c r="Q3320" t="str">
        <f t="shared" si="310"/>
        <v>theater</v>
      </c>
      <c r="R3320" t="str">
        <f t="shared" si="311"/>
        <v>plays</v>
      </c>
      <c r="S3320" s="4">
        <f t="shared" si="308"/>
        <v>42431.302002314813</v>
      </c>
      <c r="T3320" s="4">
        <f t="shared" si="309"/>
        <v>42471.104166666672</v>
      </c>
      <c r="U3320" s="5">
        <f>VLOOKUP(currency,Tables!$A$1:$C$14,3,FALSE)*pledged</f>
        <v>1909.1200000000001</v>
      </c>
    </row>
    <row r="3321" spans="1:21" ht="43.2" x14ac:dyDescent="0.55000000000000004">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306"/>
        <v>1.08</v>
      </c>
      <c r="P3321" s="16">
        <f t="shared" si="307"/>
        <v>33.75</v>
      </c>
      <c r="Q3321" t="str">
        <f t="shared" si="310"/>
        <v>theater</v>
      </c>
      <c r="R3321" t="str">
        <f t="shared" si="311"/>
        <v>plays</v>
      </c>
      <c r="S3321" s="4">
        <f t="shared" si="308"/>
        <v>41990.585486111115</v>
      </c>
      <c r="T3321" s="4">
        <f t="shared" si="309"/>
        <v>42035.585486111115</v>
      </c>
      <c r="U3321" s="5">
        <f>VLOOKUP(currency,Tables!$A$1:$C$14,3,FALSE)*pledged</f>
        <v>712.80000000000007</v>
      </c>
    </row>
    <row r="3322" spans="1:21" ht="43.2" x14ac:dyDescent="0.55000000000000004">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306"/>
        <v>1.01</v>
      </c>
      <c r="P3322" s="16">
        <f t="shared" si="307"/>
        <v>66.44736842105263</v>
      </c>
      <c r="Q3322" t="str">
        <f t="shared" si="310"/>
        <v>theater</v>
      </c>
      <c r="R3322" t="str">
        <f t="shared" si="311"/>
        <v>plays</v>
      </c>
      <c r="S3322" s="4">
        <f t="shared" si="308"/>
        <v>42513.045798611114</v>
      </c>
      <c r="T3322" s="4">
        <f t="shared" si="309"/>
        <v>42543.045798611114</v>
      </c>
      <c r="U3322" s="5">
        <f>VLOOKUP(currency,Tables!$A$1:$C$14,3,FALSE)*pledged</f>
        <v>2525</v>
      </c>
    </row>
    <row r="3323" spans="1:21" ht="43.2" x14ac:dyDescent="0.55000000000000004">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16">
        <f t="shared" si="307"/>
        <v>35.799999999999997</v>
      </c>
      <c r="Q3323" t="str">
        <f t="shared" si="310"/>
        <v>theater</v>
      </c>
      <c r="R3323" t="str">
        <f t="shared" si="311"/>
        <v>plays</v>
      </c>
      <c r="S3323" s="4">
        <f t="shared" si="308"/>
        <v>41914.100289351853</v>
      </c>
      <c r="T3323" s="4">
        <f t="shared" si="309"/>
        <v>41928.165972222225</v>
      </c>
      <c r="U3323" s="5">
        <f>VLOOKUP(currency,Tables!$A$1:$C$14,3,FALSE)*pledged</f>
        <v>537</v>
      </c>
    </row>
    <row r="3324" spans="1:21" ht="43.2" x14ac:dyDescent="0.55000000000000004">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16">
        <f t="shared" si="307"/>
        <v>145.65217391304347</v>
      </c>
      <c r="Q3324" t="str">
        <f t="shared" si="310"/>
        <v>theater</v>
      </c>
      <c r="R3324" t="str">
        <f t="shared" si="311"/>
        <v>plays</v>
      </c>
      <c r="S3324" s="4">
        <f t="shared" si="308"/>
        <v>42521.010370370372</v>
      </c>
      <c r="T3324" s="4">
        <f t="shared" si="309"/>
        <v>42543.163194444445</v>
      </c>
      <c r="U3324" s="5">
        <f>VLOOKUP(currency,Tables!$A$1:$C$14,3,FALSE)*pledged</f>
        <v>3350</v>
      </c>
    </row>
    <row r="3325" spans="1:21" ht="43.2" x14ac:dyDescent="0.55000000000000004">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16">
        <f t="shared" si="307"/>
        <v>25.693877551020407</v>
      </c>
      <c r="Q3325" t="str">
        <f t="shared" si="310"/>
        <v>theater</v>
      </c>
      <c r="R3325" t="str">
        <f t="shared" si="311"/>
        <v>plays</v>
      </c>
      <c r="S3325" s="4">
        <f t="shared" si="308"/>
        <v>42608.36583333333</v>
      </c>
      <c r="T3325" s="4">
        <f t="shared" si="309"/>
        <v>42638.36583333333</v>
      </c>
      <c r="U3325" s="5">
        <f>VLOOKUP(currency,Tables!$A$1:$C$14,3,FALSE)*pledged</f>
        <v>1661.88</v>
      </c>
    </row>
    <row r="3326" spans="1:21" ht="28.8" x14ac:dyDescent="0.55000000000000004">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16">
        <f t="shared" si="307"/>
        <v>152.5</v>
      </c>
      <c r="Q3326" t="str">
        <f t="shared" si="310"/>
        <v>theater</v>
      </c>
      <c r="R3326" t="str">
        <f t="shared" si="311"/>
        <v>plays</v>
      </c>
      <c r="S3326" s="4">
        <f t="shared" si="308"/>
        <v>42512.58321759259</v>
      </c>
      <c r="T3326" s="4">
        <f t="shared" si="309"/>
        <v>42526.58321759259</v>
      </c>
      <c r="U3326" s="5">
        <f>VLOOKUP(currency,Tables!$A$1:$C$14,3,FALSE)*pledged</f>
        <v>1799.5</v>
      </c>
    </row>
    <row r="3327" spans="1:21" ht="43.2" x14ac:dyDescent="0.55000000000000004">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306"/>
        <v>1.125</v>
      </c>
      <c r="P3327" s="16">
        <f t="shared" si="307"/>
        <v>30</v>
      </c>
      <c r="Q3327" t="str">
        <f t="shared" si="310"/>
        <v>theater</v>
      </c>
      <c r="R3327" t="str">
        <f t="shared" si="311"/>
        <v>plays</v>
      </c>
      <c r="S3327" s="4">
        <f t="shared" si="308"/>
        <v>42064.785613425927</v>
      </c>
      <c r="T3327" s="4">
        <f t="shared" si="309"/>
        <v>42099.743946759263</v>
      </c>
      <c r="U3327" s="5">
        <f>VLOOKUP(currency,Tables!$A$1:$C$14,3,FALSE)*pledged</f>
        <v>594</v>
      </c>
    </row>
    <row r="3328" spans="1:21" ht="43.2" x14ac:dyDescent="0.55000000000000004">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16">
        <f t="shared" si="307"/>
        <v>142.28070175438597</v>
      </c>
      <c r="Q3328" t="str">
        <f t="shared" si="310"/>
        <v>theater</v>
      </c>
      <c r="R3328" t="str">
        <f t="shared" si="311"/>
        <v>plays</v>
      </c>
      <c r="S3328" s="4">
        <f t="shared" si="308"/>
        <v>42041.714178240742</v>
      </c>
      <c r="T3328" s="4">
        <f t="shared" si="309"/>
        <v>42071.67251157407</v>
      </c>
      <c r="U3328" s="5">
        <f>VLOOKUP(currency,Tables!$A$1:$C$14,3,FALSE)*pledged</f>
        <v>8110</v>
      </c>
    </row>
    <row r="3329" spans="1:21" ht="43.2" x14ac:dyDescent="0.55000000000000004">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306"/>
        <v>1.0125</v>
      </c>
      <c r="P3329" s="16">
        <f t="shared" si="307"/>
        <v>24.545454545454547</v>
      </c>
      <c r="Q3329" t="str">
        <f t="shared" si="310"/>
        <v>theater</v>
      </c>
      <c r="R3329" t="str">
        <f t="shared" si="311"/>
        <v>plays</v>
      </c>
      <c r="S3329" s="4">
        <f t="shared" si="308"/>
        <v>42468.374606481477</v>
      </c>
      <c r="T3329" s="4">
        <f t="shared" si="309"/>
        <v>42498.374606481477</v>
      </c>
      <c r="U3329" s="5">
        <f>VLOOKUP(currency,Tables!$A$1:$C$14,3,FALSE)*pledged</f>
        <v>1069.2</v>
      </c>
    </row>
    <row r="3330" spans="1:21" ht="43.2" x14ac:dyDescent="0.55000000000000004">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ref="O3330:O3393" si="312">pledged/goal</f>
        <v>1.4638888888888888</v>
      </c>
      <c r="P3330" s="16">
        <f t="shared" ref="P3330:P3393" si="313">IF(pledged=0,0,pledged/backers_count)</f>
        <v>292.77777777777777</v>
      </c>
      <c r="Q3330" t="str">
        <f t="shared" si="310"/>
        <v>theater</v>
      </c>
      <c r="R3330" t="str">
        <f t="shared" si="311"/>
        <v>plays</v>
      </c>
      <c r="S3330" s="4">
        <f t="shared" ref="S3330:S3393" si="314">(((Unix_launched_date/60)/60)/24)+DATE(1970,1,1)</f>
        <v>41822.57503472222</v>
      </c>
      <c r="T3330" s="4">
        <f t="shared" ref="T3330:T3393" si="315">(((Unix_deadline/60)/60)/24)+DATE(1970,1,1)</f>
        <v>41825.041666666664</v>
      </c>
      <c r="U3330" s="5">
        <f>VLOOKUP(currency,Tables!$A$1:$C$14,3,FALSE)*pledged</f>
        <v>2635</v>
      </c>
    </row>
    <row r="3331" spans="1:21" ht="43.2" x14ac:dyDescent="0.55000000000000004">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si="312"/>
        <v>1.1679999999999999</v>
      </c>
      <c r="P3331" s="16">
        <f t="shared" si="313"/>
        <v>44.92307692307692</v>
      </c>
      <c r="Q3331" t="str">
        <f t="shared" ref="Q3331:Q3394" si="316">LEFT(N3331,FIND("/",N3331,1)-1)</f>
        <v>theater</v>
      </c>
      <c r="R3331" t="str">
        <f t="shared" ref="R3331:R3394" si="317">RIGHT(N3331,(LEN(N3331)-FIND("/",N3331,1)))</f>
        <v>plays</v>
      </c>
      <c r="S3331" s="4">
        <f t="shared" si="314"/>
        <v>41837.323009259257</v>
      </c>
      <c r="T3331" s="4">
        <f t="shared" si="315"/>
        <v>41847.958333333336</v>
      </c>
      <c r="U3331" s="5">
        <f>VLOOKUP(currency,Tables!$A$1:$C$14,3,FALSE)*pledged</f>
        <v>1541.76</v>
      </c>
    </row>
    <row r="3332" spans="1:21" ht="43.2" x14ac:dyDescent="0.55000000000000004">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16">
        <f t="shared" si="313"/>
        <v>23.10144927536232</v>
      </c>
      <c r="Q3332" t="str">
        <f t="shared" si="316"/>
        <v>theater</v>
      </c>
      <c r="R3332" t="str">
        <f t="shared" si="317"/>
        <v>plays</v>
      </c>
      <c r="S3332" s="4">
        <f t="shared" si="314"/>
        <v>42065.887361111112</v>
      </c>
      <c r="T3332" s="4">
        <f t="shared" si="315"/>
        <v>42095.845694444448</v>
      </c>
      <c r="U3332" s="5">
        <f>VLOOKUP(currency,Tables!$A$1:$C$14,3,FALSE)*pledged</f>
        <v>2104.08</v>
      </c>
    </row>
    <row r="3333" spans="1:21" ht="43.2" x14ac:dyDescent="0.55000000000000004">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16">
        <f t="shared" si="313"/>
        <v>80.400000000000006</v>
      </c>
      <c r="Q3333" t="str">
        <f t="shared" si="316"/>
        <v>theater</v>
      </c>
      <c r="R3333" t="str">
        <f t="shared" si="317"/>
        <v>plays</v>
      </c>
      <c r="S3333" s="4">
        <f t="shared" si="314"/>
        <v>42248.697754629626</v>
      </c>
      <c r="T3333" s="4">
        <f t="shared" si="315"/>
        <v>42283.697754629626</v>
      </c>
      <c r="U3333" s="5">
        <f>VLOOKUP(currency,Tables!$A$1:$C$14,3,FALSE)*pledged</f>
        <v>5226</v>
      </c>
    </row>
    <row r="3334" spans="1:21" ht="43.2" x14ac:dyDescent="0.55000000000000004">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312"/>
        <v>1</v>
      </c>
      <c r="P3334" s="16">
        <f t="shared" si="313"/>
        <v>72.289156626506028</v>
      </c>
      <c r="Q3334" t="str">
        <f t="shared" si="316"/>
        <v>theater</v>
      </c>
      <c r="R3334" t="str">
        <f t="shared" si="317"/>
        <v>plays</v>
      </c>
      <c r="S3334" s="4">
        <f t="shared" si="314"/>
        <v>41809.860300925924</v>
      </c>
      <c r="T3334" s="4">
        <f t="shared" si="315"/>
        <v>41839.860300925924</v>
      </c>
      <c r="U3334" s="5">
        <f>VLOOKUP(currency,Tables!$A$1:$C$14,3,FALSE)*pledged</f>
        <v>6000</v>
      </c>
    </row>
    <row r="3335" spans="1:21" ht="43.2" x14ac:dyDescent="0.55000000000000004">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16">
        <f t="shared" si="313"/>
        <v>32.972972972972975</v>
      </c>
      <c r="Q3335" t="str">
        <f t="shared" si="316"/>
        <v>theater</v>
      </c>
      <c r="R3335" t="str">
        <f t="shared" si="317"/>
        <v>plays</v>
      </c>
      <c r="S3335" s="4">
        <f t="shared" si="314"/>
        <v>42148.676851851851</v>
      </c>
      <c r="T3335" s="4">
        <f t="shared" si="315"/>
        <v>42170.676851851851</v>
      </c>
      <c r="U3335" s="5">
        <f>VLOOKUP(currency,Tables!$A$1:$C$14,3,FALSE)*pledged</f>
        <v>3660</v>
      </c>
    </row>
    <row r="3336" spans="1:21" ht="28.8" x14ac:dyDescent="0.55000000000000004">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16">
        <f t="shared" si="313"/>
        <v>116.65217391304348</v>
      </c>
      <c r="Q3336" t="str">
        <f t="shared" si="316"/>
        <v>theater</v>
      </c>
      <c r="R3336" t="str">
        <f t="shared" si="317"/>
        <v>plays</v>
      </c>
      <c r="S3336" s="4">
        <f t="shared" si="314"/>
        <v>42185.521087962959</v>
      </c>
      <c r="T3336" s="4">
        <f t="shared" si="315"/>
        <v>42215.521087962959</v>
      </c>
      <c r="U3336" s="5">
        <f>VLOOKUP(currency,Tables!$A$1:$C$14,3,FALSE)*pledged</f>
        <v>5366</v>
      </c>
    </row>
    <row r="3337" spans="1:21" ht="43.2" x14ac:dyDescent="0.55000000000000004">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16">
        <f t="shared" si="313"/>
        <v>79.61904761904762</v>
      </c>
      <c r="Q3337" t="str">
        <f t="shared" si="316"/>
        <v>theater</v>
      </c>
      <c r="R3337" t="str">
        <f t="shared" si="317"/>
        <v>plays</v>
      </c>
      <c r="S3337" s="4">
        <f t="shared" si="314"/>
        <v>41827.674143518518</v>
      </c>
      <c r="T3337" s="4">
        <f t="shared" si="315"/>
        <v>41854.958333333336</v>
      </c>
      <c r="U3337" s="5">
        <f>VLOOKUP(currency,Tables!$A$1:$C$14,3,FALSE)*pledged</f>
        <v>6621.12</v>
      </c>
    </row>
    <row r="3338" spans="1:21" ht="43.2" x14ac:dyDescent="0.55000000000000004">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312"/>
        <v>1</v>
      </c>
      <c r="P3338" s="16">
        <f t="shared" si="313"/>
        <v>27.777777777777779</v>
      </c>
      <c r="Q3338" t="str">
        <f t="shared" si="316"/>
        <v>theater</v>
      </c>
      <c r="R3338" t="str">
        <f t="shared" si="317"/>
        <v>plays</v>
      </c>
      <c r="S3338" s="4">
        <f t="shared" si="314"/>
        <v>42437.398680555561</v>
      </c>
      <c r="T3338" s="4">
        <f t="shared" si="315"/>
        <v>42465.35701388889</v>
      </c>
      <c r="U3338" s="5">
        <f>VLOOKUP(currency,Tables!$A$1:$C$14,3,FALSE)*pledged</f>
        <v>330</v>
      </c>
    </row>
    <row r="3339" spans="1:21" ht="43.2" x14ac:dyDescent="0.55000000000000004">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16">
        <f t="shared" si="313"/>
        <v>81.029411764705884</v>
      </c>
      <c r="Q3339" t="str">
        <f t="shared" si="316"/>
        <v>theater</v>
      </c>
      <c r="R3339" t="str">
        <f t="shared" si="317"/>
        <v>plays</v>
      </c>
      <c r="S3339" s="4">
        <f t="shared" si="314"/>
        <v>41901.282025462962</v>
      </c>
      <c r="T3339" s="4">
        <f t="shared" si="315"/>
        <v>41922.875</v>
      </c>
      <c r="U3339" s="5">
        <f>VLOOKUP(currency,Tables!$A$1:$C$14,3,FALSE)*pledged</f>
        <v>3636.6000000000004</v>
      </c>
    </row>
    <row r="3340" spans="1:21" ht="28.8" x14ac:dyDescent="0.55000000000000004">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16">
        <f t="shared" si="313"/>
        <v>136.84821428571428</v>
      </c>
      <c r="Q3340" t="str">
        <f t="shared" si="316"/>
        <v>theater</v>
      </c>
      <c r="R3340" t="str">
        <f t="shared" si="317"/>
        <v>plays</v>
      </c>
      <c r="S3340" s="4">
        <f t="shared" si="314"/>
        <v>42769.574999999997</v>
      </c>
      <c r="T3340" s="4">
        <f t="shared" si="315"/>
        <v>42790.574999999997</v>
      </c>
      <c r="U3340" s="5">
        <f>VLOOKUP(currency,Tables!$A$1:$C$14,3,FALSE)*pledged</f>
        <v>15327</v>
      </c>
    </row>
    <row r="3341" spans="1:21" ht="28.8" x14ac:dyDescent="0.55000000000000004">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16">
        <f t="shared" si="313"/>
        <v>177.61702127659575</v>
      </c>
      <c r="Q3341" t="str">
        <f t="shared" si="316"/>
        <v>theater</v>
      </c>
      <c r="R3341" t="str">
        <f t="shared" si="317"/>
        <v>plays</v>
      </c>
      <c r="S3341" s="4">
        <f t="shared" si="314"/>
        <v>42549.665717592594</v>
      </c>
      <c r="T3341" s="4">
        <f t="shared" si="315"/>
        <v>42579.665717592594</v>
      </c>
      <c r="U3341" s="5">
        <f>VLOOKUP(currency,Tables!$A$1:$C$14,3,FALSE)*pledged</f>
        <v>8348</v>
      </c>
    </row>
    <row r="3342" spans="1:21" ht="43.2" x14ac:dyDescent="0.55000000000000004">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16">
        <f t="shared" si="313"/>
        <v>109.07894736842105</v>
      </c>
      <c r="Q3342" t="str">
        <f t="shared" si="316"/>
        <v>theater</v>
      </c>
      <c r="R3342" t="str">
        <f t="shared" si="317"/>
        <v>plays</v>
      </c>
      <c r="S3342" s="4">
        <f t="shared" si="314"/>
        <v>42685.974004629628</v>
      </c>
      <c r="T3342" s="4">
        <f t="shared" si="315"/>
        <v>42710.974004629628</v>
      </c>
      <c r="U3342" s="5">
        <f>VLOOKUP(currency,Tables!$A$1:$C$14,3,FALSE)*pledged</f>
        <v>4145</v>
      </c>
    </row>
    <row r="3343" spans="1:21" ht="43.2" x14ac:dyDescent="0.55000000000000004">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312"/>
        <v>1</v>
      </c>
      <c r="P3343" s="16">
        <f t="shared" si="313"/>
        <v>119.64285714285714</v>
      </c>
      <c r="Q3343" t="str">
        <f t="shared" si="316"/>
        <v>theater</v>
      </c>
      <c r="R3343" t="str">
        <f t="shared" si="317"/>
        <v>plays</v>
      </c>
      <c r="S3343" s="4">
        <f t="shared" si="314"/>
        <v>42510.798854166671</v>
      </c>
      <c r="T3343" s="4">
        <f t="shared" si="315"/>
        <v>42533.708333333328</v>
      </c>
      <c r="U3343" s="5">
        <f>VLOOKUP(currency,Tables!$A$1:$C$14,3,FALSE)*pledged</f>
        <v>4422</v>
      </c>
    </row>
    <row r="3344" spans="1:21" ht="28.8" x14ac:dyDescent="0.55000000000000004">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16">
        <f t="shared" si="313"/>
        <v>78.205128205128204</v>
      </c>
      <c r="Q3344" t="str">
        <f t="shared" si="316"/>
        <v>theater</v>
      </c>
      <c r="R3344" t="str">
        <f t="shared" si="317"/>
        <v>plays</v>
      </c>
      <c r="S3344" s="4">
        <f t="shared" si="314"/>
        <v>42062.296412037031</v>
      </c>
      <c r="T3344" s="4">
        <f t="shared" si="315"/>
        <v>42095.207638888889</v>
      </c>
      <c r="U3344" s="5">
        <f>VLOOKUP(currency,Tables!$A$1:$C$14,3,FALSE)*pledged</f>
        <v>6100</v>
      </c>
    </row>
    <row r="3345" spans="1:21" ht="43.2" x14ac:dyDescent="0.55000000000000004">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16">
        <f t="shared" si="313"/>
        <v>52.173913043478258</v>
      </c>
      <c r="Q3345" t="str">
        <f t="shared" si="316"/>
        <v>theater</v>
      </c>
      <c r="R3345" t="str">
        <f t="shared" si="317"/>
        <v>plays</v>
      </c>
      <c r="S3345" s="4">
        <f t="shared" si="314"/>
        <v>42452.916481481487</v>
      </c>
      <c r="T3345" s="4">
        <f t="shared" si="315"/>
        <v>42473.554166666669</v>
      </c>
      <c r="U3345" s="5">
        <f>VLOOKUP(currency,Tables!$A$1:$C$14,3,FALSE)*pledged</f>
        <v>1584</v>
      </c>
    </row>
    <row r="3346" spans="1:21" ht="43.2" x14ac:dyDescent="0.55000000000000004">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16">
        <f t="shared" si="313"/>
        <v>114.125</v>
      </c>
      <c r="Q3346" t="str">
        <f t="shared" si="316"/>
        <v>theater</v>
      </c>
      <c r="R3346" t="str">
        <f t="shared" si="317"/>
        <v>plays</v>
      </c>
      <c r="S3346" s="4">
        <f t="shared" si="314"/>
        <v>41851.200150462959</v>
      </c>
      <c r="T3346" s="4">
        <f t="shared" si="315"/>
        <v>41881.200150462959</v>
      </c>
      <c r="U3346" s="5">
        <f>VLOOKUP(currency,Tables!$A$1:$C$14,3,FALSE)*pledged</f>
        <v>4565</v>
      </c>
    </row>
    <row r="3347" spans="1:21" ht="43.2" x14ac:dyDescent="0.55000000000000004">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312"/>
        <v>1.3</v>
      </c>
      <c r="P3347" s="16">
        <f t="shared" si="313"/>
        <v>50</v>
      </c>
      <c r="Q3347" t="str">
        <f t="shared" si="316"/>
        <v>theater</v>
      </c>
      <c r="R3347" t="str">
        <f t="shared" si="317"/>
        <v>plays</v>
      </c>
      <c r="S3347" s="4">
        <f t="shared" si="314"/>
        <v>42053.106111111112</v>
      </c>
      <c r="T3347" s="4">
        <f t="shared" si="315"/>
        <v>42112.025694444441</v>
      </c>
      <c r="U3347" s="5">
        <f>VLOOKUP(currency,Tables!$A$1:$C$14,3,FALSE)*pledged</f>
        <v>650</v>
      </c>
    </row>
    <row r="3348" spans="1:21" ht="43.2" x14ac:dyDescent="0.55000000000000004">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16">
        <f t="shared" si="313"/>
        <v>91.666666666666671</v>
      </c>
      <c r="Q3348" t="str">
        <f t="shared" si="316"/>
        <v>theater</v>
      </c>
      <c r="R3348" t="str">
        <f t="shared" si="317"/>
        <v>plays</v>
      </c>
      <c r="S3348" s="4">
        <f t="shared" si="314"/>
        <v>42054.024421296301</v>
      </c>
      <c r="T3348" s="4">
        <f t="shared" si="315"/>
        <v>42061.024421296301</v>
      </c>
      <c r="U3348" s="5">
        <f>VLOOKUP(currency,Tables!$A$1:$C$14,3,FALSE)*pledged</f>
        <v>1650</v>
      </c>
    </row>
    <row r="3349" spans="1:21" ht="43.2" x14ac:dyDescent="0.55000000000000004">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16">
        <f t="shared" si="313"/>
        <v>108.59090909090909</v>
      </c>
      <c r="Q3349" t="str">
        <f t="shared" si="316"/>
        <v>theater</v>
      </c>
      <c r="R3349" t="str">
        <f t="shared" si="317"/>
        <v>plays</v>
      </c>
      <c r="S3349" s="4">
        <f t="shared" si="314"/>
        <v>42484.551550925928</v>
      </c>
      <c r="T3349" s="4">
        <f t="shared" si="315"/>
        <v>42498.875</v>
      </c>
      <c r="U3349" s="5">
        <f>VLOOKUP(currency,Tables!$A$1:$C$14,3,FALSE)*pledged</f>
        <v>3153.48</v>
      </c>
    </row>
    <row r="3350" spans="1:21" ht="43.2" x14ac:dyDescent="0.55000000000000004">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16">
        <f t="shared" si="313"/>
        <v>69.822784810126578</v>
      </c>
      <c r="Q3350" t="str">
        <f t="shared" si="316"/>
        <v>theater</v>
      </c>
      <c r="R3350" t="str">
        <f t="shared" si="317"/>
        <v>plays</v>
      </c>
      <c r="S3350" s="4">
        <f t="shared" si="314"/>
        <v>42466.558796296296</v>
      </c>
      <c r="T3350" s="4">
        <f t="shared" si="315"/>
        <v>42490.165972222225</v>
      </c>
      <c r="U3350" s="5">
        <f>VLOOKUP(currency,Tables!$A$1:$C$14,3,FALSE)*pledged</f>
        <v>5516</v>
      </c>
    </row>
    <row r="3351" spans="1:21" ht="43.2" x14ac:dyDescent="0.55000000000000004">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16">
        <f t="shared" si="313"/>
        <v>109.57142857142857</v>
      </c>
      <c r="Q3351" t="str">
        <f t="shared" si="316"/>
        <v>theater</v>
      </c>
      <c r="R3351" t="str">
        <f t="shared" si="317"/>
        <v>plays</v>
      </c>
      <c r="S3351" s="4">
        <f t="shared" si="314"/>
        <v>42513.110787037032</v>
      </c>
      <c r="T3351" s="4">
        <f t="shared" si="315"/>
        <v>42534.708333333328</v>
      </c>
      <c r="U3351" s="5">
        <f>VLOOKUP(currency,Tables!$A$1:$C$14,3,FALSE)*pledged</f>
        <v>1534</v>
      </c>
    </row>
    <row r="3352" spans="1:21" ht="43.2" x14ac:dyDescent="0.55000000000000004">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16">
        <f t="shared" si="313"/>
        <v>71.666666666666671</v>
      </c>
      <c r="Q3352" t="str">
        <f t="shared" si="316"/>
        <v>theater</v>
      </c>
      <c r="R3352" t="str">
        <f t="shared" si="317"/>
        <v>plays</v>
      </c>
      <c r="S3352" s="4">
        <f t="shared" si="314"/>
        <v>42302.701516203699</v>
      </c>
      <c r="T3352" s="4">
        <f t="shared" si="315"/>
        <v>42337.958333333328</v>
      </c>
      <c r="U3352" s="5">
        <f>VLOOKUP(currency,Tables!$A$1:$C$14,3,FALSE)*pledged</f>
        <v>4312.8999999999996</v>
      </c>
    </row>
    <row r="3353" spans="1:21" ht="43.2" x14ac:dyDescent="0.55000000000000004">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16">
        <f t="shared" si="313"/>
        <v>93.611111111111114</v>
      </c>
      <c r="Q3353" t="str">
        <f t="shared" si="316"/>
        <v>theater</v>
      </c>
      <c r="R3353" t="str">
        <f t="shared" si="317"/>
        <v>plays</v>
      </c>
      <c r="S3353" s="4">
        <f t="shared" si="314"/>
        <v>41806.395428240743</v>
      </c>
      <c r="T3353" s="4">
        <f t="shared" si="315"/>
        <v>41843.458333333336</v>
      </c>
      <c r="U3353" s="5">
        <f>VLOOKUP(currency,Tables!$A$1:$C$14,3,FALSE)*pledged</f>
        <v>6672.6</v>
      </c>
    </row>
    <row r="3354" spans="1:21" ht="43.2" x14ac:dyDescent="0.55000000000000004">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16">
        <f t="shared" si="313"/>
        <v>76.8</v>
      </c>
      <c r="Q3354" t="str">
        <f t="shared" si="316"/>
        <v>theater</v>
      </c>
      <c r="R3354" t="str">
        <f t="shared" si="317"/>
        <v>plays</v>
      </c>
      <c r="S3354" s="4">
        <f t="shared" si="314"/>
        <v>42495.992800925931</v>
      </c>
      <c r="T3354" s="4">
        <f t="shared" si="315"/>
        <v>42552.958333333328</v>
      </c>
      <c r="U3354" s="5">
        <f>VLOOKUP(currency,Tables!$A$1:$C$14,3,FALSE)*pledged</f>
        <v>7096.3200000000006</v>
      </c>
    </row>
    <row r="3355" spans="1:21" ht="43.2" x14ac:dyDescent="0.55000000000000004">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312"/>
        <v>3.15</v>
      </c>
      <c r="P3355" s="16">
        <f t="shared" si="313"/>
        <v>35.795454545454547</v>
      </c>
      <c r="Q3355" t="str">
        <f t="shared" si="316"/>
        <v>theater</v>
      </c>
      <c r="R3355" t="str">
        <f t="shared" si="317"/>
        <v>plays</v>
      </c>
      <c r="S3355" s="4">
        <f t="shared" si="314"/>
        <v>42479.432291666672</v>
      </c>
      <c r="T3355" s="4">
        <f t="shared" si="315"/>
        <v>42492.958333333328</v>
      </c>
      <c r="U3355" s="5">
        <f>VLOOKUP(currency,Tables!$A$1:$C$14,3,FALSE)*pledged</f>
        <v>2079</v>
      </c>
    </row>
    <row r="3356" spans="1:21" ht="28.8" x14ac:dyDescent="0.55000000000000004">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16">
        <f t="shared" si="313"/>
        <v>55.6</v>
      </c>
      <c r="Q3356" t="str">
        <f t="shared" si="316"/>
        <v>theater</v>
      </c>
      <c r="R3356" t="str">
        <f t="shared" si="317"/>
        <v>plays</v>
      </c>
      <c r="S3356" s="4">
        <f t="shared" si="314"/>
        <v>42270.7269212963</v>
      </c>
      <c r="T3356" s="4">
        <f t="shared" si="315"/>
        <v>42306.167361111111</v>
      </c>
      <c r="U3356" s="5">
        <f>VLOOKUP(currency,Tables!$A$1:$C$14,3,FALSE)*pledged</f>
        <v>3058</v>
      </c>
    </row>
    <row r="3357" spans="1:21" ht="43.2" x14ac:dyDescent="0.55000000000000004">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16">
        <f t="shared" si="313"/>
        <v>147.33333333333334</v>
      </c>
      <c r="Q3357" t="str">
        <f t="shared" si="316"/>
        <v>theater</v>
      </c>
      <c r="R3357" t="str">
        <f t="shared" si="317"/>
        <v>plays</v>
      </c>
      <c r="S3357" s="4">
        <f t="shared" si="314"/>
        <v>42489.619525462964</v>
      </c>
      <c r="T3357" s="4">
        <f t="shared" si="315"/>
        <v>42500.470138888893</v>
      </c>
      <c r="U3357" s="5">
        <f>VLOOKUP(currency,Tables!$A$1:$C$14,3,FALSE)*pledged</f>
        <v>2917.2000000000003</v>
      </c>
    </row>
    <row r="3358" spans="1:21" ht="43.2" x14ac:dyDescent="0.55000000000000004">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16">
        <f t="shared" si="313"/>
        <v>56.333333333333336</v>
      </c>
      <c r="Q3358" t="str">
        <f t="shared" si="316"/>
        <v>theater</v>
      </c>
      <c r="R3358" t="str">
        <f t="shared" si="317"/>
        <v>plays</v>
      </c>
      <c r="S3358" s="4">
        <f t="shared" si="314"/>
        <v>42536.815648148149</v>
      </c>
      <c r="T3358" s="4">
        <f t="shared" si="315"/>
        <v>42566.815648148149</v>
      </c>
      <c r="U3358" s="5">
        <f>VLOOKUP(currency,Tables!$A$1:$C$14,3,FALSE)*pledged</f>
        <v>2007.72</v>
      </c>
    </row>
    <row r="3359" spans="1:21" ht="43.2" x14ac:dyDescent="0.55000000000000004">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312"/>
        <v>1.01</v>
      </c>
      <c r="P3359" s="16">
        <f t="shared" si="313"/>
        <v>96.19047619047619</v>
      </c>
      <c r="Q3359" t="str">
        <f t="shared" si="316"/>
        <v>theater</v>
      </c>
      <c r="R3359" t="str">
        <f t="shared" si="317"/>
        <v>plays</v>
      </c>
      <c r="S3359" s="4">
        <f t="shared" si="314"/>
        <v>41822.417939814812</v>
      </c>
      <c r="T3359" s="4">
        <f t="shared" si="315"/>
        <v>41852.417939814812</v>
      </c>
      <c r="U3359" s="5">
        <f>VLOOKUP(currency,Tables!$A$1:$C$14,3,FALSE)*pledged</f>
        <v>2666.4</v>
      </c>
    </row>
    <row r="3360" spans="1:21" ht="43.2" x14ac:dyDescent="0.55000000000000004">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16">
        <f t="shared" si="313"/>
        <v>63.574074074074076</v>
      </c>
      <c r="Q3360" t="str">
        <f t="shared" si="316"/>
        <v>theater</v>
      </c>
      <c r="R3360" t="str">
        <f t="shared" si="317"/>
        <v>plays</v>
      </c>
      <c r="S3360" s="4">
        <f t="shared" si="314"/>
        <v>41932.311099537037</v>
      </c>
      <c r="T3360" s="4">
        <f t="shared" si="315"/>
        <v>41962.352766203709</v>
      </c>
      <c r="U3360" s="5">
        <f>VLOOKUP(currency,Tables!$A$1:$C$14,3,FALSE)*pledged</f>
        <v>10299</v>
      </c>
    </row>
    <row r="3361" spans="1:21" ht="28.8" x14ac:dyDescent="0.55000000000000004">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16">
        <f t="shared" si="313"/>
        <v>184.78260869565219</v>
      </c>
      <c r="Q3361" t="str">
        <f t="shared" si="316"/>
        <v>theater</v>
      </c>
      <c r="R3361" t="str">
        <f t="shared" si="317"/>
        <v>plays</v>
      </c>
      <c r="S3361" s="4">
        <f t="shared" si="314"/>
        <v>42746.057106481487</v>
      </c>
      <c r="T3361" s="4">
        <f t="shared" si="315"/>
        <v>42791.057106481487</v>
      </c>
      <c r="U3361" s="5">
        <f>VLOOKUP(currency,Tables!$A$1:$C$14,3,FALSE)*pledged</f>
        <v>4250</v>
      </c>
    </row>
    <row r="3362" spans="1:21" ht="28.8" x14ac:dyDescent="0.55000000000000004">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16">
        <f t="shared" si="313"/>
        <v>126.72222222222223</v>
      </c>
      <c r="Q3362" t="str">
        <f t="shared" si="316"/>
        <v>theater</v>
      </c>
      <c r="R3362" t="str">
        <f t="shared" si="317"/>
        <v>plays</v>
      </c>
      <c r="S3362" s="4">
        <f t="shared" si="314"/>
        <v>42697.082673611112</v>
      </c>
      <c r="T3362" s="4">
        <f t="shared" si="315"/>
        <v>42718.665972222225</v>
      </c>
      <c r="U3362" s="5">
        <f>VLOOKUP(currency,Tables!$A$1:$C$14,3,FALSE)*pledged</f>
        <v>6660.5199999999995</v>
      </c>
    </row>
    <row r="3363" spans="1:21" ht="43.2" x14ac:dyDescent="0.55000000000000004">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16">
        <f t="shared" si="313"/>
        <v>83.42647058823529</v>
      </c>
      <c r="Q3363" t="str">
        <f t="shared" si="316"/>
        <v>theater</v>
      </c>
      <c r="R3363" t="str">
        <f t="shared" si="317"/>
        <v>plays</v>
      </c>
      <c r="S3363" s="4">
        <f t="shared" si="314"/>
        <v>41866.025347222225</v>
      </c>
      <c r="T3363" s="4">
        <f t="shared" si="315"/>
        <v>41883.665972222225</v>
      </c>
      <c r="U3363" s="5">
        <f>VLOOKUP(currency,Tables!$A$1:$C$14,3,FALSE)*pledged</f>
        <v>5673</v>
      </c>
    </row>
    <row r="3364" spans="1:21" ht="43.2" x14ac:dyDescent="0.55000000000000004">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16">
        <f t="shared" si="313"/>
        <v>54.5</v>
      </c>
      <c r="Q3364" t="str">
        <f t="shared" si="316"/>
        <v>theater</v>
      </c>
      <c r="R3364" t="str">
        <f t="shared" si="317"/>
        <v>plays</v>
      </c>
      <c r="S3364" s="4">
        <f t="shared" si="314"/>
        <v>42056.091631944444</v>
      </c>
      <c r="T3364" s="4">
        <f t="shared" si="315"/>
        <v>42070.204861111109</v>
      </c>
      <c r="U3364" s="5">
        <f>VLOOKUP(currency,Tables!$A$1:$C$14,3,FALSE)*pledged</f>
        <v>1090</v>
      </c>
    </row>
    <row r="3365" spans="1:21" ht="43.2" x14ac:dyDescent="0.55000000000000004">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16">
        <f t="shared" si="313"/>
        <v>302.30769230769232</v>
      </c>
      <c r="Q3365" t="str">
        <f t="shared" si="316"/>
        <v>theater</v>
      </c>
      <c r="R3365" t="str">
        <f t="shared" si="317"/>
        <v>plays</v>
      </c>
      <c r="S3365" s="4">
        <f t="shared" si="314"/>
        <v>41851.771354166667</v>
      </c>
      <c r="T3365" s="4">
        <f t="shared" si="315"/>
        <v>41870.666666666664</v>
      </c>
      <c r="U3365" s="5">
        <f>VLOOKUP(currency,Tables!$A$1:$C$14,3,FALSE)*pledged</f>
        <v>7860</v>
      </c>
    </row>
    <row r="3366" spans="1:21" ht="43.2" x14ac:dyDescent="0.55000000000000004">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16">
        <f t="shared" si="313"/>
        <v>44.138888888888886</v>
      </c>
      <c r="Q3366" t="str">
        <f t="shared" si="316"/>
        <v>theater</v>
      </c>
      <c r="R3366" t="str">
        <f t="shared" si="317"/>
        <v>plays</v>
      </c>
      <c r="S3366" s="4">
        <f t="shared" si="314"/>
        <v>42422.977418981478</v>
      </c>
      <c r="T3366" s="4">
        <f t="shared" si="315"/>
        <v>42444.875</v>
      </c>
      <c r="U3366" s="5">
        <f>VLOOKUP(currency,Tables!$A$1:$C$14,3,FALSE)*pledged</f>
        <v>4194.96</v>
      </c>
    </row>
    <row r="3367" spans="1:21" ht="43.2" x14ac:dyDescent="0.55000000000000004">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312"/>
        <v>1.04</v>
      </c>
      <c r="P3367" s="16">
        <f t="shared" si="313"/>
        <v>866.66666666666663</v>
      </c>
      <c r="Q3367" t="str">
        <f t="shared" si="316"/>
        <v>theater</v>
      </c>
      <c r="R3367" t="str">
        <f t="shared" si="317"/>
        <v>plays</v>
      </c>
      <c r="S3367" s="4">
        <f t="shared" si="314"/>
        <v>42321.101759259262</v>
      </c>
      <c r="T3367" s="4">
        <f t="shared" si="315"/>
        <v>42351.101759259262</v>
      </c>
      <c r="U3367" s="5">
        <f>VLOOKUP(currency,Tables!$A$1:$C$14,3,FALSE)*pledged</f>
        <v>2600</v>
      </c>
    </row>
    <row r="3368" spans="1:21" ht="43.2" x14ac:dyDescent="0.55000000000000004">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312"/>
        <v>2.21</v>
      </c>
      <c r="P3368" s="16">
        <f t="shared" si="313"/>
        <v>61.388888888888886</v>
      </c>
      <c r="Q3368" t="str">
        <f t="shared" si="316"/>
        <v>theater</v>
      </c>
      <c r="R3368" t="str">
        <f t="shared" si="317"/>
        <v>plays</v>
      </c>
      <c r="S3368" s="4">
        <f t="shared" si="314"/>
        <v>42107.067557870367</v>
      </c>
      <c r="T3368" s="4">
        <f t="shared" si="315"/>
        <v>42137.067557870367</v>
      </c>
      <c r="U3368" s="5">
        <f>VLOOKUP(currency,Tables!$A$1:$C$14,3,FALSE)*pledged</f>
        <v>1105</v>
      </c>
    </row>
    <row r="3369" spans="1:21" ht="43.2" x14ac:dyDescent="0.55000000000000004">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16">
        <f t="shared" si="313"/>
        <v>29.666666666666668</v>
      </c>
      <c r="Q3369" t="str">
        <f t="shared" si="316"/>
        <v>theater</v>
      </c>
      <c r="R3369" t="str">
        <f t="shared" si="317"/>
        <v>plays</v>
      </c>
      <c r="S3369" s="4">
        <f t="shared" si="314"/>
        <v>42192.933958333335</v>
      </c>
      <c r="T3369" s="4">
        <f t="shared" si="315"/>
        <v>42217.933958333335</v>
      </c>
      <c r="U3369" s="5">
        <f>VLOOKUP(currency,Tables!$A$1:$C$14,3,FALSE)*pledged</f>
        <v>1174.8</v>
      </c>
    </row>
    <row r="3370" spans="1:21" ht="43.2" x14ac:dyDescent="0.55000000000000004">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16">
        <f t="shared" si="313"/>
        <v>45.478260869565219</v>
      </c>
      <c r="Q3370" t="str">
        <f t="shared" si="316"/>
        <v>theater</v>
      </c>
      <c r="R3370" t="str">
        <f t="shared" si="317"/>
        <v>plays</v>
      </c>
      <c r="S3370" s="4">
        <f t="shared" si="314"/>
        <v>41969.199756944443</v>
      </c>
      <c r="T3370" s="4">
        <f t="shared" si="315"/>
        <v>42005.208333333328</v>
      </c>
      <c r="U3370" s="5">
        <f>VLOOKUP(currency,Tables!$A$1:$C$14,3,FALSE)*pledged</f>
        <v>1046</v>
      </c>
    </row>
    <row r="3371" spans="1:21" ht="43.2" x14ac:dyDescent="0.55000000000000004">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16">
        <f t="shared" si="313"/>
        <v>96.203703703703709</v>
      </c>
      <c r="Q3371" t="str">
        <f t="shared" si="316"/>
        <v>theater</v>
      </c>
      <c r="R3371" t="str">
        <f t="shared" si="317"/>
        <v>plays</v>
      </c>
      <c r="S3371" s="4">
        <f t="shared" si="314"/>
        <v>42690.041435185187</v>
      </c>
      <c r="T3371" s="4">
        <f t="shared" si="315"/>
        <v>42750.041435185187</v>
      </c>
      <c r="U3371" s="5">
        <f>VLOOKUP(currency,Tables!$A$1:$C$14,3,FALSE)*pledged</f>
        <v>6130.0999999999995</v>
      </c>
    </row>
    <row r="3372" spans="1:21" ht="28.8" x14ac:dyDescent="0.55000000000000004">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16">
        <f t="shared" si="313"/>
        <v>67.92307692307692</v>
      </c>
      <c r="Q3372" t="str">
        <f t="shared" si="316"/>
        <v>theater</v>
      </c>
      <c r="R3372" t="str">
        <f t="shared" si="317"/>
        <v>plays</v>
      </c>
      <c r="S3372" s="4">
        <f t="shared" si="314"/>
        <v>42690.334317129629</v>
      </c>
      <c r="T3372" s="4">
        <f t="shared" si="315"/>
        <v>42721.333333333328</v>
      </c>
      <c r="U3372" s="5">
        <f>VLOOKUP(currency,Tables!$A$1:$C$14,3,FALSE)*pledged</f>
        <v>1766</v>
      </c>
    </row>
    <row r="3373" spans="1:21" ht="28.8" x14ac:dyDescent="0.55000000000000004">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312"/>
        <v>1.385</v>
      </c>
      <c r="P3373" s="16">
        <f t="shared" si="313"/>
        <v>30.777777777777779</v>
      </c>
      <c r="Q3373" t="str">
        <f t="shared" si="316"/>
        <v>theater</v>
      </c>
      <c r="R3373" t="str">
        <f t="shared" si="317"/>
        <v>plays</v>
      </c>
      <c r="S3373" s="4">
        <f t="shared" si="314"/>
        <v>42312.874594907407</v>
      </c>
      <c r="T3373" s="4">
        <f t="shared" si="315"/>
        <v>42340.874594907407</v>
      </c>
      <c r="U3373" s="5">
        <f>VLOOKUP(currency,Tables!$A$1:$C$14,3,FALSE)*pledged</f>
        <v>277</v>
      </c>
    </row>
    <row r="3374" spans="1:21" ht="43.2" x14ac:dyDescent="0.55000000000000004">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16">
        <f t="shared" si="313"/>
        <v>38.333333333333336</v>
      </c>
      <c r="Q3374" t="str">
        <f t="shared" si="316"/>
        <v>theater</v>
      </c>
      <c r="R3374" t="str">
        <f t="shared" si="317"/>
        <v>plays</v>
      </c>
      <c r="S3374" s="4">
        <f t="shared" si="314"/>
        <v>41855.548101851848</v>
      </c>
      <c r="T3374" s="4">
        <f t="shared" si="315"/>
        <v>41876.207638888889</v>
      </c>
      <c r="U3374" s="5">
        <f>VLOOKUP(currency,Tables!$A$1:$C$14,3,FALSE)*pledged</f>
        <v>1035</v>
      </c>
    </row>
    <row r="3375" spans="1:21" ht="43.2" x14ac:dyDescent="0.55000000000000004">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16">
        <f t="shared" si="313"/>
        <v>66.833333333333329</v>
      </c>
      <c r="Q3375" t="str">
        <f t="shared" si="316"/>
        <v>theater</v>
      </c>
      <c r="R3375" t="str">
        <f t="shared" si="317"/>
        <v>plays</v>
      </c>
      <c r="S3375" s="4">
        <f t="shared" si="314"/>
        <v>42179.854629629626</v>
      </c>
      <c r="T3375" s="4">
        <f t="shared" si="315"/>
        <v>42203.666666666672</v>
      </c>
      <c r="U3375" s="5">
        <f>VLOOKUP(currency,Tables!$A$1:$C$14,3,FALSE)*pledged</f>
        <v>2646.6</v>
      </c>
    </row>
    <row r="3376" spans="1:21" ht="43.2" x14ac:dyDescent="0.55000000000000004">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16">
        <f t="shared" si="313"/>
        <v>71.730769230769226</v>
      </c>
      <c r="Q3376" t="str">
        <f t="shared" si="316"/>
        <v>theater</v>
      </c>
      <c r="R3376" t="str">
        <f t="shared" si="317"/>
        <v>plays</v>
      </c>
      <c r="S3376" s="4">
        <f t="shared" si="314"/>
        <v>42275.731666666667</v>
      </c>
      <c r="T3376" s="4">
        <f t="shared" si="315"/>
        <v>42305.731666666667</v>
      </c>
      <c r="U3376" s="5">
        <f>VLOOKUP(currency,Tables!$A$1:$C$14,3,FALSE)*pledged</f>
        <v>2834.8</v>
      </c>
    </row>
    <row r="3377" spans="1:21" ht="43.2" x14ac:dyDescent="0.55000000000000004">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312"/>
        <v>1</v>
      </c>
      <c r="P3377" s="16">
        <f t="shared" si="313"/>
        <v>176.47058823529412</v>
      </c>
      <c r="Q3377" t="str">
        <f t="shared" si="316"/>
        <v>theater</v>
      </c>
      <c r="R3377" t="str">
        <f t="shared" si="317"/>
        <v>plays</v>
      </c>
      <c r="S3377" s="4">
        <f t="shared" si="314"/>
        <v>41765.610798611109</v>
      </c>
      <c r="T3377" s="4">
        <f t="shared" si="315"/>
        <v>41777.610798611109</v>
      </c>
      <c r="U3377" s="5">
        <f>VLOOKUP(currency,Tables!$A$1:$C$14,3,FALSE)*pledged</f>
        <v>3960</v>
      </c>
    </row>
    <row r="3378" spans="1:21" ht="43.2" x14ac:dyDescent="0.55000000000000004">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16">
        <f t="shared" si="313"/>
        <v>421.10526315789474</v>
      </c>
      <c r="Q3378" t="str">
        <f t="shared" si="316"/>
        <v>theater</v>
      </c>
      <c r="R3378" t="str">
        <f t="shared" si="317"/>
        <v>plays</v>
      </c>
      <c r="S3378" s="4">
        <f t="shared" si="314"/>
        <v>42059.701319444444</v>
      </c>
      <c r="T3378" s="4">
        <f t="shared" si="315"/>
        <v>42119.659652777773</v>
      </c>
      <c r="U3378" s="5">
        <f>VLOOKUP(currency,Tables!$A$1:$C$14,3,FALSE)*pledged</f>
        <v>8001</v>
      </c>
    </row>
    <row r="3379" spans="1:21" ht="43.2" x14ac:dyDescent="0.55000000000000004">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16">
        <f t="shared" si="313"/>
        <v>104.98701298701299</v>
      </c>
      <c r="Q3379" t="str">
        <f t="shared" si="316"/>
        <v>theater</v>
      </c>
      <c r="R3379" t="str">
        <f t="shared" si="317"/>
        <v>plays</v>
      </c>
      <c r="S3379" s="4">
        <f t="shared" si="314"/>
        <v>42053.732627314821</v>
      </c>
      <c r="T3379" s="4">
        <f t="shared" si="315"/>
        <v>42083.705555555556</v>
      </c>
      <c r="U3379" s="5">
        <f>VLOOKUP(currency,Tables!$A$1:$C$14,3,FALSE)*pledged</f>
        <v>10670.880000000001</v>
      </c>
    </row>
    <row r="3380" spans="1:21" ht="43.2" x14ac:dyDescent="0.55000000000000004">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16">
        <f t="shared" si="313"/>
        <v>28.19047619047619</v>
      </c>
      <c r="Q3380" t="str">
        <f t="shared" si="316"/>
        <v>theater</v>
      </c>
      <c r="R3380" t="str">
        <f t="shared" si="317"/>
        <v>plays</v>
      </c>
      <c r="S3380" s="4">
        <f t="shared" si="314"/>
        <v>41858.355393518519</v>
      </c>
      <c r="T3380" s="4">
        <f t="shared" si="315"/>
        <v>41882.547222222223</v>
      </c>
      <c r="U3380" s="5">
        <f>VLOOKUP(currency,Tables!$A$1:$C$14,3,FALSE)*pledged</f>
        <v>781.44</v>
      </c>
    </row>
    <row r="3381" spans="1:21" ht="43.2" x14ac:dyDescent="0.55000000000000004">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16">
        <f t="shared" si="313"/>
        <v>54.55263157894737</v>
      </c>
      <c r="Q3381" t="str">
        <f t="shared" si="316"/>
        <v>theater</v>
      </c>
      <c r="R3381" t="str">
        <f t="shared" si="317"/>
        <v>plays</v>
      </c>
      <c r="S3381" s="4">
        <f t="shared" si="314"/>
        <v>42225.513888888891</v>
      </c>
      <c r="T3381" s="4">
        <f t="shared" si="315"/>
        <v>42242.958333333328</v>
      </c>
      <c r="U3381" s="5">
        <f>VLOOKUP(currency,Tables!$A$1:$C$14,3,FALSE)*pledged</f>
        <v>2736.36</v>
      </c>
    </row>
    <row r="3382" spans="1:21" ht="43.2" x14ac:dyDescent="0.55000000000000004">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16">
        <f t="shared" si="313"/>
        <v>111.89285714285714</v>
      </c>
      <c r="Q3382" t="str">
        <f t="shared" si="316"/>
        <v>theater</v>
      </c>
      <c r="R3382" t="str">
        <f t="shared" si="317"/>
        <v>plays</v>
      </c>
      <c r="S3382" s="4">
        <f t="shared" si="314"/>
        <v>41937.95344907407</v>
      </c>
      <c r="T3382" s="4">
        <f t="shared" si="315"/>
        <v>41972.995115740734</v>
      </c>
      <c r="U3382" s="5">
        <f>VLOOKUP(currency,Tables!$A$1:$C$14,3,FALSE)*pledged</f>
        <v>3133</v>
      </c>
    </row>
    <row r="3383" spans="1:21" ht="43.2" x14ac:dyDescent="0.55000000000000004">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16">
        <f t="shared" si="313"/>
        <v>85.208333333333329</v>
      </c>
      <c r="Q3383" t="str">
        <f t="shared" si="316"/>
        <v>theater</v>
      </c>
      <c r="R3383" t="str">
        <f t="shared" si="317"/>
        <v>plays</v>
      </c>
      <c r="S3383" s="4">
        <f t="shared" si="314"/>
        <v>42044.184988425928</v>
      </c>
      <c r="T3383" s="4">
        <f t="shared" si="315"/>
        <v>42074.143321759257</v>
      </c>
      <c r="U3383" s="5">
        <f>VLOOKUP(currency,Tables!$A$1:$C$14,3,FALSE)*pledged</f>
        <v>4090</v>
      </c>
    </row>
    <row r="3384" spans="1:21" ht="43.2" x14ac:dyDescent="0.55000000000000004">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16">
        <f t="shared" si="313"/>
        <v>76.652173913043484</v>
      </c>
      <c r="Q3384" t="str">
        <f t="shared" si="316"/>
        <v>theater</v>
      </c>
      <c r="R3384" t="str">
        <f t="shared" si="317"/>
        <v>plays</v>
      </c>
      <c r="S3384" s="4">
        <f t="shared" si="314"/>
        <v>42559.431203703702</v>
      </c>
      <c r="T3384" s="4">
        <f t="shared" si="315"/>
        <v>42583.957638888889</v>
      </c>
      <c r="U3384" s="5">
        <f>VLOOKUP(currency,Tables!$A$1:$C$14,3,FALSE)*pledged</f>
        <v>4654.3200000000006</v>
      </c>
    </row>
    <row r="3385" spans="1:21" ht="43.2" x14ac:dyDescent="0.55000000000000004">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16">
        <f t="shared" si="313"/>
        <v>65.166666666666671</v>
      </c>
      <c r="Q3385" t="str">
        <f t="shared" si="316"/>
        <v>theater</v>
      </c>
      <c r="R3385" t="str">
        <f t="shared" si="317"/>
        <v>plays</v>
      </c>
      <c r="S3385" s="4">
        <f t="shared" si="314"/>
        <v>42524.782638888893</v>
      </c>
      <c r="T3385" s="4">
        <f t="shared" si="315"/>
        <v>42544.782638888893</v>
      </c>
      <c r="U3385" s="5">
        <f>VLOOKUP(currency,Tables!$A$1:$C$14,3,FALSE)*pledged</f>
        <v>1955</v>
      </c>
    </row>
    <row r="3386" spans="1:21" ht="43.2" x14ac:dyDescent="0.55000000000000004">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16">
        <f t="shared" si="313"/>
        <v>93.760312499999998</v>
      </c>
      <c r="Q3386" t="str">
        <f t="shared" si="316"/>
        <v>theater</v>
      </c>
      <c r="R3386" t="str">
        <f t="shared" si="317"/>
        <v>plays</v>
      </c>
      <c r="S3386" s="4">
        <f t="shared" si="314"/>
        <v>42292.087592592594</v>
      </c>
      <c r="T3386" s="4">
        <f t="shared" si="315"/>
        <v>42329.125</v>
      </c>
      <c r="U3386" s="5">
        <f>VLOOKUP(currency,Tables!$A$1:$C$14,3,FALSE)*pledged</f>
        <v>6000.66</v>
      </c>
    </row>
    <row r="3387" spans="1:21" ht="43.2" x14ac:dyDescent="0.55000000000000004">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312"/>
        <v>1</v>
      </c>
      <c r="P3387" s="16">
        <f t="shared" si="313"/>
        <v>133.33333333333334</v>
      </c>
      <c r="Q3387" t="str">
        <f t="shared" si="316"/>
        <v>theater</v>
      </c>
      <c r="R3387" t="str">
        <f t="shared" si="317"/>
        <v>plays</v>
      </c>
      <c r="S3387" s="4">
        <f t="shared" si="314"/>
        <v>41953.8675</v>
      </c>
      <c r="T3387" s="4">
        <f t="shared" si="315"/>
        <v>41983.8675</v>
      </c>
      <c r="U3387" s="5">
        <f>VLOOKUP(currency,Tables!$A$1:$C$14,3,FALSE)*pledged</f>
        <v>2000</v>
      </c>
    </row>
    <row r="3388" spans="1:21" ht="43.2" x14ac:dyDescent="0.55000000000000004">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312"/>
        <v>1.05</v>
      </c>
      <c r="P3388" s="16">
        <f t="shared" si="313"/>
        <v>51.219512195121951</v>
      </c>
      <c r="Q3388" t="str">
        <f t="shared" si="316"/>
        <v>theater</v>
      </c>
      <c r="R3388" t="str">
        <f t="shared" si="317"/>
        <v>plays</v>
      </c>
      <c r="S3388" s="4">
        <f t="shared" si="314"/>
        <v>41946.644745370373</v>
      </c>
      <c r="T3388" s="4">
        <f t="shared" si="315"/>
        <v>41976.644745370373</v>
      </c>
      <c r="U3388" s="5">
        <f>VLOOKUP(currency,Tables!$A$1:$C$14,3,FALSE)*pledged</f>
        <v>2100</v>
      </c>
    </row>
    <row r="3389" spans="1:21" ht="43.2" x14ac:dyDescent="0.55000000000000004">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16">
        <f t="shared" si="313"/>
        <v>100.17142857142858</v>
      </c>
      <c r="Q3389" t="str">
        <f t="shared" si="316"/>
        <v>theater</v>
      </c>
      <c r="R3389" t="str">
        <f t="shared" si="317"/>
        <v>plays</v>
      </c>
      <c r="S3389" s="4">
        <f t="shared" si="314"/>
        <v>41947.762592592589</v>
      </c>
      <c r="T3389" s="4">
        <f t="shared" si="315"/>
        <v>41987.762592592597</v>
      </c>
      <c r="U3389" s="5">
        <f>VLOOKUP(currency,Tables!$A$1:$C$14,3,FALSE)*pledged</f>
        <v>3506</v>
      </c>
    </row>
    <row r="3390" spans="1:21" ht="43.2" x14ac:dyDescent="0.55000000000000004">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16">
        <f t="shared" si="313"/>
        <v>34.6</v>
      </c>
      <c r="Q3390" t="str">
        <f t="shared" si="316"/>
        <v>theater</v>
      </c>
      <c r="R3390" t="str">
        <f t="shared" si="317"/>
        <v>plays</v>
      </c>
      <c r="S3390" s="4">
        <f t="shared" si="314"/>
        <v>42143.461122685185</v>
      </c>
      <c r="T3390" s="4">
        <f t="shared" si="315"/>
        <v>42173.461122685185</v>
      </c>
      <c r="U3390" s="5">
        <f>VLOOKUP(currency,Tables!$A$1:$C$14,3,FALSE)*pledged</f>
        <v>2055.2400000000002</v>
      </c>
    </row>
    <row r="3391" spans="1:21" ht="43.2" x14ac:dyDescent="0.55000000000000004">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16">
        <f t="shared" si="313"/>
        <v>184.67741935483872</v>
      </c>
      <c r="Q3391" t="str">
        <f t="shared" si="316"/>
        <v>theater</v>
      </c>
      <c r="R3391" t="str">
        <f t="shared" si="317"/>
        <v>plays</v>
      </c>
      <c r="S3391" s="4">
        <f t="shared" si="314"/>
        <v>42494.563449074078</v>
      </c>
      <c r="T3391" s="4">
        <f t="shared" si="315"/>
        <v>42524.563449074078</v>
      </c>
      <c r="U3391" s="5">
        <f>VLOOKUP(currency,Tables!$A$1:$C$14,3,FALSE)*pledged</f>
        <v>11450</v>
      </c>
    </row>
    <row r="3392" spans="1:21" ht="43.2" x14ac:dyDescent="0.55000000000000004">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16">
        <f t="shared" si="313"/>
        <v>69.818181818181813</v>
      </c>
      <c r="Q3392" t="str">
        <f t="shared" si="316"/>
        <v>theater</v>
      </c>
      <c r="R3392" t="str">
        <f t="shared" si="317"/>
        <v>plays</v>
      </c>
      <c r="S3392" s="4">
        <f t="shared" si="314"/>
        <v>41815.774826388886</v>
      </c>
      <c r="T3392" s="4">
        <f t="shared" si="315"/>
        <v>41830.774826388886</v>
      </c>
      <c r="U3392" s="5">
        <f>VLOOKUP(currency,Tables!$A$1:$C$14,3,FALSE)*pledged</f>
        <v>1536</v>
      </c>
    </row>
    <row r="3393" spans="1:21" ht="43.2" x14ac:dyDescent="0.55000000000000004">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312"/>
        <v>2.23</v>
      </c>
      <c r="P3393" s="16">
        <f t="shared" si="313"/>
        <v>61.944444444444443</v>
      </c>
      <c r="Q3393" t="str">
        <f t="shared" si="316"/>
        <v>theater</v>
      </c>
      <c r="R3393" t="str">
        <f t="shared" si="317"/>
        <v>plays</v>
      </c>
      <c r="S3393" s="4">
        <f t="shared" si="314"/>
        <v>41830.545694444445</v>
      </c>
      <c r="T3393" s="4">
        <f t="shared" si="315"/>
        <v>41859.936111111114</v>
      </c>
      <c r="U3393" s="5">
        <f>VLOOKUP(currency,Tables!$A$1:$C$14,3,FALSE)*pledged</f>
        <v>1115</v>
      </c>
    </row>
    <row r="3394" spans="1:21" ht="43.2" x14ac:dyDescent="0.55000000000000004">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ref="O3394:O3457" si="318">pledged/goal</f>
        <v>1</v>
      </c>
      <c r="P3394" s="16">
        <f t="shared" ref="P3394:P3457" si="319">IF(pledged=0,0,pledged/backers_count)</f>
        <v>41.666666666666664</v>
      </c>
      <c r="Q3394" t="str">
        <f t="shared" si="316"/>
        <v>theater</v>
      </c>
      <c r="R3394" t="str">
        <f t="shared" si="317"/>
        <v>plays</v>
      </c>
      <c r="S3394" s="4">
        <f t="shared" ref="S3394:S3457" si="320">(((Unix_launched_date/60)/60)/24)+DATE(1970,1,1)</f>
        <v>42446.845543981486</v>
      </c>
      <c r="T3394" s="4">
        <f t="shared" ref="T3394:T3457" si="321">(((Unix_deadline/60)/60)/24)+DATE(1970,1,1)</f>
        <v>42496.845543981486</v>
      </c>
      <c r="U3394" s="5">
        <f>VLOOKUP(currency,Tables!$A$1:$C$14,3,FALSE)*pledged</f>
        <v>660</v>
      </c>
    </row>
    <row r="3395" spans="1:21" ht="43.2" x14ac:dyDescent="0.55000000000000004">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si="318"/>
        <v>1.0580000000000001</v>
      </c>
      <c r="P3395" s="16">
        <f t="shared" si="319"/>
        <v>36.06818181818182</v>
      </c>
      <c r="Q3395" t="str">
        <f t="shared" ref="Q3395:Q3458" si="322">LEFT(N3395,FIND("/",N3395,1)-1)</f>
        <v>theater</v>
      </c>
      <c r="R3395" t="str">
        <f t="shared" ref="R3395:R3458" si="323">RIGHT(N3395,(LEN(N3395)-FIND("/",N3395,1)))</f>
        <v>plays</v>
      </c>
      <c r="S3395" s="4">
        <f t="shared" si="320"/>
        <v>41923.921643518523</v>
      </c>
      <c r="T3395" s="4">
        <f t="shared" si="321"/>
        <v>41949.031944444447</v>
      </c>
      <c r="U3395" s="5">
        <f>VLOOKUP(currency,Tables!$A$1:$C$14,3,FALSE)*pledged</f>
        <v>1587</v>
      </c>
    </row>
    <row r="3396" spans="1:21" ht="43.2" x14ac:dyDescent="0.55000000000000004">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16">
        <f t="shared" si="319"/>
        <v>29</v>
      </c>
      <c r="Q3396" t="str">
        <f t="shared" si="322"/>
        <v>theater</v>
      </c>
      <c r="R3396" t="str">
        <f t="shared" si="323"/>
        <v>plays</v>
      </c>
      <c r="S3396" s="4">
        <f t="shared" si="320"/>
        <v>41817.59542824074</v>
      </c>
      <c r="T3396" s="4">
        <f t="shared" si="321"/>
        <v>41847.59542824074</v>
      </c>
      <c r="U3396" s="5">
        <f>VLOOKUP(currency,Tables!$A$1:$C$14,3,FALSE)*pledged</f>
        <v>1033.56</v>
      </c>
    </row>
    <row r="3397" spans="1:21" ht="28.8" x14ac:dyDescent="0.55000000000000004">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318"/>
        <v>1.84</v>
      </c>
      <c r="P3397" s="16">
        <f t="shared" si="319"/>
        <v>24.210526315789473</v>
      </c>
      <c r="Q3397" t="str">
        <f t="shared" si="322"/>
        <v>theater</v>
      </c>
      <c r="R3397" t="str">
        <f t="shared" si="323"/>
        <v>plays</v>
      </c>
      <c r="S3397" s="4">
        <f t="shared" si="320"/>
        <v>42140.712314814817</v>
      </c>
      <c r="T3397" s="4">
        <f t="shared" si="321"/>
        <v>42154.756944444445</v>
      </c>
      <c r="U3397" s="5">
        <f>VLOOKUP(currency,Tables!$A$1:$C$14,3,FALSE)*pledged</f>
        <v>1214.4000000000001</v>
      </c>
    </row>
    <row r="3398" spans="1:21" ht="43.2" x14ac:dyDescent="0.55000000000000004">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16">
        <f t="shared" si="319"/>
        <v>55.892857142857146</v>
      </c>
      <c r="Q3398" t="str">
        <f t="shared" si="322"/>
        <v>theater</v>
      </c>
      <c r="R3398" t="str">
        <f t="shared" si="323"/>
        <v>plays</v>
      </c>
      <c r="S3398" s="4">
        <f t="shared" si="320"/>
        <v>41764.44663194444</v>
      </c>
      <c r="T3398" s="4">
        <f t="shared" si="321"/>
        <v>41791.165972222225</v>
      </c>
      <c r="U3398" s="5">
        <f>VLOOKUP(currency,Tables!$A$1:$C$14,3,FALSE)*pledged</f>
        <v>1565</v>
      </c>
    </row>
    <row r="3399" spans="1:21" ht="28.8" x14ac:dyDescent="0.55000000000000004">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16">
        <f t="shared" si="319"/>
        <v>11.666666666666666</v>
      </c>
      <c r="Q3399" t="str">
        <f t="shared" si="322"/>
        <v>theater</v>
      </c>
      <c r="R3399" t="str">
        <f t="shared" si="323"/>
        <v>plays</v>
      </c>
      <c r="S3399" s="4">
        <f t="shared" si="320"/>
        <v>42378.478344907402</v>
      </c>
      <c r="T3399" s="4">
        <f t="shared" si="321"/>
        <v>42418.916666666672</v>
      </c>
      <c r="U3399" s="5">
        <f>VLOOKUP(currency,Tables!$A$1:$C$14,3,FALSE)*pledged</f>
        <v>369.6</v>
      </c>
    </row>
    <row r="3400" spans="1:21" ht="43.2" x14ac:dyDescent="0.55000000000000004">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16">
        <f t="shared" si="319"/>
        <v>68.353846153846149</v>
      </c>
      <c r="Q3400" t="str">
        <f t="shared" si="322"/>
        <v>theater</v>
      </c>
      <c r="R3400" t="str">
        <f t="shared" si="323"/>
        <v>plays</v>
      </c>
      <c r="S3400" s="4">
        <f t="shared" si="320"/>
        <v>41941.75203703704</v>
      </c>
      <c r="T3400" s="4">
        <f t="shared" si="321"/>
        <v>41964.708333333328</v>
      </c>
      <c r="U3400" s="5">
        <f>VLOOKUP(currency,Tables!$A$1:$C$14,3,FALSE)*pledged</f>
        <v>4443</v>
      </c>
    </row>
    <row r="3401" spans="1:21" ht="43.2" x14ac:dyDescent="0.55000000000000004">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16">
        <f t="shared" si="319"/>
        <v>27.065217391304348</v>
      </c>
      <c r="Q3401" t="str">
        <f t="shared" si="322"/>
        <v>theater</v>
      </c>
      <c r="R3401" t="str">
        <f t="shared" si="323"/>
        <v>plays</v>
      </c>
      <c r="S3401" s="4">
        <f t="shared" si="320"/>
        <v>42026.920428240745</v>
      </c>
      <c r="T3401" s="4">
        <f t="shared" si="321"/>
        <v>42056.920428240745</v>
      </c>
      <c r="U3401" s="5">
        <f>VLOOKUP(currency,Tables!$A$1:$C$14,3,FALSE)*pledged</f>
        <v>1643.4</v>
      </c>
    </row>
    <row r="3402" spans="1:21" ht="43.2" x14ac:dyDescent="0.55000000000000004">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16">
        <f t="shared" si="319"/>
        <v>118.12941176470588</v>
      </c>
      <c r="Q3402" t="str">
        <f t="shared" si="322"/>
        <v>theater</v>
      </c>
      <c r="R3402" t="str">
        <f t="shared" si="323"/>
        <v>plays</v>
      </c>
      <c r="S3402" s="4">
        <f t="shared" si="320"/>
        <v>41834.953865740739</v>
      </c>
      <c r="T3402" s="4">
        <f t="shared" si="321"/>
        <v>41879.953865740739</v>
      </c>
      <c r="U3402" s="5">
        <f>VLOOKUP(currency,Tables!$A$1:$C$14,3,FALSE)*pledged</f>
        <v>10041</v>
      </c>
    </row>
    <row r="3403" spans="1:21" ht="43.2" x14ac:dyDescent="0.55000000000000004">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16">
        <f t="shared" si="319"/>
        <v>44.757575757575758</v>
      </c>
      <c r="Q3403" t="str">
        <f t="shared" si="322"/>
        <v>theater</v>
      </c>
      <c r="R3403" t="str">
        <f t="shared" si="323"/>
        <v>plays</v>
      </c>
      <c r="S3403" s="4">
        <f t="shared" si="320"/>
        <v>42193.723912037036</v>
      </c>
      <c r="T3403" s="4">
        <f t="shared" si="321"/>
        <v>42223.723912037036</v>
      </c>
      <c r="U3403" s="5">
        <f>VLOOKUP(currency,Tables!$A$1:$C$14,3,FALSE)*pledged</f>
        <v>3899.28</v>
      </c>
    </row>
    <row r="3404" spans="1:21" ht="43.2" x14ac:dyDescent="0.55000000000000004">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16">
        <f t="shared" si="319"/>
        <v>99.787878787878782</v>
      </c>
      <c r="Q3404" t="str">
        <f t="shared" si="322"/>
        <v>theater</v>
      </c>
      <c r="R3404" t="str">
        <f t="shared" si="323"/>
        <v>plays</v>
      </c>
      <c r="S3404" s="4">
        <f t="shared" si="320"/>
        <v>42290.61855324074</v>
      </c>
      <c r="T3404" s="4">
        <f t="shared" si="321"/>
        <v>42320.104861111111</v>
      </c>
      <c r="U3404" s="5">
        <f>VLOOKUP(currency,Tables!$A$1:$C$14,3,FALSE)*pledged</f>
        <v>16465</v>
      </c>
    </row>
    <row r="3405" spans="1:21" ht="43.2" x14ac:dyDescent="0.55000000000000004">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318"/>
        <v>1</v>
      </c>
      <c r="P3405" s="16">
        <f t="shared" si="319"/>
        <v>117.64705882352941</v>
      </c>
      <c r="Q3405" t="str">
        <f t="shared" si="322"/>
        <v>theater</v>
      </c>
      <c r="R3405" t="str">
        <f t="shared" si="323"/>
        <v>plays</v>
      </c>
      <c r="S3405" s="4">
        <f t="shared" si="320"/>
        <v>42150.462083333332</v>
      </c>
      <c r="T3405" s="4">
        <f t="shared" si="321"/>
        <v>42180.462083333332</v>
      </c>
      <c r="U3405" s="5">
        <f>VLOOKUP(currency,Tables!$A$1:$C$14,3,FALSE)*pledged</f>
        <v>2640</v>
      </c>
    </row>
    <row r="3406" spans="1:21" ht="43.2" x14ac:dyDescent="0.55000000000000004">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318"/>
        <v>1.22</v>
      </c>
      <c r="P3406" s="16">
        <f t="shared" si="319"/>
        <v>203.33333333333334</v>
      </c>
      <c r="Q3406" t="str">
        <f t="shared" si="322"/>
        <v>theater</v>
      </c>
      <c r="R3406" t="str">
        <f t="shared" si="323"/>
        <v>plays</v>
      </c>
      <c r="S3406" s="4">
        <f t="shared" si="320"/>
        <v>42152.503495370373</v>
      </c>
      <c r="T3406" s="4">
        <f t="shared" si="321"/>
        <v>42172.503495370373</v>
      </c>
      <c r="U3406" s="5">
        <f>VLOOKUP(currency,Tables!$A$1:$C$14,3,FALSE)*pledged</f>
        <v>610</v>
      </c>
    </row>
    <row r="3407" spans="1:21" ht="43.2" x14ac:dyDescent="0.55000000000000004">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16">
        <f t="shared" si="319"/>
        <v>28.323529411764707</v>
      </c>
      <c r="Q3407" t="str">
        <f t="shared" si="322"/>
        <v>theater</v>
      </c>
      <c r="R3407" t="str">
        <f t="shared" si="323"/>
        <v>plays</v>
      </c>
      <c r="S3407" s="4">
        <f t="shared" si="320"/>
        <v>42410.017199074078</v>
      </c>
      <c r="T3407" s="4">
        <f t="shared" si="321"/>
        <v>42430.999305555553</v>
      </c>
      <c r="U3407" s="5">
        <f>VLOOKUP(currency,Tables!$A$1:$C$14,3,FALSE)*pledged</f>
        <v>635.58000000000004</v>
      </c>
    </row>
    <row r="3408" spans="1:21" ht="28.8" x14ac:dyDescent="0.55000000000000004">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16">
        <f t="shared" si="319"/>
        <v>110.23076923076923</v>
      </c>
      <c r="Q3408" t="str">
        <f t="shared" si="322"/>
        <v>theater</v>
      </c>
      <c r="R3408" t="str">
        <f t="shared" si="323"/>
        <v>plays</v>
      </c>
      <c r="S3408" s="4">
        <f t="shared" si="320"/>
        <v>41791.492777777778</v>
      </c>
      <c r="T3408" s="4">
        <f t="shared" si="321"/>
        <v>41836.492777777778</v>
      </c>
      <c r="U3408" s="5">
        <f>VLOOKUP(currency,Tables!$A$1:$C$14,3,FALSE)*pledged</f>
        <v>10031</v>
      </c>
    </row>
    <row r="3409" spans="1:21" ht="57.6" x14ac:dyDescent="0.55000000000000004">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16">
        <f t="shared" si="319"/>
        <v>31.970149253731343</v>
      </c>
      <c r="Q3409" t="str">
        <f t="shared" si="322"/>
        <v>theater</v>
      </c>
      <c r="R3409" t="str">
        <f t="shared" si="323"/>
        <v>plays</v>
      </c>
      <c r="S3409" s="4">
        <f t="shared" si="320"/>
        <v>41796.422326388885</v>
      </c>
      <c r="T3409" s="4">
        <f t="shared" si="321"/>
        <v>41826.422326388885</v>
      </c>
      <c r="U3409" s="5">
        <f>VLOOKUP(currency,Tables!$A$1:$C$14,3,FALSE)*pledged</f>
        <v>2827.44</v>
      </c>
    </row>
    <row r="3410" spans="1:21" ht="43.2" x14ac:dyDescent="0.55000000000000004">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318"/>
        <v>2.11</v>
      </c>
      <c r="P3410" s="16">
        <f t="shared" si="319"/>
        <v>58.611111111111114</v>
      </c>
      <c r="Q3410" t="str">
        <f t="shared" si="322"/>
        <v>theater</v>
      </c>
      <c r="R3410" t="str">
        <f t="shared" si="323"/>
        <v>plays</v>
      </c>
      <c r="S3410" s="4">
        <f t="shared" si="320"/>
        <v>41808.991944444446</v>
      </c>
      <c r="T3410" s="4">
        <f t="shared" si="321"/>
        <v>41838.991944444446</v>
      </c>
      <c r="U3410" s="5">
        <f>VLOOKUP(currency,Tables!$A$1:$C$14,3,FALSE)*pledged</f>
        <v>1055</v>
      </c>
    </row>
    <row r="3411" spans="1:21" ht="43.2" x14ac:dyDescent="0.55000000000000004">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318"/>
        <v>1.236</v>
      </c>
      <c r="P3411" s="16">
        <f t="shared" si="319"/>
        <v>29.428571428571427</v>
      </c>
      <c r="Q3411" t="str">
        <f t="shared" si="322"/>
        <v>theater</v>
      </c>
      <c r="R3411" t="str">
        <f t="shared" si="323"/>
        <v>plays</v>
      </c>
      <c r="S3411" s="4">
        <f t="shared" si="320"/>
        <v>42544.814328703709</v>
      </c>
      <c r="T3411" s="4">
        <f t="shared" si="321"/>
        <v>42582.873611111107</v>
      </c>
      <c r="U3411" s="5">
        <f>VLOOKUP(currency,Tables!$A$1:$C$14,3,FALSE)*pledged</f>
        <v>815.76</v>
      </c>
    </row>
    <row r="3412" spans="1:21" ht="43.2" x14ac:dyDescent="0.55000000000000004">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16">
        <f t="shared" si="319"/>
        <v>81.375</v>
      </c>
      <c r="Q3412" t="str">
        <f t="shared" si="322"/>
        <v>theater</v>
      </c>
      <c r="R3412" t="str">
        <f t="shared" si="323"/>
        <v>plays</v>
      </c>
      <c r="S3412" s="4">
        <f t="shared" si="320"/>
        <v>42500.041550925926</v>
      </c>
      <c r="T3412" s="4">
        <f t="shared" si="321"/>
        <v>42527.291666666672</v>
      </c>
      <c r="U3412" s="5">
        <f>VLOOKUP(currency,Tables!$A$1:$C$14,3,FALSE)*pledged</f>
        <v>3255</v>
      </c>
    </row>
    <row r="3413" spans="1:21" ht="43.2" x14ac:dyDescent="0.55000000000000004">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16">
        <f t="shared" si="319"/>
        <v>199.16666666666666</v>
      </c>
      <c r="Q3413" t="str">
        <f t="shared" si="322"/>
        <v>theater</v>
      </c>
      <c r="R3413" t="str">
        <f t="shared" si="323"/>
        <v>plays</v>
      </c>
      <c r="S3413" s="4">
        <f t="shared" si="320"/>
        <v>42265.022824074069</v>
      </c>
      <c r="T3413" s="4">
        <f t="shared" si="321"/>
        <v>42285.022824074069</v>
      </c>
      <c r="U3413" s="5">
        <f>VLOOKUP(currency,Tables!$A$1:$C$14,3,FALSE)*pledged</f>
        <v>15535</v>
      </c>
    </row>
    <row r="3414" spans="1:21" ht="43.2" x14ac:dyDescent="0.55000000000000004">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318"/>
        <v>1</v>
      </c>
      <c r="P3414" s="16">
        <f t="shared" si="319"/>
        <v>115.38461538461539</v>
      </c>
      <c r="Q3414" t="str">
        <f t="shared" si="322"/>
        <v>theater</v>
      </c>
      <c r="R3414" t="str">
        <f t="shared" si="323"/>
        <v>plays</v>
      </c>
      <c r="S3414" s="4">
        <f t="shared" si="320"/>
        <v>41879.959050925929</v>
      </c>
      <c r="T3414" s="4">
        <f t="shared" si="321"/>
        <v>41909.959050925929</v>
      </c>
      <c r="U3414" s="5">
        <f>VLOOKUP(currency,Tables!$A$1:$C$14,3,FALSE)*pledged</f>
        <v>3960</v>
      </c>
    </row>
    <row r="3415" spans="1:21" ht="43.2" x14ac:dyDescent="0.55000000000000004">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318"/>
        <v>1.3</v>
      </c>
      <c r="P3415" s="16">
        <f t="shared" si="319"/>
        <v>46.428571428571431</v>
      </c>
      <c r="Q3415" t="str">
        <f t="shared" si="322"/>
        <v>theater</v>
      </c>
      <c r="R3415" t="str">
        <f t="shared" si="323"/>
        <v>plays</v>
      </c>
      <c r="S3415" s="4">
        <f t="shared" si="320"/>
        <v>42053.733078703706</v>
      </c>
      <c r="T3415" s="4">
        <f t="shared" si="321"/>
        <v>42063.207638888889</v>
      </c>
      <c r="U3415" s="5">
        <f>VLOOKUP(currency,Tables!$A$1:$C$14,3,FALSE)*pledged</f>
        <v>650</v>
      </c>
    </row>
    <row r="3416" spans="1:21" ht="43.2" x14ac:dyDescent="0.55000000000000004">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16">
        <f t="shared" si="319"/>
        <v>70.568181818181813</v>
      </c>
      <c r="Q3416" t="str">
        <f t="shared" si="322"/>
        <v>theater</v>
      </c>
      <c r="R3416" t="str">
        <f t="shared" si="323"/>
        <v>plays</v>
      </c>
      <c r="S3416" s="4">
        <f t="shared" si="320"/>
        <v>42675.832465277781</v>
      </c>
      <c r="T3416" s="4">
        <f t="shared" si="321"/>
        <v>42705.332638888889</v>
      </c>
      <c r="U3416" s="5">
        <f>VLOOKUP(currency,Tables!$A$1:$C$14,3,FALSE)*pledged</f>
        <v>3105</v>
      </c>
    </row>
    <row r="3417" spans="1:21" ht="28.8" x14ac:dyDescent="0.55000000000000004">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318"/>
        <v>1</v>
      </c>
      <c r="P3417" s="16">
        <f t="shared" si="319"/>
        <v>22.222222222222221</v>
      </c>
      <c r="Q3417" t="str">
        <f t="shared" si="322"/>
        <v>theater</v>
      </c>
      <c r="R3417" t="str">
        <f t="shared" si="323"/>
        <v>plays</v>
      </c>
      <c r="S3417" s="4">
        <f t="shared" si="320"/>
        <v>42467.144166666665</v>
      </c>
      <c r="T3417" s="4">
        <f t="shared" si="321"/>
        <v>42477.979166666672</v>
      </c>
      <c r="U3417" s="5">
        <f>VLOOKUP(currency,Tables!$A$1:$C$14,3,FALSE)*pledged</f>
        <v>200</v>
      </c>
    </row>
    <row r="3418" spans="1:21" ht="57.6" x14ac:dyDescent="0.55000000000000004">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16">
        <f t="shared" si="319"/>
        <v>159.46666666666667</v>
      </c>
      <c r="Q3418" t="str">
        <f t="shared" si="322"/>
        <v>theater</v>
      </c>
      <c r="R3418" t="str">
        <f t="shared" si="323"/>
        <v>plays</v>
      </c>
      <c r="S3418" s="4">
        <f t="shared" si="320"/>
        <v>42089.412557870368</v>
      </c>
      <c r="T3418" s="4">
        <f t="shared" si="321"/>
        <v>42117.770833333328</v>
      </c>
      <c r="U3418" s="5">
        <f>VLOOKUP(currency,Tables!$A$1:$C$14,3,FALSE)*pledged</f>
        <v>6314.88</v>
      </c>
    </row>
    <row r="3419" spans="1:21" ht="43.2" x14ac:dyDescent="0.55000000000000004">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16">
        <f t="shared" si="319"/>
        <v>37.777999999999999</v>
      </c>
      <c r="Q3419" t="str">
        <f t="shared" si="322"/>
        <v>theater</v>
      </c>
      <c r="R3419" t="str">
        <f t="shared" si="323"/>
        <v>plays</v>
      </c>
      <c r="S3419" s="4">
        <f t="shared" si="320"/>
        <v>41894.91375</v>
      </c>
      <c r="T3419" s="4">
        <f t="shared" si="321"/>
        <v>41938.029861111114</v>
      </c>
      <c r="U3419" s="5">
        <f>VLOOKUP(currency,Tables!$A$1:$C$14,3,FALSE)*pledged</f>
        <v>1700.01</v>
      </c>
    </row>
    <row r="3420" spans="1:21" ht="43.2" x14ac:dyDescent="0.55000000000000004">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16">
        <f t="shared" si="319"/>
        <v>72.053571428571431</v>
      </c>
      <c r="Q3420" t="str">
        <f t="shared" si="322"/>
        <v>theater</v>
      </c>
      <c r="R3420" t="str">
        <f t="shared" si="323"/>
        <v>plays</v>
      </c>
      <c r="S3420" s="4">
        <f t="shared" si="320"/>
        <v>41752.83457175926</v>
      </c>
      <c r="T3420" s="4">
        <f t="shared" si="321"/>
        <v>41782.83457175926</v>
      </c>
      <c r="U3420" s="5">
        <f>VLOOKUP(currency,Tables!$A$1:$C$14,3,FALSE)*pledged</f>
        <v>4035</v>
      </c>
    </row>
    <row r="3421" spans="1:21" ht="57.6" x14ac:dyDescent="0.55000000000000004">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16">
        <f t="shared" si="319"/>
        <v>63.695652173913047</v>
      </c>
      <c r="Q3421" t="str">
        <f t="shared" si="322"/>
        <v>theater</v>
      </c>
      <c r="R3421" t="str">
        <f t="shared" si="323"/>
        <v>plays</v>
      </c>
      <c r="S3421" s="4">
        <f t="shared" si="320"/>
        <v>42448.821585648147</v>
      </c>
      <c r="T3421" s="4">
        <f t="shared" si="321"/>
        <v>42466.895833333328</v>
      </c>
      <c r="U3421" s="5">
        <f>VLOOKUP(currency,Tables!$A$1:$C$14,3,FALSE)*pledged</f>
        <v>3457.3999999999996</v>
      </c>
    </row>
    <row r="3422" spans="1:21" ht="43.2" x14ac:dyDescent="0.55000000000000004">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318"/>
        <v>1.38</v>
      </c>
      <c r="P3422" s="16">
        <f t="shared" si="319"/>
        <v>28.411764705882351</v>
      </c>
      <c r="Q3422" t="str">
        <f t="shared" si="322"/>
        <v>theater</v>
      </c>
      <c r="R3422" t="str">
        <f t="shared" si="323"/>
        <v>plays</v>
      </c>
      <c r="S3422" s="4">
        <f t="shared" si="320"/>
        <v>42405.090300925927</v>
      </c>
      <c r="T3422" s="4">
        <f t="shared" si="321"/>
        <v>42414</v>
      </c>
      <c r="U3422" s="5">
        <f>VLOOKUP(currency,Tables!$A$1:$C$14,3,FALSE)*pledged</f>
        <v>1275.1200000000001</v>
      </c>
    </row>
    <row r="3423" spans="1:21" ht="43.2" x14ac:dyDescent="0.55000000000000004">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16">
        <f t="shared" si="319"/>
        <v>103.21428571428571</v>
      </c>
      <c r="Q3423" t="str">
        <f t="shared" si="322"/>
        <v>theater</v>
      </c>
      <c r="R3423" t="str">
        <f t="shared" si="323"/>
        <v>plays</v>
      </c>
      <c r="S3423" s="4">
        <f t="shared" si="320"/>
        <v>42037.791238425925</v>
      </c>
      <c r="T3423" s="4">
        <f t="shared" si="321"/>
        <v>42067.791238425925</v>
      </c>
      <c r="U3423" s="5">
        <f>VLOOKUP(currency,Tables!$A$1:$C$14,3,FALSE)*pledged</f>
        <v>10115</v>
      </c>
    </row>
    <row r="3424" spans="1:21" ht="43.2" x14ac:dyDescent="0.55000000000000004">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16">
        <f t="shared" si="319"/>
        <v>71.152173913043484</v>
      </c>
      <c r="Q3424" t="str">
        <f t="shared" si="322"/>
        <v>theater</v>
      </c>
      <c r="R3424" t="str">
        <f t="shared" si="323"/>
        <v>plays</v>
      </c>
      <c r="S3424" s="4">
        <f t="shared" si="320"/>
        <v>42323.562222222223</v>
      </c>
      <c r="T3424" s="4">
        <f t="shared" si="321"/>
        <v>42352</v>
      </c>
      <c r="U3424" s="5">
        <f>VLOOKUP(currency,Tables!$A$1:$C$14,3,FALSE)*pledged</f>
        <v>4320.3600000000006</v>
      </c>
    </row>
    <row r="3425" spans="1:21" ht="43.2" x14ac:dyDescent="0.55000000000000004">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318"/>
        <v>1.4</v>
      </c>
      <c r="P3425" s="16">
        <f t="shared" si="319"/>
        <v>35</v>
      </c>
      <c r="Q3425" t="str">
        <f t="shared" si="322"/>
        <v>theater</v>
      </c>
      <c r="R3425" t="str">
        <f t="shared" si="323"/>
        <v>plays</v>
      </c>
      <c r="S3425" s="4">
        <f t="shared" si="320"/>
        <v>42088.911354166667</v>
      </c>
      <c r="T3425" s="4">
        <f t="shared" si="321"/>
        <v>42118.911354166667</v>
      </c>
      <c r="U3425" s="5">
        <f>VLOOKUP(currency,Tables!$A$1:$C$14,3,FALSE)*pledged</f>
        <v>350</v>
      </c>
    </row>
    <row r="3426" spans="1:21" ht="43.2" x14ac:dyDescent="0.55000000000000004">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16">
        <f t="shared" si="319"/>
        <v>81.776315789473685</v>
      </c>
      <c r="Q3426" t="str">
        <f t="shared" si="322"/>
        <v>theater</v>
      </c>
      <c r="R3426" t="str">
        <f t="shared" si="323"/>
        <v>plays</v>
      </c>
      <c r="S3426" s="4">
        <f t="shared" si="320"/>
        <v>42018.676898148144</v>
      </c>
      <c r="T3426" s="4">
        <f t="shared" si="321"/>
        <v>42040.290972222225</v>
      </c>
      <c r="U3426" s="5">
        <f>VLOOKUP(currency,Tables!$A$1:$C$14,3,FALSE)*pledged</f>
        <v>6215</v>
      </c>
    </row>
    <row r="3427" spans="1:21" ht="43.2" x14ac:dyDescent="0.55000000000000004">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16">
        <f t="shared" si="319"/>
        <v>297.02980769230766</v>
      </c>
      <c r="Q3427" t="str">
        <f t="shared" si="322"/>
        <v>theater</v>
      </c>
      <c r="R3427" t="str">
        <f t="shared" si="323"/>
        <v>plays</v>
      </c>
      <c r="S3427" s="4">
        <f t="shared" si="320"/>
        <v>41884.617314814815</v>
      </c>
      <c r="T3427" s="4">
        <f t="shared" si="321"/>
        <v>41916.617314814815</v>
      </c>
      <c r="U3427" s="5">
        <f>VLOOKUP(currency,Tables!$A$1:$C$14,3,FALSE)*pledged</f>
        <v>30891.1</v>
      </c>
    </row>
    <row r="3428" spans="1:21" ht="43.2" x14ac:dyDescent="0.55000000000000004">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16">
        <f t="shared" si="319"/>
        <v>46.609195402298852</v>
      </c>
      <c r="Q3428" t="str">
        <f t="shared" si="322"/>
        <v>theater</v>
      </c>
      <c r="R3428" t="str">
        <f t="shared" si="323"/>
        <v>plays</v>
      </c>
      <c r="S3428" s="4">
        <f t="shared" si="320"/>
        <v>41884.056747685187</v>
      </c>
      <c r="T3428" s="4">
        <f t="shared" si="321"/>
        <v>41903.083333333336</v>
      </c>
      <c r="U3428" s="5">
        <f>VLOOKUP(currency,Tables!$A$1:$C$14,3,FALSE)*pledged</f>
        <v>4055</v>
      </c>
    </row>
    <row r="3429" spans="1:21" ht="43.2" x14ac:dyDescent="0.55000000000000004">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318"/>
        <v>1</v>
      </c>
      <c r="P3429" s="16">
        <f t="shared" si="319"/>
        <v>51.724137931034484</v>
      </c>
      <c r="Q3429" t="str">
        <f t="shared" si="322"/>
        <v>theater</v>
      </c>
      <c r="R3429" t="str">
        <f t="shared" si="323"/>
        <v>plays</v>
      </c>
      <c r="S3429" s="4">
        <f t="shared" si="320"/>
        <v>41792.645277777774</v>
      </c>
      <c r="T3429" s="4">
        <f t="shared" si="321"/>
        <v>41822.645277777774</v>
      </c>
      <c r="U3429" s="5">
        <f>VLOOKUP(currency,Tables!$A$1:$C$14,3,FALSE)*pledged</f>
        <v>1980</v>
      </c>
    </row>
    <row r="3430" spans="1:21" ht="43.2" x14ac:dyDescent="0.55000000000000004">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16">
        <f t="shared" si="319"/>
        <v>40.294117647058826</v>
      </c>
      <c r="Q3430" t="str">
        <f t="shared" si="322"/>
        <v>theater</v>
      </c>
      <c r="R3430" t="str">
        <f t="shared" si="323"/>
        <v>plays</v>
      </c>
      <c r="S3430" s="4">
        <f t="shared" si="320"/>
        <v>42038.720451388886</v>
      </c>
      <c r="T3430" s="4">
        <f t="shared" si="321"/>
        <v>42063.708333333328</v>
      </c>
      <c r="U3430" s="5">
        <f>VLOOKUP(currency,Tables!$A$1:$C$14,3,FALSE)*pledged</f>
        <v>2712.6</v>
      </c>
    </row>
    <row r="3431" spans="1:21" ht="43.2" x14ac:dyDescent="0.55000000000000004">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318"/>
        <v>1.3</v>
      </c>
      <c r="P3431" s="16">
        <f t="shared" si="319"/>
        <v>16.25</v>
      </c>
      <c r="Q3431" t="str">
        <f t="shared" si="322"/>
        <v>theater</v>
      </c>
      <c r="R3431" t="str">
        <f t="shared" si="323"/>
        <v>plays</v>
      </c>
      <c r="S3431" s="4">
        <f t="shared" si="320"/>
        <v>42662.021539351852</v>
      </c>
      <c r="T3431" s="4">
        <f t="shared" si="321"/>
        <v>42676.021539351852</v>
      </c>
      <c r="U3431" s="5">
        <f>VLOOKUP(currency,Tables!$A$1:$C$14,3,FALSE)*pledged</f>
        <v>257.40000000000003</v>
      </c>
    </row>
    <row r="3432" spans="1:21" ht="43.2" x14ac:dyDescent="0.55000000000000004">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16">
        <f t="shared" si="319"/>
        <v>30.152638888888887</v>
      </c>
      <c r="Q3432" t="str">
        <f t="shared" si="322"/>
        <v>theater</v>
      </c>
      <c r="R3432" t="str">
        <f t="shared" si="323"/>
        <v>plays</v>
      </c>
      <c r="S3432" s="4">
        <f t="shared" si="320"/>
        <v>41820.945613425924</v>
      </c>
      <c r="T3432" s="4">
        <f t="shared" si="321"/>
        <v>41850.945613425924</v>
      </c>
      <c r="U3432" s="5">
        <f>VLOOKUP(currency,Tables!$A$1:$C$14,3,FALSE)*pledged</f>
        <v>2865.7067999999999</v>
      </c>
    </row>
    <row r="3433" spans="1:21" ht="43.2" x14ac:dyDescent="0.55000000000000004">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318"/>
        <v>1</v>
      </c>
      <c r="P3433" s="16">
        <f t="shared" si="319"/>
        <v>95.238095238095241</v>
      </c>
      <c r="Q3433" t="str">
        <f t="shared" si="322"/>
        <v>theater</v>
      </c>
      <c r="R3433" t="str">
        <f t="shared" si="323"/>
        <v>plays</v>
      </c>
      <c r="S3433" s="4">
        <f t="shared" si="320"/>
        <v>41839.730937500004</v>
      </c>
      <c r="T3433" s="4">
        <f t="shared" si="321"/>
        <v>41869.730937500004</v>
      </c>
      <c r="U3433" s="5">
        <f>VLOOKUP(currency,Tables!$A$1:$C$14,3,FALSE)*pledged</f>
        <v>2000</v>
      </c>
    </row>
    <row r="3434" spans="1:21" ht="43.2" x14ac:dyDescent="0.55000000000000004">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16">
        <f t="shared" si="319"/>
        <v>52.214285714285715</v>
      </c>
      <c r="Q3434" t="str">
        <f t="shared" si="322"/>
        <v>theater</v>
      </c>
      <c r="R3434" t="str">
        <f t="shared" si="323"/>
        <v>plays</v>
      </c>
      <c r="S3434" s="4">
        <f t="shared" si="320"/>
        <v>42380.581180555557</v>
      </c>
      <c r="T3434" s="4">
        <f t="shared" si="321"/>
        <v>42405.916666666672</v>
      </c>
      <c r="U3434" s="5">
        <f>VLOOKUP(currency,Tables!$A$1:$C$14,3,FALSE)*pledged</f>
        <v>2193</v>
      </c>
    </row>
    <row r="3435" spans="1:21" ht="43.2" x14ac:dyDescent="0.55000000000000004">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16">
        <f t="shared" si="319"/>
        <v>134.1549295774648</v>
      </c>
      <c r="Q3435" t="str">
        <f t="shared" si="322"/>
        <v>theater</v>
      </c>
      <c r="R3435" t="str">
        <f t="shared" si="323"/>
        <v>plays</v>
      </c>
      <c r="S3435" s="4">
        <f t="shared" si="320"/>
        <v>41776.063136574077</v>
      </c>
      <c r="T3435" s="4">
        <f t="shared" si="321"/>
        <v>41807.125</v>
      </c>
      <c r="U3435" s="5">
        <f>VLOOKUP(currency,Tables!$A$1:$C$14,3,FALSE)*pledged</f>
        <v>9525</v>
      </c>
    </row>
    <row r="3436" spans="1:21" ht="43.2" x14ac:dyDescent="0.55000000000000004">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16">
        <f t="shared" si="319"/>
        <v>62.827380952380949</v>
      </c>
      <c r="Q3436" t="str">
        <f t="shared" si="322"/>
        <v>theater</v>
      </c>
      <c r="R3436" t="str">
        <f t="shared" si="323"/>
        <v>plays</v>
      </c>
      <c r="S3436" s="4">
        <f t="shared" si="320"/>
        <v>41800.380428240744</v>
      </c>
      <c r="T3436" s="4">
        <f t="shared" si="321"/>
        <v>41830.380428240744</v>
      </c>
      <c r="U3436" s="5">
        <f>VLOOKUP(currency,Tables!$A$1:$C$14,3,FALSE)*pledged</f>
        <v>10555</v>
      </c>
    </row>
    <row r="3437" spans="1:21" ht="43.2" x14ac:dyDescent="0.55000000000000004">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16">
        <f t="shared" si="319"/>
        <v>58.94736842105263</v>
      </c>
      <c r="Q3437" t="str">
        <f t="shared" si="322"/>
        <v>theater</v>
      </c>
      <c r="R3437" t="str">
        <f t="shared" si="323"/>
        <v>plays</v>
      </c>
      <c r="S3437" s="4">
        <f t="shared" si="320"/>
        <v>42572.61681712963</v>
      </c>
      <c r="T3437" s="4">
        <f t="shared" si="321"/>
        <v>42589.125</v>
      </c>
      <c r="U3437" s="5">
        <f>VLOOKUP(currency,Tables!$A$1:$C$14,3,FALSE)*pledged</f>
        <v>1120</v>
      </c>
    </row>
    <row r="3438" spans="1:21" ht="43.2" x14ac:dyDescent="0.55000000000000004">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16">
        <f t="shared" si="319"/>
        <v>143.1081081081081</v>
      </c>
      <c r="Q3438" t="str">
        <f t="shared" si="322"/>
        <v>theater</v>
      </c>
      <c r="R3438" t="str">
        <f t="shared" si="323"/>
        <v>plays</v>
      </c>
      <c r="S3438" s="4">
        <f t="shared" si="320"/>
        <v>41851.541585648149</v>
      </c>
      <c r="T3438" s="4">
        <f t="shared" si="321"/>
        <v>41872.686111111114</v>
      </c>
      <c r="U3438" s="5">
        <f>VLOOKUP(currency,Tables!$A$1:$C$14,3,FALSE)*pledged</f>
        <v>5295</v>
      </c>
    </row>
    <row r="3439" spans="1:21" ht="43.2" x14ac:dyDescent="0.55000000000000004">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318"/>
        <v>1.01</v>
      </c>
      <c r="P3439" s="16">
        <f t="shared" si="319"/>
        <v>84.166666666666671</v>
      </c>
      <c r="Q3439" t="str">
        <f t="shared" si="322"/>
        <v>theater</v>
      </c>
      <c r="R3439" t="str">
        <f t="shared" si="323"/>
        <v>plays</v>
      </c>
      <c r="S3439" s="4">
        <f t="shared" si="320"/>
        <v>42205.710879629631</v>
      </c>
      <c r="T3439" s="4">
        <f t="shared" si="321"/>
        <v>42235.710879629631</v>
      </c>
      <c r="U3439" s="5">
        <f>VLOOKUP(currency,Tables!$A$1:$C$14,3,FALSE)*pledged</f>
        <v>3030</v>
      </c>
    </row>
    <row r="3440" spans="1:21" ht="43.2" x14ac:dyDescent="0.55000000000000004">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16">
        <f t="shared" si="319"/>
        <v>186.07142857142858</v>
      </c>
      <c r="Q3440" t="str">
        <f t="shared" si="322"/>
        <v>theater</v>
      </c>
      <c r="R3440" t="str">
        <f t="shared" si="323"/>
        <v>plays</v>
      </c>
      <c r="S3440" s="4">
        <f t="shared" si="320"/>
        <v>42100.927858796291</v>
      </c>
      <c r="T3440" s="4">
        <f t="shared" si="321"/>
        <v>42126.875</v>
      </c>
      <c r="U3440" s="5">
        <f>VLOOKUP(currency,Tables!$A$1:$C$14,3,FALSE)*pledged</f>
        <v>3438.6000000000004</v>
      </c>
    </row>
    <row r="3441" spans="1:21" ht="28.8" x14ac:dyDescent="0.55000000000000004">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16">
        <f t="shared" si="319"/>
        <v>89.785555555555561</v>
      </c>
      <c r="Q3441" t="str">
        <f t="shared" si="322"/>
        <v>theater</v>
      </c>
      <c r="R3441" t="str">
        <f t="shared" si="323"/>
        <v>plays</v>
      </c>
      <c r="S3441" s="4">
        <f t="shared" si="320"/>
        <v>42374.911226851851</v>
      </c>
      <c r="T3441" s="4">
        <f t="shared" si="321"/>
        <v>42388.207638888889</v>
      </c>
      <c r="U3441" s="5">
        <f>VLOOKUP(currency,Tables!$A$1:$C$14,3,FALSE)*pledged</f>
        <v>1616.14</v>
      </c>
    </row>
    <row r="3442" spans="1:21" ht="43.2" x14ac:dyDescent="0.55000000000000004">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16">
        <f t="shared" si="319"/>
        <v>64.157560975609755</v>
      </c>
      <c r="Q3442" t="str">
        <f t="shared" si="322"/>
        <v>theater</v>
      </c>
      <c r="R3442" t="str">
        <f t="shared" si="323"/>
        <v>plays</v>
      </c>
      <c r="S3442" s="4">
        <f t="shared" si="320"/>
        <v>41809.12300925926</v>
      </c>
      <c r="T3442" s="4">
        <f t="shared" si="321"/>
        <v>41831.677083333336</v>
      </c>
      <c r="U3442" s="5">
        <f>VLOOKUP(currency,Tables!$A$1:$C$14,3,FALSE)*pledged</f>
        <v>5260.92</v>
      </c>
    </row>
    <row r="3443" spans="1:21" ht="43.2" x14ac:dyDescent="0.55000000000000004">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16">
        <f t="shared" si="319"/>
        <v>59.651162790697676</v>
      </c>
      <c r="Q3443" t="str">
        <f t="shared" si="322"/>
        <v>theater</v>
      </c>
      <c r="R3443" t="str">
        <f t="shared" si="323"/>
        <v>plays</v>
      </c>
      <c r="S3443" s="4">
        <f t="shared" si="320"/>
        <v>42294.429641203707</v>
      </c>
      <c r="T3443" s="4">
        <f t="shared" si="321"/>
        <v>42321.845138888893</v>
      </c>
      <c r="U3443" s="5">
        <f>VLOOKUP(currency,Tables!$A$1:$C$14,3,FALSE)*pledged</f>
        <v>2565</v>
      </c>
    </row>
    <row r="3444" spans="1:21" ht="43.2" x14ac:dyDescent="0.55000000000000004">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318"/>
        <v>1</v>
      </c>
      <c r="P3444" s="16">
        <f t="shared" si="319"/>
        <v>31.25</v>
      </c>
      <c r="Q3444" t="str">
        <f t="shared" si="322"/>
        <v>theater</v>
      </c>
      <c r="R3444" t="str">
        <f t="shared" si="323"/>
        <v>plays</v>
      </c>
      <c r="S3444" s="4">
        <f t="shared" si="320"/>
        <v>42124.841111111105</v>
      </c>
      <c r="T3444" s="4">
        <f t="shared" si="321"/>
        <v>42154.841111111105</v>
      </c>
      <c r="U3444" s="5">
        <f>VLOOKUP(currency,Tables!$A$1:$C$14,3,FALSE)*pledged</f>
        <v>250</v>
      </c>
    </row>
    <row r="3445" spans="1:21" ht="43.2" x14ac:dyDescent="0.55000000000000004">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16">
        <f t="shared" si="319"/>
        <v>41.222222222222221</v>
      </c>
      <c r="Q3445" t="str">
        <f t="shared" si="322"/>
        <v>theater</v>
      </c>
      <c r="R3445" t="str">
        <f t="shared" si="323"/>
        <v>plays</v>
      </c>
      <c r="S3445" s="4">
        <f t="shared" si="320"/>
        <v>41861.524837962963</v>
      </c>
      <c r="T3445" s="4">
        <f t="shared" si="321"/>
        <v>41891.524837962963</v>
      </c>
      <c r="U3445" s="5">
        <f>VLOOKUP(currency,Tables!$A$1:$C$14,3,FALSE)*pledged</f>
        <v>1855</v>
      </c>
    </row>
    <row r="3446" spans="1:21" ht="43.2" x14ac:dyDescent="0.55000000000000004">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318"/>
        <v>2.89</v>
      </c>
      <c r="P3446" s="16">
        <f t="shared" si="319"/>
        <v>43.35</v>
      </c>
      <c r="Q3446" t="str">
        <f t="shared" si="322"/>
        <v>theater</v>
      </c>
      <c r="R3446" t="str">
        <f t="shared" si="323"/>
        <v>plays</v>
      </c>
      <c r="S3446" s="4">
        <f t="shared" si="320"/>
        <v>42521.291504629626</v>
      </c>
      <c r="T3446" s="4">
        <f t="shared" si="321"/>
        <v>42529.582638888889</v>
      </c>
      <c r="U3446" s="5">
        <f>VLOOKUP(currency,Tables!$A$1:$C$14,3,FALSE)*pledged</f>
        <v>632.91</v>
      </c>
    </row>
    <row r="3447" spans="1:21" ht="43.2" x14ac:dyDescent="0.55000000000000004">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318"/>
        <v>1</v>
      </c>
      <c r="P3447" s="16">
        <f t="shared" si="319"/>
        <v>64.516129032258064</v>
      </c>
      <c r="Q3447" t="str">
        <f t="shared" si="322"/>
        <v>theater</v>
      </c>
      <c r="R3447" t="str">
        <f t="shared" si="323"/>
        <v>plays</v>
      </c>
      <c r="S3447" s="4">
        <f t="shared" si="320"/>
        <v>42272.530509259261</v>
      </c>
      <c r="T3447" s="4">
        <f t="shared" si="321"/>
        <v>42300.530509259261</v>
      </c>
      <c r="U3447" s="5">
        <f>VLOOKUP(currency,Tables!$A$1:$C$14,3,FALSE)*pledged</f>
        <v>2640</v>
      </c>
    </row>
    <row r="3448" spans="1:21" ht="43.2" x14ac:dyDescent="0.55000000000000004">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16">
        <f t="shared" si="319"/>
        <v>43.28</v>
      </c>
      <c r="Q3448" t="str">
        <f t="shared" si="322"/>
        <v>theater</v>
      </c>
      <c r="R3448" t="str">
        <f t="shared" si="323"/>
        <v>plays</v>
      </c>
      <c r="S3448" s="4">
        <f t="shared" si="320"/>
        <v>42016.832465277781</v>
      </c>
      <c r="T3448" s="4">
        <f t="shared" si="321"/>
        <v>42040.513888888891</v>
      </c>
      <c r="U3448" s="5">
        <f>VLOOKUP(currency,Tables!$A$1:$C$14,3,FALSE)*pledged</f>
        <v>1428.24</v>
      </c>
    </row>
    <row r="3449" spans="1:21" ht="28.8" x14ac:dyDescent="0.55000000000000004">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16">
        <f t="shared" si="319"/>
        <v>77</v>
      </c>
      <c r="Q3449" t="str">
        <f t="shared" si="322"/>
        <v>theater</v>
      </c>
      <c r="R3449" t="str">
        <f t="shared" si="323"/>
        <v>plays</v>
      </c>
      <c r="S3449" s="4">
        <f t="shared" si="320"/>
        <v>42402.889027777783</v>
      </c>
      <c r="T3449" s="4">
        <f t="shared" si="321"/>
        <v>42447.847361111111</v>
      </c>
      <c r="U3449" s="5">
        <f>VLOOKUP(currency,Tables!$A$1:$C$14,3,FALSE)*pledged</f>
        <v>1078</v>
      </c>
    </row>
    <row r="3450" spans="1:21" ht="43.2" x14ac:dyDescent="0.55000000000000004">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16">
        <f t="shared" si="319"/>
        <v>51.222222222222221</v>
      </c>
      <c r="Q3450" t="str">
        <f t="shared" si="322"/>
        <v>theater</v>
      </c>
      <c r="R3450" t="str">
        <f t="shared" si="323"/>
        <v>plays</v>
      </c>
      <c r="S3450" s="4">
        <f t="shared" si="320"/>
        <v>41960.119085648148</v>
      </c>
      <c r="T3450" s="4">
        <f t="shared" si="321"/>
        <v>41990.119085648148</v>
      </c>
      <c r="U3450" s="5">
        <f>VLOOKUP(currency,Tables!$A$1:$C$14,3,FALSE)*pledged</f>
        <v>2305</v>
      </c>
    </row>
    <row r="3451" spans="1:21" ht="43.2" x14ac:dyDescent="0.55000000000000004">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16">
        <f t="shared" si="319"/>
        <v>68.25</v>
      </c>
      <c r="Q3451" t="str">
        <f t="shared" si="322"/>
        <v>theater</v>
      </c>
      <c r="R3451" t="str">
        <f t="shared" si="323"/>
        <v>plays</v>
      </c>
      <c r="S3451" s="4">
        <f t="shared" si="320"/>
        <v>42532.052523148144</v>
      </c>
      <c r="T3451" s="4">
        <f t="shared" si="321"/>
        <v>42560.166666666672</v>
      </c>
      <c r="U3451" s="5">
        <f>VLOOKUP(currency,Tables!$A$1:$C$14,3,FALSE)*pledged</f>
        <v>1365</v>
      </c>
    </row>
    <row r="3452" spans="1:21" ht="43.2" x14ac:dyDescent="0.55000000000000004">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318"/>
        <v>1.52</v>
      </c>
      <c r="P3452" s="16">
        <f t="shared" si="319"/>
        <v>19.487179487179485</v>
      </c>
      <c r="Q3452" t="str">
        <f t="shared" si="322"/>
        <v>theater</v>
      </c>
      <c r="R3452" t="str">
        <f t="shared" si="323"/>
        <v>plays</v>
      </c>
      <c r="S3452" s="4">
        <f t="shared" si="320"/>
        <v>42036.704525462963</v>
      </c>
      <c r="T3452" s="4">
        <f t="shared" si="321"/>
        <v>42096.662858796291</v>
      </c>
      <c r="U3452" s="5">
        <f>VLOOKUP(currency,Tables!$A$1:$C$14,3,FALSE)*pledged</f>
        <v>1003.2</v>
      </c>
    </row>
    <row r="3453" spans="1:21" ht="43.2" x14ac:dyDescent="0.55000000000000004">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16">
        <f t="shared" si="319"/>
        <v>41.125</v>
      </c>
      <c r="Q3453" t="str">
        <f t="shared" si="322"/>
        <v>theater</v>
      </c>
      <c r="R3453" t="str">
        <f t="shared" si="323"/>
        <v>plays</v>
      </c>
      <c r="S3453" s="4">
        <f t="shared" si="320"/>
        <v>42088.723692129628</v>
      </c>
      <c r="T3453" s="4">
        <f t="shared" si="321"/>
        <v>42115.723692129628</v>
      </c>
      <c r="U3453" s="5">
        <f>VLOOKUP(currency,Tables!$A$1:$C$14,3,FALSE)*pledged</f>
        <v>658</v>
      </c>
    </row>
    <row r="3454" spans="1:21" ht="43.2" x14ac:dyDescent="0.55000000000000004">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16">
        <f t="shared" si="319"/>
        <v>41.405405405405403</v>
      </c>
      <c r="Q3454" t="str">
        <f t="shared" si="322"/>
        <v>theater</v>
      </c>
      <c r="R3454" t="str">
        <f t="shared" si="323"/>
        <v>plays</v>
      </c>
      <c r="S3454" s="4">
        <f t="shared" si="320"/>
        <v>41820.639189814814</v>
      </c>
      <c r="T3454" s="4">
        <f t="shared" si="321"/>
        <v>41843.165972222225</v>
      </c>
      <c r="U3454" s="5">
        <f>VLOOKUP(currency,Tables!$A$1:$C$14,3,FALSE)*pledged</f>
        <v>1532</v>
      </c>
    </row>
    <row r="3455" spans="1:21" ht="43.2" x14ac:dyDescent="0.55000000000000004">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16">
        <f t="shared" si="319"/>
        <v>27.5</v>
      </c>
      <c r="Q3455" t="str">
        <f t="shared" si="322"/>
        <v>theater</v>
      </c>
      <c r="R3455" t="str">
        <f t="shared" si="323"/>
        <v>plays</v>
      </c>
      <c r="S3455" s="4">
        <f t="shared" si="320"/>
        <v>42535.97865740741</v>
      </c>
      <c r="T3455" s="4">
        <f t="shared" si="321"/>
        <v>42595.97865740741</v>
      </c>
      <c r="U3455" s="5">
        <f>VLOOKUP(currency,Tables!$A$1:$C$14,3,FALSE)*pledged</f>
        <v>508.20000000000005</v>
      </c>
    </row>
    <row r="3456" spans="1:21" ht="43.2" x14ac:dyDescent="0.55000000000000004">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16">
        <f t="shared" si="319"/>
        <v>33.571428571428569</v>
      </c>
      <c r="Q3456" t="str">
        <f t="shared" si="322"/>
        <v>theater</v>
      </c>
      <c r="R3456" t="str">
        <f t="shared" si="323"/>
        <v>plays</v>
      </c>
      <c r="S3456" s="4">
        <f t="shared" si="320"/>
        <v>41821.698599537034</v>
      </c>
      <c r="T3456" s="4">
        <f t="shared" si="321"/>
        <v>41851.698599537034</v>
      </c>
      <c r="U3456" s="5">
        <f>VLOOKUP(currency,Tables!$A$1:$C$14,3,FALSE)*pledged</f>
        <v>930.6</v>
      </c>
    </row>
    <row r="3457" spans="1:21" ht="43.2" x14ac:dyDescent="0.55000000000000004">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16">
        <f t="shared" si="319"/>
        <v>145.86956521739131</v>
      </c>
      <c r="Q3457" t="str">
        <f t="shared" si="322"/>
        <v>theater</v>
      </c>
      <c r="R3457" t="str">
        <f t="shared" si="323"/>
        <v>plays</v>
      </c>
      <c r="S3457" s="4">
        <f t="shared" si="320"/>
        <v>42626.7503125</v>
      </c>
      <c r="T3457" s="4">
        <f t="shared" si="321"/>
        <v>42656.7503125</v>
      </c>
      <c r="U3457" s="5">
        <f>VLOOKUP(currency,Tables!$A$1:$C$14,3,FALSE)*pledged</f>
        <v>10065</v>
      </c>
    </row>
    <row r="3458" spans="1:21" ht="43.2" x14ac:dyDescent="0.55000000000000004">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ref="O3458:O3521" si="324">pledged/goal</f>
        <v>1.913</v>
      </c>
      <c r="P3458" s="16">
        <f t="shared" ref="P3458:P3521" si="325">IF(pledged=0,0,pledged/backers_count)</f>
        <v>358.6875</v>
      </c>
      <c r="Q3458" t="str">
        <f t="shared" si="322"/>
        <v>theater</v>
      </c>
      <c r="R3458" t="str">
        <f t="shared" si="323"/>
        <v>plays</v>
      </c>
      <c r="S3458" s="4">
        <f t="shared" ref="S3458:S3521" si="326">(((Unix_launched_date/60)/60)/24)+DATE(1970,1,1)</f>
        <v>41821.205636574072</v>
      </c>
      <c r="T3458" s="4">
        <f t="shared" ref="T3458:T3521" si="327">(((Unix_deadline/60)/60)/24)+DATE(1970,1,1)</f>
        <v>41852.290972222225</v>
      </c>
      <c r="U3458" s="5">
        <f>VLOOKUP(currency,Tables!$A$1:$C$14,3,FALSE)*pledged</f>
        <v>5739</v>
      </c>
    </row>
    <row r="3459" spans="1:21" ht="28.8" x14ac:dyDescent="0.55000000000000004">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si="324"/>
        <v>1.4019999999999999</v>
      </c>
      <c r="P3459" s="16">
        <f t="shared" si="325"/>
        <v>50.981818181818184</v>
      </c>
      <c r="Q3459" t="str">
        <f t="shared" ref="Q3459:Q3522" si="328">LEFT(N3459,FIND("/",N3459,1)-1)</f>
        <v>theater</v>
      </c>
      <c r="R3459" t="str">
        <f t="shared" ref="R3459:R3522" si="329">RIGHT(N3459,(LEN(N3459)-FIND("/",N3459,1)))</f>
        <v>plays</v>
      </c>
      <c r="S3459" s="4">
        <f t="shared" si="326"/>
        <v>42016.706678240742</v>
      </c>
      <c r="T3459" s="4">
        <f t="shared" si="327"/>
        <v>42047.249305555553</v>
      </c>
      <c r="U3459" s="5">
        <f>VLOOKUP(currency,Tables!$A$1:$C$14,3,FALSE)*pledged</f>
        <v>2804</v>
      </c>
    </row>
    <row r="3460" spans="1:21" ht="43.2" x14ac:dyDescent="0.55000000000000004">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16">
        <f t="shared" si="325"/>
        <v>45.037037037037038</v>
      </c>
      <c r="Q3460" t="str">
        <f t="shared" si="328"/>
        <v>theater</v>
      </c>
      <c r="R3460" t="str">
        <f t="shared" si="329"/>
        <v>plays</v>
      </c>
      <c r="S3460" s="4">
        <f t="shared" si="326"/>
        <v>42011.202581018515</v>
      </c>
      <c r="T3460" s="4">
        <f t="shared" si="327"/>
        <v>42038.185416666667</v>
      </c>
      <c r="U3460" s="5">
        <f>VLOOKUP(currency,Tables!$A$1:$C$14,3,FALSE)*pledged</f>
        <v>1216</v>
      </c>
    </row>
    <row r="3461" spans="1:21" ht="43.2" x14ac:dyDescent="0.55000000000000004">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324"/>
        <v>1.262</v>
      </c>
      <c r="P3461" s="16">
        <f t="shared" si="325"/>
        <v>17.527777777777779</v>
      </c>
      <c r="Q3461" t="str">
        <f t="shared" si="328"/>
        <v>theater</v>
      </c>
      <c r="R3461" t="str">
        <f t="shared" si="329"/>
        <v>plays</v>
      </c>
      <c r="S3461" s="4">
        <f t="shared" si="326"/>
        <v>42480.479861111111</v>
      </c>
      <c r="T3461" s="4">
        <f t="shared" si="327"/>
        <v>42510.479861111111</v>
      </c>
      <c r="U3461" s="5">
        <f>VLOOKUP(currency,Tables!$A$1:$C$14,3,FALSE)*pledged</f>
        <v>832.92000000000007</v>
      </c>
    </row>
    <row r="3462" spans="1:21" ht="43.2" x14ac:dyDescent="0.55000000000000004">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324"/>
        <v>1.9</v>
      </c>
      <c r="P3462" s="16">
        <f t="shared" si="325"/>
        <v>50</v>
      </c>
      <c r="Q3462" t="str">
        <f t="shared" si="328"/>
        <v>theater</v>
      </c>
      <c r="R3462" t="str">
        <f t="shared" si="329"/>
        <v>plays</v>
      </c>
      <c r="S3462" s="4">
        <f t="shared" si="326"/>
        <v>41852.527222222219</v>
      </c>
      <c r="T3462" s="4">
        <f t="shared" si="327"/>
        <v>41866.527222222219</v>
      </c>
      <c r="U3462" s="5">
        <f>VLOOKUP(currency,Tables!$A$1:$C$14,3,FALSE)*pledged</f>
        <v>1254</v>
      </c>
    </row>
    <row r="3463" spans="1:21" ht="43.2" x14ac:dyDescent="0.55000000000000004">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324"/>
        <v>1.39</v>
      </c>
      <c r="P3463" s="16">
        <f t="shared" si="325"/>
        <v>57.916666666666664</v>
      </c>
      <c r="Q3463" t="str">
        <f t="shared" si="328"/>
        <v>theater</v>
      </c>
      <c r="R3463" t="str">
        <f t="shared" si="329"/>
        <v>plays</v>
      </c>
      <c r="S3463" s="4">
        <f t="shared" si="326"/>
        <v>42643.632858796293</v>
      </c>
      <c r="T3463" s="4">
        <f t="shared" si="327"/>
        <v>42672.125</v>
      </c>
      <c r="U3463" s="5">
        <f>VLOOKUP(currency,Tables!$A$1:$C$14,3,FALSE)*pledged</f>
        <v>695</v>
      </c>
    </row>
    <row r="3464" spans="1:21" ht="43.2" x14ac:dyDescent="0.55000000000000004">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324"/>
        <v>2.02</v>
      </c>
      <c r="P3464" s="16">
        <f t="shared" si="325"/>
        <v>29.705882352941178</v>
      </c>
      <c r="Q3464" t="str">
        <f t="shared" si="328"/>
        <v>theater</v>
      </c>
      <c r="R3464" t="str">
        <f t="shared" si="329"/>
        <v>plays</v>
      </c>
      <c r="S3464" s="4">
        <f t="shared" si="326"/>
        <v>42179.898472222223</v>
      </c>
      <c r="T3464" s="4">
        <f t="shared" si="327"/>
        <v>42195.75</v>
      </c>
      <c r="U3464" s="5">
        <f>VLOOKUP(currency,Tables!$A$1:$C$14,3,FALSE)*pledged</f>
        <v>505</v>
      </c>
    </row>
    <row r="3465" spans="1:21" ht="43.2" x14ac:dyDescent="0.55000000000000004">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16">
        <f t="shared" si="325"/>
        <v>90.684210526315795</v>
      </c>
      <c r="Q3465" t="str">
        <f t="shared" si="328"/>
        <v>theater</v>
      </c>
      <c r="R3465" t="str">
        <f t="shared" si="329"/>
        <v>plays</v>
      </c>
      <c r="S3465" s="4">
        <f t="shared" si="326"/>
        <v>42612.918807870374</v>
      </c>
      <c r="T3465" s="4">
        <f t="shared" si="327"/>
        <v>42654.165972222225</v>
      </c>
      <c r="U3465" s="5">
        <f>VLOOKUP(currency,Tables!$A$1:$C$14,3,FALSE)*pledged</f>
        <v>7856.88</v>
      </c>
    </row>
    <row r="3466" spans="1:21" ht="43.2" x14ac:dyDescent="0.55000000000000004">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16">
        <f t="shared" si="325"/>
        <v>55.012688172043013</v>
      </c>
      <c r="Q3466" t="str">
        <f t="shared" si="328"/>
        <v>theater</v>
      </c>
      <c r="R3466" t="str">
        <f t="shared" si="329"/>
        <v>plays</v>
      </c>
      <c r="S3466" s="4">
        <f t="shared" si="326"/>
        <v>42575.130057870367</v>
      </c>
      <c r="T3466" s="4">
        <f t="shared" si="327"/>
        <v>42605.130057870367</v>
      </c>
      <c r="U3466" s="5">
        <f>VLOOKUP(currency,Tables!$A$1:$C$14,3,FALSE)*pledged</f>
        <v>5116.18</v>
      </c>
    </row>
    <row r="3467" spans="1:21" ht="43.2" x14ac:dyDescent="0.55000000000000004">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324"/>
        <v>1.03</v>
      </c>
      <c r="P3467" s="16">
        <f t="shared" si="325"/>
        <v>57.222222222222221</v>
      </c>
      <c r="Q3467" t="str">
        <f t="shared" si="328"/>
        <v>theater</v>
      </c>
      <c r="R3467" t="str">
        <f t="shared" si="329"/>
        <v>plays</v>
      </c>
      <c r="S3467" s="4">
        <f t="shared" si="326"/>
        <v>42200.625833333332</v>
      </c>
      <c r="T3467" s="4">
        <f t="shared" si="327"/>
        <v>42225.666666666672</v>
      </c>
      <c r="U3467" s="5">
        <f>VLOOKUP(currency,Tables!$A$1:$C$14,3,FALSE)*pledged</f>
        <v>2719.2000000000003</v>
      </c>
    </row>
    <row r="3468" spans="1:21" ht="28.8" x14ac:dyDescent="0.55000000000000004">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16">
        <f t="shared" si="325"/>
        <v>72.950819672131146</v>
      </c>
      <c r="Q3468" t="str">
        <f t="shared" si="328"/>
        <v>theater</v>
      </c>
      <c r="R3468" t="str">
        <f t="shared" si="329"/>
        <v>plays</v>
      </c>
      <c r="S3468" s="4">
        <f t="shared" si="326"/>
        <v>42420.019097222219</v>
      </c>
      <c r="T3468" s="4">
        <f t="shared" si="327"/>
        <v>42479.977430555555</v>
      </c>
      <c r="U3468" s="5">
        <f>VLOOKUP(currency,Tables!$A$1:$C$14,3,FALSE)*pledged</f>
        <v>4450</v>
      </c>
    </row>
    <row r="3469" spans="1:21" x14ac:dyDescent="0.55000000000000004">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324"/>
        <v>1.01</v>
      </c>
      <c r="P3469" s="16">
        <f t="shared" si="325"/>
        <v>64.468085106382972</v>
      </c>
      <c r="Q3469" t="str">
        <f t="shared" si="328"/>
        <v>theater</v>
      </c>
      <c r="R3469" t="str">
        <f t="shared" si="329"/>
        <v>plays</v>
      </c>
      <c r="S3469" s="4">
        <f t="shared" si="326"/>
        <v>42053.671666666662</v>
      </c>
      <c r="T3469" s="4">
        <f t="shared" si="327"/>
        <v>42083.630000000005</v>
      </c>
      <c r="U3469" s="5">
        <f>VLOOKUP(currency,Tables!$A$1:$C$14,3,FALSE)*pledged</f>
        <v>3030</v>
      </c>
    </row>
    <row r="3470" spans="1:21" ht="43.2" x14ac:dyDescent="0.55000000000000004">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16">
        <f t="shared" si="325"/>
        <v>716.35294117647061</v>
      </c>
      <c r="Q3470" t="str">
        <f t="shared" si="328"/>
        <v>theater</v>
      </c>
      <c r="R3470" t="str">
        <f t="shared" si="329"/>
        <v>plays</v>
      </c>
      <c r="S3470" s="4">
        <f t="shared" si="326"/>
        <v>42605.765381944439</v>
      </c>
      <c r="T3470" s="4">
        <f t="shared" si="327"/>
        <v>42634.125</v>
      </c>
      <c r="U3470" s="5">
        <f>VLOOKUP(currency,Tables!$A$1:$C$14,3,FALSE)*pledged</f>
        <v>12178</v>
      </c>
    </row>
    <row r="3471" spans="1:21" ht="43.2" x14ac:dyDescent="0.55000000000000004">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16">
        <f t="shared" si="325"/>
        <v>50.396825396825399</v>
      </c>
      <c r="Q3471" t="str">
        <f t="shared" si="328"/>
        <v>theater</v>
      </c>
      <c r="R3471" t="str">
        <f t="shared" si="329"/>
        <v>plays</v>
      </c>
      <c r="S3471" s="4">
        <f t="shared" si="326"/>
        <v>42458.641724537039</v>
      </c>
      <c r="T3471" s="4">
        <f t="shared" si="327"/>
        <v>42488.641724537039</v>
      </c>
      <c r="U3471" s="5">
        <f>VLOOKUP(currency,Tables!$A$1:$C$14,3,FALSE)*pledged</f>
        <v>3175</v>
      </c>
    </row>
    <row r="3472" spans="1:21" ht="28.8" x14ac:dyDescent="0.55000000000000004">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324"/>
        <v>1.5</v>
      </c>
      <c r="P3472" s="16">
        <f t="shared" si="325"/>
        <v>41.666666666666664</v>
      </c>
      <c r="Q3472" t="str">
        <f t="shared" si="328"/>
        <v>theater</v>
      </c>
      <c r="R3472" t="str">
        <f t="shared" si="329"/>
        <v>plays</v>
      </c>
      <c r="S3472" s="4">
        <f t="shared" si="326"/>
        <v>42529.022013888884</v>
      </c>
      <c r="T3472" s="4">
        <f t="shared" si="327"/>
        <v>42566.901388888888</v>
      </c>
      <c r="U3472" s="5">
        <f>VLOOKUP(currency,Tables!$A$1:$C$14,3,FALSE)*pledged</f>
        <v>375</v>
      </c>
    </row>
    <row r="3473" spans="1:21" ht="43.2" x14ac:dyDescent="0.55000000000000004">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16">
        <f t="shared" si="325"/>
        <v>35.766666666666666</v>
      </c>
      <c r="Q3473" t="str">
        <f t="shared" si="328"/>
        <v>theater</v>
      </c>
      <c r="R3473" t="str">
        <f t="shared" si="329"/>
        <v>plays</v>
      </c>
      <c r="S3473" s="4">
        <f t="shared" si="326"/>
        <v>41841.820486111108</v>
      </c>
      <c r="T3473" s="4">
        <f t="shared" si="327"/>
        <v>41882.833333333336</v>
      </c>
      <c r="U3473" s="5">
        <f>VLOOKUP(currency,Tables!$A$1:$C$14,3,FALSE)*pledged</f>
        <v>1416.3600000000001</v>
      </c>
    </row>
    <row r="3474" spans="1:21" ht="43.2" x14ac:dyDescent="0.55000000000000004">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16">
        <f t="shared" si="325"/>
        <v>88.739130434782609</v>
      </c>
      <c r="Q3474" t="str">
        <f t="shared" si="328"/>
        <v>theater</v>
      </c>
      <c r="R3474" t="str">
        <f t="shared" si="329"/>
        <v>plays</v>
      </c>
      <c r="S3474" s="4">
        <f t="shared" si="326"/>
        <v>41928.170497685183</v>
      </c>
      <c r="T3474" s="4">
        <f t="shared" si="327"/>
        <v>41949.249305555553</v>
      </c>
      <c r="U3474" s="5">
        <f>VLOOKUP(currency,Tables!$A$1:$C$14,3,FALSE)*pledged</f>
        <v>2041</v>
      </c>
    </row>
    <row r="3475" spans="1:21" ht="43.2" x14ac:dyDescent="0.55000000000000004">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324"/>
        <v>1</v>
      </c>
      <c r="P3475" s="16">
        <f t="shared" si="325"/>
        <v>148.4848484848485</v>
      </c>
      <c r="Q3475" t="str">
        <f t="shared" si="328"/>
        <v>theater</v>
      </c>
      <c r="R3475" t="str">
        <f t="shared" si="329"/>
        <v>plays</v>
      </c>
      <c r="S3475" s="4">
        <f t="shared" si="326"/>
        <v>42062.834444444445</v>
      </c>
      <c r="T3475" s="4">
        <f t="shared" si="327"/>
        <v>42083.852083333331</v>
      </c>
      <c r="U3475" s="5">
        <f>VLOOKUP(currency,Tables!$A$1:$C$14,3,FALSE)*pledged</f>
        <v>4900</v>
      </c>
    </row>
    <row r="3476" spans="1:21" ht="43.2" x14ac:dyDescent="0.55000000000000004">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324"/>
        <v>1.01</v>
      </c>
      <c r="P3476" s="16">
        <f t="shared" si="325"/>
        <v>51.794871794871796</v>
      </c>
      <c r="Q3476" t="str">
        <f t="shared" si="328"/>
        <v>theater</v>
      </c>
      <c r="R3476" t="str">
        <f t="shared" si="329"/>
        <v>plays</v>
      </c>
      <c r="S3476" s="4">
        <f t="shared" si="326"/>
        <v>42541.501516203702</v>
      </c>
      <c r="T3476" s="4">
        <f t="shared" si="327"/>
        <v>42571.501516203702</v>
      </c>
      <c r="U3476" s="5">
        <f>VLOOKUP(currency,Tables!$A$1:$C$14,3,FALSE)*pledged</f>
        <v>2666.4</v>
      </c>
    </row>
    <row r="3477" spans="1:21" ht="43.2" x14ac:dyDescent="0.55000000000000004">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16">
        <f t="shared" si="325"/>
        <v>20</v>
      </c>
      <c r="Q3477" t="str">
        <f t="shared" si="328"/>
        <v>theater</v>
      </c>
      <c r="R3477" t="str">
        <f t="shared" si="329"/>
        <v>plays</v>
      </c>
      <c r="S3477" s="4">
        <f t="shared" si="326"/>
        <v>41918.880833333329</v>
      </c>
      <c r="T3477" s="4">
        <f t="shared" si="327"/>
        <v>41946</v>
      </c>
      <c r="U3477" s="5">
        <f>VLOOKUP(currency,Tables!$A$1:$C$14,3,FALSE)*pledged</f>
        <v>448.8</v>
      </c>
    </row>
    <row r="3478" spans="1:21" ht="43.2" x14ac:dyDescent="0.55000000000000004">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324"/>
        <v>1.04</v>
      </c>
      <c r="P3478" s="16">
        <f t="shared" si="325"/>
        <v>52</v>
      </c>
      <c r="Q3478" t="str">
        <f t="shared" si="328"/>
        <v>theater</v>
      </c>
      <c r="R3478" t="str">
        <f t="shared" si="329"/>
        <v>plays</v>
      </c>
      <c r="S3478" s="4">
        <f t="shared" si="326"/>
        <v>41921.279976851853</v>
      </c>
      <c r="T3478" s="4">
        <f t="shared" si="327"/>
        <v>41939.125</v>
      </c>
      <c r="U3478" s="5">
        <f>VLOOKUP(currency,Tables!$A$1:$C$14,3,FALSE)*pledged</f>
        <v>312</v>
      </c>
    </row>
    <row r="3479" spans="1:21" ht="43.2" x14ac:dyDescent="0.55000000000000004">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16">
        <f t="shared" si="325"/>
        <v>53.230769230769234</v>
      </c>
      <c r="Q3479" t="str">
        <f t="shared" si="328"/>
        <v>theater</v>
      </c>
      <c r="R3479" t="str">
        <f t="shared" si="329"/>
        <v>plays</v>
      </c>
      <c r="S3479" s="4">
        <f t="shared" si="326"/>
        <v>42128.736608796295</v>
      </c>
      <c r="T3479" s="4">
        <f t="shared" si="327"/>
        <v>42141.125</v>
      </c>
      <c r="U3479" s="5">
        <f>VLOOKUP(currency,Tables!$A$1:$C$14,3,FALSE)*pledged</f>
        <v>2076</v>
      </c>
    </row>
    <row r="3480" spans="1:21" ht="43.2" x14ac:dyDescent="0.55000000000000004">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16">
        <f t="shared" si="325"/>
        <v>39.596491228070178</v>
      </c>
      <c r="Q3480" t="str">
        <f t="shared" si="328"/>
        <v>theater</v>
      </c>
      <c r="R3480" t="str">
        <f t="shared" si="329"/>
        <v>plays</v>
      </c>
      <c r="S3480" s="4">
        <f t="shared" si="326"/>
        <v>42053.916921296302</v>
      </c>
      <c r="T3480" s="4">
        <f t="shared" si="327"/>
        <v>42079.875</v>
      </c>
      <c r="U3480" s="5">
        <f>VLOOKUP(currency,Tables!$A$1:$C$14,3,FALSE)*pledged</f>
        <v>2257</v>
      </c>
    </row>
    <row r="3481" spans="1:21" ht="43.2" x14ac:dyDescent="0.55000000000000004">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16">
        <f t="shared" si="325"/>
        <v>34.25</v>
      </c>
      <c r="Q3481" t="str">
        <f t="shared" si="328"/>
        <v>theater</v>
      </c>
      <c r="R3481" t="str">
        <f t="shared" si="329"/>
        <v>plays</v>
      </c>
      <c r="S3481" s="4">
        <f t="shared" si="326"/>
        <v>41781.855092592588</v>
      </c>
      <c r="T3481" s="4">
        <f t="shared" si="327"/>
        <v>41811.855092592588</v>
      </c>
      <c r="U3481" s="5">
        <f>VLOOKUP(currency,Tables!$A$1:$C$14,3,FALSE)*pledged</f>
        <v>2531.7600000000002</v>
      </c>
    </row>
    <row r="3482" spans="1:21" ht="43.2" x14ac:dyDescent="0.55000000000000004">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16">
        <f t="shared" si="325"/>
        <v>164.61538461538461</v>
      </c>
      <c r="Q3482" t="str">
        <f t="shared" si="328"/>
        <v>theater</v>
      </c>
      <c r="R3482" t="str">
        <f t="shared" si="329"/>
        <v>plays</v>
      </c>
      <c r="S3482" s="4">
        <f t="shared" si="326"/>
        <v>42171.317442129628</v>
      </c>
      <c r="T3482" s="4">
        <f t="shared" si="327"/>
        <v>42195.875</v>
      </c>
      <c r="U3482" s="5">
        <f>VLOOKUP(currency,Tables!$A$1:$C$14,3,FALSE)*pledged</f>
        <v>2140</v>
      </c>
    </row>
    <row r="3483" spans="1:21" ht="43.2" x14ac:dyDescent="0.55000000000000004">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16">
        <f t="shared" si="325"/>
        <v>125.05263157894737</v>
      </c>
      <c r="Q3483" t="str">
        <f t="shared" si="328"/>
        <v>theater</v>
      </c>
      <c r="R3483" t="str">
        <f t="shared" si="329"/>
        <v>plays</v>
      </c>
      <c r="S3483" s="4">
        <f t="shared" si="326"/>
        <v>41989.24754629629</v>
      </c>
      <c r="T3483" s="4">
        <f t="shared" si="327"/>
        <v>42006.24754629629</v>
      </c>
      <c r="U3483" s="5">
        <f>VLOOKUP(currency,Tables!$A$1:$C$14,3,FALSE)*pledged</f>
        <v>8672.4</v>
      </c>
    </row>
    <row r="3484" spans="1:21" ht="43.2" x14ac:dyDescent="0.55000000000000004">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16">
        <f t="shared" si="325"/>
        <v>51.875</v>
      </c>
      <c r="Q3484" t="str">
        <f t="shared" si="328"/>
        <v>theater</v>
      </c>
      <c r="R3484" t="str">
        <f t="shared" si="329"/>
        <v>plays</v>
      </c>
      <c r="S3484" s="4">
        <f t="shared" si="326"/>
        <v>41796.771597222221</v>
      </c>
      <c r="T3484" s="4">
        <f t="shared" si="327"/>
        <v>41826.771597222221</v>
      </c>
      <c r="U3484" s="5">
        <f>VLOOKUP(currency,Tables!$A$1:$C$14,3,FALSE)*pledged</f>
        <v>5478</v>
      </c>
    </row>
    <row r="3485" spans="1:21" ht="43.2" x14ac:dyDescent="0.55000000000000004">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16">
        <f t="shared" si="325"/>
        <v>40.285714285714285</v>
      </c>
      <c r="Q3485" t="str">
        <f t="shared" si="328"/>
        <v>theater</v>
      </c>
      <c r="R3485" t="str">
        <f t="shared" si="329"/>
        <v>plays</v>
      </c>
      <c r="S3485" s="4">
        <f t="shared" si="326"/>
        <v>41793.668761574074</v>
      </c>
      <c r="T3485" s="4">
        <f t="shared" si="327"/>
        <v>41823.668761574074</v>
      </c>
      <c r="U3485" s="5">
        <f>VLOOKUP(currency,Tables!$A$1:$C$14,3,FALSE)*pledged</f>
        <v>5358</v>
      </c>
    </row>
    <row r="3486" spans="1:21" ht="43.2" x14ac:dyDescent="0.55000000000000004">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16">
        <f t="shared" si="325"/>
        <v>64.909090909090907</v>
      </c>
      <c r="Q3486" t="str">
        <f t="shared" si="328"/>
        <v>theater</v>
      </c>
      <c r="R3486" t="str">
        <f t="shared" si="329"/>
        <v>plays</v>
      </c>
      <c r="S3486" s="4">
        <f t="shared" si="326"/>
        <v>42506.760405092587</v>
      </c>
      <c r="T3486" s="4">
        <f t="shared" si="327"/>
        <v>42536.760405092587</v>
      </c>
      <c r="U3486" s="5">
        <f>VLOOKUP(currency,Tables!$A$1:$C$14,3,FALSE)*pledged</f>
        <v>2856</v>
      </c>
    </row>
    <row r="3487" spans="1:21" ht="43.2" x14ac:dyDescent="0.55000000000000004">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16">
        <f t="shared" si="325"/>
        <v>55.333333333333336</v>
      </c>
      <c r="Q3487" t="str">
        <f t="shared" si="328"/>
        <v>theater</v>
      </c>
      <c r="R3487" t="str">
        <f t="shared" si="329"/>
        <v>plays</v>
      </c>
      <c r="S3487" s="4">
        <f t="shared" si="326"/>
        <v>42372.693055555559</v>
      </c>
      <c r="T3487" s="4">
        <f t="shared" si="327"/>
        <v>42402.693055555559</v>
      </c>
      <c r="U3487" s="5">
        <f>VLOOKUP(currency,Tables!$A$1:$C$14,3,FALSE)*pledged</f>
        <v>1660</v>
      </c>
    </row>
    <row r="3488" spans="1:21" ht="43.2" x14ac:dyDescent="0.55000000000000004">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16">
        <f t="shared" si="325"/>
        <v>83.142857142857139</v>
      </c>
      <c r="Q3488" t="str">
        <f t="shared" si="328"/>
        <v>theater</v>
      </c>
      <c r="R3488" t="str">
        <f t="shared" si="329"/>
        <v>plays</v>
      </c>
      <c r="S3488" s="4">
        <f t="shared" si="326"/>
        <v>42126.87501157407</v>
      </c>
      <c r="T3488" s="4">
        <f t="shared" si="327"/>
        <v>42158.290972222225</v>
      </c>
      <c r="U3488" s="5">
        <f>VLOOKUP(currency,Tables!$A$1:$C$14,3,FALSE)*pledged</f>
        <v>4656</v>
      </c>
    </row>
    <row r="3489" spans="1:21" ht="43.2" x14ac:dyDescent="0.55000000000000004">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16">
        <f t="shared" si="325"/>
        <v>38.712121212121211</v>
      </c>
      <c r="Q3489" t="str">
        <f t="shared" si="328"/>
        <v>theater</v>
      </c>
      <c r="R3489" t="str">
        <f t="shared" si="329"/>
        <v>plays</v>
      </c>
      <c r="S3489" s="4">
        <f t="shared" si="326"/>
        <v>42149.940416666665</v>
      </c>
      <c r="T3489" s="4">
        <f t="shared" si="327"/>
        <v>42179.940416666665</v>
      </c>
      <c r="U3489" s="5">
        <f>VLOOKUP(currency,Tables!$A$1:$C$14,3,FALSE)*pledged</f>
        <v>3372.6000000000004</v>
      </c>
    </row>
    <row r="3490" spans="1:21" ht="43.2" x14ac:dyDescent="0.55000000000000004">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16">
        <f t="shared" si="325"/>
        <v>125.37931034482759</v>
      </c>
      <c r="Q3490" t="str">
        <f t="shared" si="328"/>
        <v>theater</v>
      </c>
      <c r="R3490" t="str">
        <f t="shared" si="329"/>
        <v>plays</v>
      </c>
      <c r="S3490" s="4">
        <f t="shared" si="326"/>
        <v>42087.768055555556</v>
      </c>
      <c r="T3490" s="4">
        <f t="shared" si="327"/>
        <v>42111.666666666672</v>
      </c>
      <c r="U3490" s="5">
        <f>VLOOKUP(currency,Tables!$A$1:$C$14,3,FALSE)*pledged</f>
        <v>3636</v>
      </c>
    </row>
    <row r="3491" spans="1:21" ht="43.2" x14ac:dyDescent="0.55000000000000004">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16">
        <f t="shared" si="325"/>
        <v>78.263888888888886</v>
      </c>
      <c r="Q3491" t="str">
        <f t="shared" si="328"/>
        <v>theater</v>
      </c>
      <c r="R3491" t="str">
        <f t="shared" si="329"/>
        <v>plays</v>
      </c>
      <c r="S3491" s="4">
        <f t="shared" si="326"/>
        <v>41753.635775462964</v>
      </c>
      <c r="T3491" s="4">
        <f t="shared" si="327"/>
        <v>41783.875</v>
      </c>
      <c r="U3491" s="5">
        <f>VLOOKUP(currency,Tables!$A$1:$C$14,3,FALSE)*pledged</f>
        <v>7438.2000000000007</v>
      </c>
    </row>
    <row r="3492" spans="1:21" ht="43.2" x14ac:dyDescent="0.55000000000000004">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16">
        <f t="shared" si="325"/>
        <v>47.222222222222221</v>
      </c>
      <c r="Q3492" t="str">
        <f t="shared" si="328"/>
        <v>theater</v>
      </c>
      <c r="R3492" t="str">
        <f t="shared" si="329"/>
        <v>plays</v>
      </c>
      <c r="S3492" s="4">
        <f t="shared" si="326"/>
        <v>42443.802361111113</v>
      </c>
      <c r="T3492" s="4">
        <f t="shared" si="327"/>
        <v>42473.802361111113</v>
      </c>
      <c r="U3492" s="5">
        <f>VLOOKUP(currency,Tables!$A$1:$C$14,3,FALSE)*pledged</f>
        <v>1275</v>
      </c>
    </row>
    <row r="3493" spans="1:21" ht="43.2" x14ac:dyDescent="0.55000000000000004">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16">
        <f t="shared" si="325"/>
        <v>79.099999999999994</v>
      </c>
      <c r="Q3493" t="str">
        <f t="shared" si="328"/>
        <v>theater</v>
      </c>
      <c r="R3493" t="str">
        <f t="shared" si="329"/>
        <v>plays</v>
      </c>
      <c r="S3493" s="4">
        <f t="shared" si="326"/>
        <v>42121.249814814815</v>
      </c>
      <c r="T3493" s="4">
        <f t="shared" si="327"/>
        <v>42142.249814814815</v>
      </c>
      <c r="U3493" s="5">
        <f>VLOOKUP(currency,Tables!$A$1:$C$14,3,FALSE)*pledged</f>
        <v>791</v>
      </c>
    </row>
    <row r="3494" spans="1:21" ht="43.2" x14ac:dyDescent="0.55000000000000004">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16">
        <f t="shared" si="325"/>
        <v>114.29199999999999</v>
      </c>
      <c r="Q3494" t="str">
        <f t="shared" si="328"/>
        <v>theater</v>
      </c>
      <c r="R3494" t="str">
        <f t="shared" si="329"/>
        <v>plays</v>
      </c>
      <c r="S3494" s="4">
        <f t="shared" si="326"/>
        <v>42268.009224537032</v>
      </c>
      <c r="T3494" s="4">
        <f t="shared" si="327"/>
        <v>42303.009224537032</v>
      </c>
      <c r="U3494" s="5">
        <f>VLOOKUP(currency,Tables!$A$1:$C$14,3,FALSE)*pledged</f>
        <v>4000.22</v>
      </c>
    </row>
    <row r="3495" spans="1:21" ht="43.2" x14ac:dyDescent="0.55000000000000004">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324"/>
        <v>1</v>
      </c>
      <c r="P3495" s="16">
        <f t="shared" si="325"/>
        <v>51.724137931034484</v>
      </c>
      <c r="Q3495" t="str">
        <f t="shared" si="328"/>
        <v>theater</v>
      </c>
      <c r="R3495" t="str">
        <f t="shared" si="329"/>
        <v>plays</v>
      </c>
      <c r="S3495" s="4">
        <f t="shared" si="326"/>
        <v>41848.866157407407</v>
      </c>
      <c r="T3495" s="4">
        <f t="shared" si="327"/>
        <v>41868.21597222222</v>
      </c>
      <c r="U3495" s="5">
        <f>VLOOKUP(currency,Tables!$A$1:$C$14,3,FALSE)*pledged</f>
        <v>1500</v>
      </c>
    </row>
    <row r="3496" spans="1:21" ht="43.2" x14ac:dyDescent="0.55000000000000004">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324"/>
        <v>1</v>
      </c>
      <c r="P3496" s="16">
        <f t="shared" si="325"/>
        <v>30.76923076923077</v>
      </c>
      <c r="Q3496" t="str">
        <f t="shared" si="328"/>
        <v>theater</v>
      </c>
      <c r="R3496" t="str">
        <f t="shared" si="329"/>
        <v>plays</v>
      </c>
      <c r="S3496" s="4">
        <f t="shared" si="326"/>
        <v>42689.214988425927</v>
      </c>
      <c r="T3496" s="4">
        <f t="shared" si="327"/>
        <v>42700.25</v>
      </c>
      <c r="U3496" s="5">
        <f>VLOOKUP(currency,Tables!$A$1:$C$14,3,FALSE)*pledged</f>
        <v>400</v>
      </c>
    </row>
    <row r="3497" spans="1:21" ht="43.2" x14ac:dyDescent="0.55000000000000004">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16">
        <f t="shared" si="325"/>
        <v>74.208333333333329</v>
      </c>
      <c r="Q3497" t="str">
        <f t="shared" si="328"/>
        <v>theater</v>
      </c>
      <c r="R3497" t="str">
        <f t="shared" si="329"/>
        <v>plays</v>
      </c>
      <c r="S3497" s="4">
        <f t="shared" si="326"/>
        <v>41915.762835648151</v>
      </c>
      <c r="T3497" s="4">
        <f t="shared" si="327"/>
        <v>41944.720833333333</v>
      </c>
      <c r="U3497" s="5">
        <f>VLOOKUP(currency,Tables!$A$1:$C$14,3,FALSE)*pledged</f>
        <v>4060.68</v>
      </c>
    </row>
    <row r="3498" spans="1:21" ht="43.2" x14ac:dyDescent="0.55000000000000004">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16">
        <f t="shared" si="325"/>
        <v>47.846153846153847</v>
      </c>
      <c r="Q3498" t="str">
        <f t="shared" si="328"/>
        <v>theater</v>
      </c>
      <c r="R3498" t="str">
        <f t="shared" si="329"/>
        <v>plays</v>
      </c>
      <c r="S3498" s="4">
        <f t="shared" si="326"/>
        <v>42584.846828703703</v>
      </c>
      <c r="T3498" s="4">
        <f t="shared" si="327"/>
        <v>42624.846828703703</v>
      </c>
      <c r="U3498" s="5">
        <f>VLOOKUP(currency,Tables!$A$1:$C$14,3,FALSE)*pledged</f>
        <v>3732</v>
      </c>
    </row>
    <row r="3499" spans="1:21" ht="43.2" x14ac:dyDescent="0.55000000000000004">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16">
        <f t="shared" si="325"/>
        <v>34.408163265306122</v>
      </c>
      <c r="Q3499" t="str">
        <f t="shared" si="328"/>
        <v>theater</v>
      </c>
      <c r="R3499" t="str">
        <f t="shared" si="329"/>
        <v>plays</v>
      </c>
      <c r="S3499" s="4">
        <f t="shared" si="326"/>
        <v>42511.741944444439</v>
      </c>
      <c r="T3499" s="4">
        <f t="shared" si="327"/>
        <v>42523.916666666672</v>
      </c>
      <c r="U3499" s="5">
        <f>VLOOKUP(currency,Tables!$A$1:$C$14,3,FALSE)*pledged</f>
        <v>1686</v>
      </c>
    </row>
    <row r="3500" spans="1:21" ht="43.2" x14ac:dyDescent="0.55000000000000004">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16">
        <f t="shared" si="325"/>
        <v>40.238095238095241</v>
      </c>
      <c r="Q3500" t="str">
        <f t="shared" si="328"/>
        <v>theater</v>
      </c>
      <c r="R3500" t="str">
        <f t="shared" si="329"/>
        <v>plays</v>
      </c>
      <c r="S3500" s="4">
        <f t="shared" si="326"/>
        <v>42459.15861111111</v>
      </c>
      <c r="T3500" s="4">
        <f t="shared" si="327"/>
        <v>42518.905555555553</v>
      </c>
      <c r="U3500" s="5">
        <f>VLOOKUP(currency,Tables!$A$1:$C$14,3,FALSE)*pledged</f>
        <v>1284.4000000000001</v>
      </c>
    </row>
    <row r="3501" spans="1:21" ht="43.2" x14ac:dyDescent="0.55000000000000004">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16">
        <f t="shared" si="325"/>
        <v>60.285714285714285</v>
      </c>
      <c r="Q3501" t="str">
        <f t="shared" si="328"/>
        <v>theater</v>
      </c>
      <c r="R3501" t="str">
        <f t="shared" si="329"/>
        <v>plays</v>
      </c>
      <c r="S3501" s="4">
        <f t="shared" si="326"/>
        <v>42132.036168981482</v>
      </c>
      <c r="T3501" s="4">
        <f t="shared" si="327"/>
        <v>42186.290972222225</v>
      </c>
      <c r="U3501" s="5">
        <f>VLOOKUP(currency,Tables!$A$1:$C$14,3,FALSE)*pledged</f>
        <v>2110</v>
      </c>
    </row>
    <row r="3502" spans="1:21" ht="43.2" x14ac:dyDescent="0.55000000000000004">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16">
        <f t="shared" si="325"/>
        <v>25.30952380952381</v>
      </c>
      <c r="Q3502" t="str">
        <f t="shared" si="328"/>
        <v>theater</v>
      </c>
      <c r="R3502" t="str">
        <f t="shared" si="329"/>
        <v>plays</v>
      </c>
      <c r="S3502" s="4">
        <f t="shared" si="326"/>
        <v>42419.91942129629</v>
      </c>
      <c r="T3502" s="4">
        <f t="shared" si="327"/>
        <v>42436.207638888889</v>
      </c>
      <c r="U3502" s="5">
        <f>VLOOKUP(currency,Tables!$A$1:$C$14,3,FALSE)*pledged</f>
        <v>1063</v>
      </c>
    </row>
    <row r="3503" spans="1:21" ht="43.2" x14ac:dyDescent="0.55000000000000004">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16">
        <f t="shared" si="325"/>
        <v>35.952380952380949</v>
      </c>
      <c r="Q3503" t="str">
        <f t="shared" si="328"/>
        <v>theater</v>
      </c>
      <c r="R3503" t="str">
        <f t="shared" si="329"/>
        <v>plays</v>
      </c>
      <c r="S3503" s="4">
        <f t="shared" si="326"/>
        <v>42233.763831018514</v>
      </c>
      <c r="T3503" s="4">
        <f t="shared" si="327"/>
        <v>42258.763831018514</v>
      </c>
      <c r="U3503" s="5">
        <f>VLOOKUP(currency,Tables!$A$1:$C$14,3,FALSE)*pledged</f>
        <v>1993.2</v>
      </c>
    </row>
    <row r="3504" spans="1:21" ht="43.2" x14ac:dyDescent="0.55000000000000004">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16">
        <f t="shared" si="325"/>
        <v>136</v>
      </c>
      <c r="Q3504" t="str">
        <f t="shared" si="328"/>
        <v>theater</v>
      </c>
      <c r="R3504" t="str">
        <f t="shared" si="329"/>
        <v>plays</v>
      </c>
      <c r="S3504" s="4">
        <f t="shared" si="326"/>
        <v>42430.839398148149</v>
      </c>
      <c r="T3504" s="4">
        <f t="shared" si="327"/>
        <v>42445.165972222225</v>
      </c>
      <c r="U3504" s="5">
        <f>VLOOKUP(currency,Tables!$A$1:$C$14,3,FALSE)*pledged</f>
        <v>4216</v>
      </c>
    </row>
    <row r="3505" spans="1:21" ht="43.2" x14ac:dyDescent="0.55000000000000004">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16">
        <f t="shared" si="325"/>
        <v>70.763157894736835</v>
      </c>
      <c r="Q3505" t="str">
        <f t="shared" si="328"/>
        <v>theater</v>
      </c>
      <c r="R3505" t="str">
        <f t="shared" si="329"/>
        <v>plays</v>
      </c>
      <c r="S3505" s="4">
        <f t="shared" si="326"/>
        <v>42545.478333333333</v>
      </c>
      <c r="T3505" s="4">
        <f t="shared" si="327"/>
        <v>42575.478333333333</v>
      </c>
      <c r="U3505" s="5">
        <f>VLOOKUP(currency,Tables!$A$1:$C$14,3,FALSE)*pledged</f>
        <v>3549.48</v>
      </c>
    </row>
    <row r="3506" spans="1:21" ht="43.2" x14ac:dyDescent="0.55000000000000004">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324"/>
        <v>1</v>
      </c>
      <c r="P3506" s="16">
        <f t="shared" si="325"/>
        <v>125</v>
      </c>
      <c r="Q3506" t="str">
        <f t="shared" si="328"/>
        <v>theater</v>
      </c>
      <c r="R3506" t="str">
        <f t="shared" si="329"/>
        <v>plays</v>
      </c>
      <c r="S3506" s="4">
        <f t="shared" si="326"/>
        <v>42297.748738425929</v>
      </c>
      <c r="T3506" s="4">
        <f t="shared" si="327"/>
        <v>42327.790405092594</v>
      </c>
      <c r="U3506" s="5">
        <f>VLOOKUP(currency,Tables!$A$1:$C$14,3,FALSE)*pledged</f>
        <v>1000</v>
      </c>
    </row>
    <row r="3507" spans="1:21" ht="86.4" x14ac:dyDescent="0.55000000000000004">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16">
        <f t="shared" si="325"/>
        <v>66.512820512820511</v>
      </c>
      <c r="Q3507" t="str">
        <f t="shared" si="328"/>
        <v>theater</v>
      </c>
      <c r="R3507" t="str">
        <f t="shared" si="329"/>
        <v>plays</v>
      </c>
      <c r="S3507" s="4">
        <f t="shared" si="326"/>
        <v>41760.935706018521</v>
      </c>
      <c r="T3507" s="4">
        <f t="shared" si="327"/>
        <v>41772.166666666664</v>
      </c>
      <c r="U3507" s="5">
        <f>VLOOKUP(currency,Tables!$A$1:$C$14,3,FALSE)*pledged</f>
        <v>2594</v>
      </c>
    </row>
    <row r="3508" spans="1:21" ht="43.2" x14ac:dyDescent="0.55000000000000004">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16">
        <f t="shared" si="325"/>
        <v>105</v>
      </c>
      <c r="Q3508" t="str">
        <f t="shared" si="328"/>
        <v>theater</v>
      </c>
      <c r="R3508" t="str">
        <f t="shared" si="329"/>
        <v>plays</v>
      </c>
      <c r="S3508" s="4">
        <f t="shared" si="326"/>
        <v>41829.734259259261</v>
      </c>
      <c r="T3508" s="4">
        <f t="shared" si="327"/>
        <v>41874.734259259261</v>
      </c>
      <c r="U3508" s="5">
        <f>VLOOKUP(currency,Tables!$A$1:$C$14,3,FALSE)*pledged</f>
        <v>3045</v>
      </c>
    </row>
    <row r="3509" spans="1:21" ht="28.8" x14ac:dyDescent="0.55000000000000004">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16">
        <f t="shared" si="325"/>
        <v>145</v>
      </c>
      <c r="Q3509" t="str">
        <f t="shared" si="328"/>
        <v>theater</v>
      </c>
      <c r="R3509" t="str">
        <f t="shared" si="329"/>
        <v>plays</v>
      </c>
      <c r="S3509" s="4">
        <f t="shared" si="326"/>
        <v>42491.92288194444</v>
      </c>
      <c r="T3509" s="4">
        <f t="shared" si="327"/>
        <v>42521.92288194444</v>
      </c>
      <c r="U3509" s="5">
        <f>VLOOKUP(currency,Tables!$A$1:$C$14,3,FALSE)*pledged</f>
        <v>10440</v>
      </c>
    </row>
    <row r="3510" spans="1:21" ht="43.2" x14ac:dyDescent="0.55000000000000004">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324"/>
        <v>1.8</v>
      </c>
      <c r="P3510" s="16">
        <f t="shared" si="325"/>
        <v>12</v>
      </c>
      <c r="Q3510" t="str">
        <f t="shared" si="328"/>
        <v>theater</v>
      </c>
      <c r="R3510" t="str">
        <f t="shared" si="329"/>
        <v>plays</v>
      </c>
      <c r="S3510" s="4">
        <f t="shared" si="326"/>
        <v>42477.729780092588</v>
      </c>
      <c r="T3510" s="4">
        <f t="shared" si="327"/>
        <v>42500.875</v>
      </c>
      <c r="U3510" s="5">
        <f>VLOOKUP(currency,Tables!$A$1:$C$14,3,FALSE)*pledged</f>
        <v>237.60000000000002</v>
      </c>
    </row>
    <row r="3511" spans="1:21" ht="43.2" x14ac:dyDescent="0.55000000000000004">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16">
        <f t="shared" si="325"/>
        <v>96.666666666666671</v>
      </c>
      <c r="Q3511" t="str">
        <f t="shared" si="328"/>
        <v>theater</v>
      </c>
      <c r="R3511" t="str">
        <f t="shared" si="329"/>
        <v>plays</v>
      </c>
      <c r="S3511" s="4">
        <f t="shared" si="326"/>
        <v>41950.859560185185</v>
      </c>
      <c r="T3511" s="4">
        <f t="shared" si="327"/>
        <v>41964.204861111109</v>
      </c>
      <c r="U3511" s="5">
        <f>VLOOKUP(currency,Tables!$A$1:$C$14,3,FALSE)*pledged</f>
        <v>3190</v>
      </c>
    </row>
    <row r="3512" spans="1:21" ht="43.2" x14ac:dyDescent="0.55000000000000004">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16">
        <f t="shared" si="325"/>
        <v>60.333333333333336</v>
      </c>
      <c r="Q3512" t="str">
        <f t="shared" si="328"/>
        <v>theater</v>
      </c>
      <c r="R3512" t="str">
        <f t="shared" si="329"/>
        <v>plays</v>
      </c>
      <c r="S3512" s="4">
        <f t="shared" si="326"/>
        <v>41802.62090277778</v>
      </c>
      <c r="T3512" s="4">
        <f t="shared" si="327"/>
        <v>41822.62090277778</v>
      </c>
      <c r="U3512" s="5">
        <f>VLOOKUP(currency,Tables!$A$1:$C$14,3,FALSE)*pledged</f>
        <v>905</v>
      </c>
    </row>
    <row r="3513" spans="1:21" ht="43.2" x14ac:dyDescent="0.55000000000000004">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16">
        <f t="shared" si="325"/>
        <v>79.89473684210526</v>
      </c>
      <c r="Q3513" t="str">
        <f t="shared" si="328"/>
        <v>theater</v>
      </c>
      <c r="R3513" t="str">
        <f t="shared" si="329"/>
        <v>plays</v>
      </c>
      <c r="S3513" s="4">
        <f t="shared" si="326"/>
        <v>41927.873784722222</v>
      </c>
      <c r="T3513" s="4">
        <f t="shared" si="327"/>
        <v>41950.770833333336</v>
      </c>
      <c r="U3513" s="5">
        <f>VLOOKUP(currency,Tables!$A$1:$C$14,3,FALSE)*pledged</f>
        <v>2003.76</v>
      </c>
    </row>
    <row r="3514" spans="1:21" ht="43.2" x14ac:dyDescent="0.55000000000000004">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324"/>
        <v>1</v>
      </c>
      <c r="P3514" s="16">
        <f t="shared" si="325"/>
        <v>58.823529411764703</v>
      </c>
      <c r="Q3514" t="str">
        <f t="shared" si="328"/>
        <v>theater</v>
      </c>
      <c r="R3514" t="str">
        <f t="shared" si="329"/>
        <v>plays</v>
      </c>
      <c r="S3514" s="4">
        <f t="shared" si="326"/>
        <v>42057.536944444444</v>
      </c>
      <c r="T3514" s="4">
        <f t="shared" si="327"/>
        <v>42117.49527777778</v>
      </c>
      <c r="U3514" s="5">
        <f>VLOOKUP(currency,Tables!$A$1:$C$14,3,FALSE)*pledged</f>
        <v>1320</v>
      </c>
    </row>
    <row r="3515" spans="1:21" ht="43.2" x14ac:dyDescent="0.55000000000000004">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16">
        <f t="shared" si="325"/>
        <v>75.340909090909093</v>
      </c>
      <c r="Q3515" t="str">
        <f t="shared" si="328"/>
        <v>theater</v>
      </c>
      <c r="R3515" t="str">
        <f t="shared" si="329"/>
        <v>plays</v>
      </c>
      <c r="S3515" s="4">
        <f t="shared" si="326"/>
        <v>41781.096203703702</v>
      </c>
      <c r="T3515" s="4">
        <f t="shared" si="327"/>
        <v>41794.207638888889</v>
      </c>
      <c r="U3515" s="5">
        <f>VLOOKUP(currency,Tables!$A$1:$C$14,3,FALSE)*pledged</f>
        <v>3315</v>
      </c>
    </row>
    <row r="3516" spans="1:21" ht="43.2" x14ac:dyDescent="0.55000000000000004">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16">
        <f t="shared" si="325"/>
        <v>55</v>
      </c>
      <c r="Q3516" t="str">
        <f t="shared" si="328"/>
        <v>theater</v>
      </c>
      <c r="R3516" t="str">
        <f t="shared" si="329"/>
        <v>plays</v>
      </c>
      <c r="S3516" s="4">
        <f t="shared" si="326"/>
        <v>42020.846666666665</v>
      </c>
      <c r="T3516" s="4">
        <f t="shared" si="327"/>
        <v>42037.207638888889</v>
      </c>
      <c r="U3516" s="5">
        <f>VLOOKUP(currency,Tables!$A$1:$C$14,3,FALSE)*pledged</f>
        <v>550</v>
      </c>
    </row>
    <row r="3517" spans="1:21" ht="43.2" x14ac:dyDescent="0.55000000000000004">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16">
        <f t="shared" si="325"/>
        <v>66.956521739130437</v>
      </c>
      <c r="Q3517" t="str">
        <f t="shared" si="328"/>
        <v>theater</v>
      </c>
      <c r="R3517" t="str">
        <f t="shared" si="329"/>
        <v>plays</v>
      </c>
      <c r="S3517" s="4">
        <f t="shared" si="326"/>
        <v>42125.772812499999</v>
      </c>
      <c r="T3517" s="4">
        <f t="shared" si="327"/>
        <v>42155.772812499999</v>
      </c>
      <c r="U3517" s="5">
        <f>VLOOKUP(currency,Tables!$A$1:$C$14,3,FALSE)*pledged</f>
        <v>3080</v>
      </c>
    </row>
    <row r="3518" spans="1:21" ht="43.2" x14ac:dyDescent="0.55000000000000004">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324"/>
        <v>1</v>
      </c>
      <c r="P3518" s="16">
        <f t="shared" si="325"/>
        <v>227.27272727272728</v>
      </c>
      <c r="Q3518" t="str">
        <f t="shared" si="328"/>
        <v>theater</v>
      </c>
      <c r="R3518" t="str">
        <f t="shared" si="329"/>
        <v>plays</v>
      </c>
      <c r="S3518" s="4">
        <f t="shared" si="326"/>
        <v>41856.010069444441</v>
      </c>
      <c r="T3518" s="4">
        <f t="shared" si="327"/>
        <v>41890.125</v>
      </c>
      <c r="U3518" s="5">
        <f>VLOOKUP(currency,Tables!$A$1:$C$14,3,FALSE)*pledged</f>
        <v>2500</v>
      </c>
    </row>
    <row r="3519" spans="1:21" ht="43.2" x14ac:dyDescent="0.55000000000000004">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324"/>
        <v>1</v>
      </c>
      <c r="P3519" s="16">
        <f t="shared" si="325"/>
        <v>307.69230769230768</v>
      </c>
      <c r="Q3519" t="str">
        <f t="shared" si="328"/>
        <v>theater</v>
      </c>
      <c r="R3519" t="str">
        <f t="shared" si="329"/>
        <v>plays</v>
      </c>
      <c r="S3519" s="4">
        <f t="shared" si="326"/>
        <v>41794.817523148151</v>
      </c>
      <c r="T3519" s="4">
        <f t="shared" si="327"/>
        <v>41824.458333333336</v>
      </c>
      <c r="U3519" s="5">
        <f>VLOOKUP(currency,Tables!$A$1:$C$14,3,FALSE)*pledged</f>
        <v>5280</v>
      </c>
    </row>
    <row r="3520" spans="1:21" ht="43.2" x14ac:dyDescent="0.55000000000000004">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16">
        <f t="shared" si="325"/>
        <v>50.020909090909093</v>
      </c>
      <c r="Q3520" t="str">
        <f t="shared" si="328"/>
        <v>theater</v>
      </c>
      <c r="R3520" t="str">
        <f t="shared" si="329"/>
        <v>plays</v>
      </c>
      <c r="S3520" s="4">
        <f t="shared" si="326"/>
        <v>41893.783553240741</v>
      </c>
      <c r="T3520" s="4">
        <f t="shared" si="327"/>
        <v>41914.597916666666</v>
      </c>
      <c r="U3520" s="5">
        <f>VLOOKUP(currency,Tables!$A$1:$C$14,3,FALSE)*pledged</f>
        <v>1650.69</v>
      </c>
    </row>
    <row r="3521" spans="1:21" ht="43.2" x14ac:dyDescent="0.55000000000000004">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16">
        <f t="shared" si="325"/>
        <v>72.392857142857139</v>
      </c>
      <c r="Q3521" t="str">
        <f t="shared" si="328"/>
        <v>theater</v>
      </c>
      <c r="R3521" t="str">
        <f t="shared" si="329"/>
        <v>plays</v>
      </c>
      <c r="S3521" s="4">
        <f t="shared" si="326"/>
        <v>42037.598958333328</v>
      </c>
      <c r="T3521" s="4">
        <f t="shared" si="327"/>
        <v>42067.598958333328</v>
      </c>
      <c r="U3521" s="5">
        <f>VLOOKUP(currency,Tables!$A$1:$C$14,3,FALSE)*pledged</f>
        <v>2675.6400000000003</v>
      </c>
    </row>
    <row r="3522" spans="1:21" ht="28.8" x14ac:dyDescent="0.55000000000000004">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ref="O3522:O3585" si="330">pledged/goal</f>
        <v>1.0075000000000001</v>
      </c>
      <c r="P3522" s="16">
        <f t="shared" ref="P3522:P3585" si="331">IF(pledged=0,0,pledged/backers_count)</f>
        <v>95.952380952380949</v>
      </c>
      <c r="Q3522" t="str">
        <f t="shared" si="328"/>
        <v>theater</v>
      </c>
      <c r="R3522" t="str">
        <f t="shared" si="329"/>
        <v>plays</v>
      </c>
      <c r="S3522" s="4">
        <f t="shared" ref="S3522:S3585" si="332">(((Unix_launched_date/60)/60)/24)+DATE(1970,1,1)</f>
        <v>42227.824212962965</v>
      </c>
      <c r="T3522" s="4">
        <f t="shared" ref="T3522:T3585" si="333">(((Unix_deadline/60)/60)/24)+DATE(1970,1,1)</f>
        <v>42253.57430555555</v>
      </c>
      <c r="U3522" s="5">
        <f>VLOOKUP(currency,Tables!$A$1:$C$14,3,FALSE)*pledged</f>
        <v>2659.8</v>
      </c>
    </row>
    <row r="3523" spans="1:21" ht="43.2" x14ac:dyDescent="0.55000000000000004">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si="330"/>
        <v>1.6942857142857144</v>
      </c>
      <c r="P3523" s="16">
        <f t="shared" si="331"/>
        <v>45.615384615384613</v>
      </c>
      <c r="Q3523" t="str">
        <f t="shared" ref="Q3523:Q3586" si="334">LEFT(N3523,FIND("/",N3523,1)-1)</f>
        <v>theater</v>
      </c>
      <c r="R3523" t="str">
        <f t="shared" ref="R3523:R3586" si="335">RIGHT(N3523,(LEN(N3523)-FIND("/",N3523,1)))</f>
        <v>plays</v>
      </c>
      <c r="S3523" s="4">
        <f t="shared" si="332"/>
        <v>41881.361342592594</v>
      </c>
      <c r="T3523" s="4">
        <f t="shared" si="333"/>
        <v>41911.361342592594</v>
      </c>
      <c r="U3523" s="5">
        <f>VLOOKUP(currency,Tables!$A$1:$C$14,3,FALSE)*pledged</f>
        <v>593</v>
      </c>
    </row>
    <row r="3524" spans="1:21" ht="43.2" x14ac:dyDescent="0.55000000000000004">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330"/>
        <v>1</v>
      </c>
      <c r="P3524" s="16">
        <f t="shared" si="331"/>
        <v>41.029411764705884</v>
      </c>
      <c r="Q3524" t="str">
        <f t="shared" si="334"/>
        <v>theater</v>
      </c>
      <c r="R3524" t="str">
        <f t="shared" si="335"/>
        <v>plays</v>
      </c>
      <c r="S3524" s="4">
        <f t="shared" si="332"/>
        <v>42234.789884259255</v>
      </c>
      <c r="T3524" s="4">
        <f t="shared" si="333"/>
        <v>42262.420833333337</v>
      </c>
      <c r="U3524" s="5">
        <f>VLOOKUP(currency,Tables!$A$1:$C$14,3,FALSE)*pledged</f>
        <v>1841.4</v>
      </c>
    </row>
    <row r="3525" spans="1:21" ht="43.2" x14ac:dyDescent="0.55000000000000004">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16">
        <f t="shared" si="331"/>
        <v>56.825000000000003</v>
      </c>
      <c r="Q3525" t="str">
        <f t="shared" si="334"/>
        <v>theater</v>
      </c>
      <c r="R3525" t="str">
        <f t="shared" si="335"/>
        <v>plays</v>
      </c>
      <c r="S3525" s="4">
        <f t="shared" si="332"/>
        <v>42581.397546296299</v>
      </c>
      <c r="T3525" s="4">
        <f t="shared" si="333"/>
        <v>42638.958333333328</v>
      </c>
      <c r="U3525" s="5">
        <f>VLOOKUP(currency,Tables!$A$1:$C$14,3,FALSE)*pledged</f>
        <v>6000.72</v>
      </c>
    </row>
    <row r="3526" spans="1:21" ht="43.2" x14ac:dyDescent="0.55000000000000004">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16">
        <f t="shared" si="331"/>
        <v>137.24324324324326</v>
      </c>
      <c r="Q3526" t="str">
        <f t="shared" si="334"/>
        <v>theater</v>
      </c>
      <c r="R3526" t="str">
        <f t="shared" si="335"/>
        <v>plays</v>
      </c>
      <c r="S3526" s="4">
        <f t="shared" si="332"/>
        <v>41880.76357638889</v>
      </c>
      <c r="T3526" s="4">
        <f t="shared" si="333"/>
        <v>41895.166666666664</v>
      </c>
      <c r="U3526" s="5">
        <f>VLOOKUP(currency,Tables!$A$1:$C$14,3,FALSE)*pledged</f>
        <v>10156</v>
      </c>
    </row>
    <row r="3527" spans="1:21" ht="43.2" x14ac:dyDescent="0.55000000000000004">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330"/>
        <v>1.06</v>
      </c>
      <c r="P3527" s="16">
        <f t="shared" si="331"/>
        <v>75.714285714285708</v>
      </c>
      <c r="Q3527" t="str">
        <f t="shared" si="334"/>
        <v>theater</v>
      </c>
      <c r="R3527" t="str">
        <f t="shared" si="335"/>
        <v>plays</v>
      </c>
      <c r="S3527" s="4">
        <f t="shared" si="332"/>
        <v>42214.6956712963</v>
      </c>
      <c r="T3527" s="4">
        <f t="shared" si="333"/>
        <v>42225.666666666672</v>
      </c>
      <c r="U3527" s="5">
        <f>VLOOKUP(currency,Tables!$A$1:$C$14,3,FALSE)*pledged</f>
        <v>530</v>
      </c>
    </row>
    <row r="3528" spans="1:21" ht="43.2" x14ac:dyDescent="0.55000000000000004">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330"/>
        <v>1.02</v>
      </c>
      <c r="P3528" s="16">
        <f t="shared" si="331"/>
        <v>99</v>
      </c>
      <c r="Q3528" t="str">
        <f t="shared" si="334"/>
        <v>theater</v>
      </c>
      <c r="R3528" t="str">
        <f t="shared" si="335"/>
        <v>plays</v>
      </c>
      <c r="S3528" s="4">
        <f t="shared" si="332"/>
        <v>42460.335312499999</v>
      </c>
      <c r="T3528" s="4">
        <f t="shared" si="333"/>
        <v>42488.249305555553</v>
      </c>
      <c r="U3528" s="5">
        <f>VLOOKUP(currency,Tables!$A$1:$C$14,3,FALSE)*pledged</f>
        <v>3366</v>
      </c>
    </row>
    <row r="3529" spans="1:21" ht="43.2" x14ac:dyDescent="0.55000000000000004">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16">
        <f t="shared" si="331"/>
        <v>81.569767441860463</v>
      </c>
      <c r="Q3529" t="str">
        <f t="shared" si="334"/>
        <v>theater</v>
      </c>
      <c r="R3529" t="str">
        <f t="shared" si="335"/>
        <v>plays</v>
      </c>
      <c r="S3529" s="4">
        <f t="shared" si="332"/>
        <v>42167.023206018523</v>
      </c>
      <c r="T3529" s="4">
        <f t="shared" si="333"/>
        <v>42196.165972222225</v>
      </c>
      <c r="U3529" s="5">
        <f>VLOOKUP(currency,Tables!$A$1:$C$14,3,FALSE)*pledged</f>
        <v>7015</v>
      </c>
    </row>
    <row r="3530" spans="1:21" ht="43.2" x14ac:dyDescent="0.55000000000000004">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16">
        <f t="shared" si="331"/>
        <v>45.108108108108105</v>
      </c>
      <c r="Q3530" t="str">
        <f t="shared" si="334"/>
        <v>theater</v>
      </c>
      <c r="R3530" t="str">
        <f t="shared" si="335"/>
        <v>plays</v>
      </c>
      <c r="S3530" s="4">
        <f t="shared" si="332"/>
        <v>42733.50136574074</v>
      </c>
      <c r="T3530" s="4">
        <f t="shared" si="333"/>
        <v>42753.50136574074</v>
      </c>
      <c r="U3530" s="5">
        <f>VLOOKUP(currency,Tables!$A$1:$C$14,3,FALSE)*pledged</f>
        <v>2203.08</v>
      </c>
    </row>
    <row r="3531" spans="1:21" ht="43.2" x14ac:dyDescent="0.55000000000000004">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330"/>
        <v>1.32</v>
      </c>
      <c r="P3531" s="16">
        <f t="shared" si="331"/>
        <v>36.666666666666664</v>
      </c>
      <c r="Q3531" t="str">
        <f t="shared" si="334"/>
        <v>theater</v>
      </c>
      <c r="R3531" t="str">
        <f t="shared" si="335"/>
        <v>plays</v>
      </c>
      <c r="S3531" s="4">
        <f t="shared" si="332"/>
        <v>42177.761782407411</v>
      </c>
      <c r="T3531" s="4">
        <f t="shared" si="333"/>
        <v>42198.041666666672</v>
      </c>
      <c r="U3531" s="5">
        <f>VLOOKUP(currency,Tables!$A$1:$C$14,3,FALSE)*pledged</f>
        <v>660</v>
      </c>
    </row>
    <row r="3532" spans="1:21" ht="43.2" x14ac:dyDescent="0.55000000000000004">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330"/>
        <v>1</v>
      </c>
      <c r="P3532" s="16">
        <f t="shared" si="331"/>
        <v>125</v>
      </c>
      <c r="Q3532" t="str">
        <f t="shared" si="334"/>
        <v>theater</v>
      </c>
      <c r="R3532" t="str">
        <f t="shared" si="335"/>
        <v>plays</v>
      </c>
      <c r="S3532" s="4">
        <f t="shared" si="332"/>
        <v>42442.623344907406</v>
      </c>
      <c r="T3532" s="4">
        <f t="shared" si="333"/>
        <v>42470.833333333328</v>
      </c>
      <c r="U3532" s="5">
        <f>VLOOKUP(currency,Tables!$A$1:$C$14,3,FALSE)*pledged</f>
        <v>3630</v>
      </c>
    </row>
    <row r="3533" spans="1:21" x14ac:dyDescent="0.55000000000000004">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330"/>
        <v>1.28</v>
      </c>
      <c r="P3533" s="16">
        <f t="shared" si="331"/>
        <v>49.230769230769234</v>
      </c>
      <c r="Q3533" t="str">
        <f t="shared" si="334"/>
        <v>theater</v>
      </c>
      <c r="R3533" t="str">
        <f t="shared" si="335"/>
        <v>plays</v>
      </c>
      <c r="S3533" s="4">
        <f t="shared" si="332"/>
        <v>42521.654328703706</v>
      </c>
      <c r="T3533" s="4">
        <f t="shared" si="333"/>
        <v>42551.654328703706</v>
      </c>
      <c r="U3533" s="5">
        <f>VLOOKUP(currency,Tables!$A$1:$C$14,3,FALSE)*pledged</f>
        <v>1280</v>
      </c>
    </row>
    <row r="3534" spans="1:21" ht="43.2" x14ac:dyDescent="0.55000000000000004">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16">
        <f t="shared" si="331"/>
        <v>42.296296296296298</v>
      </c>
      <c r="Q3534" t="str">
        <f t="shared" si="334"/>
        <v>theater</v>
      </c>
      <c r="R3534" t="str">
        <f t="shared" si="335"/>
        <v>plays</v>
      </c>
      <c r="S3534" s="4">
        <f t="shared" si="332"/>
        <v>41884.599849537037</v>
      </c>
      <c r="T3534" s="4">
        <f t="shared" si="333"/>
        <v>41900.165972222225</v>
      </c>
      <c r="U3534" s="5">
        <f>VLOOKUP(currency,Tables!$A$1:$C$14,3,FALSE)*pledged</f>
        <v>1142</v>
      </c>
    </row>
    <row r="3535" spans="1:21" ht="43.2" x14ac:dyDescent="0.55000000000000004">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330"/>
        <v>1.262</v>
      </c>
      <c r="P3535" s="16">
        <f t="shared" si="331"/>
        <v>78.875</v>
      </c>
      <c r="Q3535" t="str">
        <f t="shared" si="334"/>
        <v>theater</v>
      </c>
      <c r="R3535" t="str">
        <f t="shared" si="335"/>
        <v>plays</v>
      </c>
      <c r="S3535" s="4">
        <f t="shared" si="332"/>
        <v>42289.761192129634</v>
      </c>
      <c r="T3535" s="4">
        <f t="shared" si="333"/>
        <v>42319.802858796291</v>
      </c>
      <c r="U3535" s="5">
        <f>VLOOKUP(currency,Tables!$A$1:$C$14,3,FALSE)*pledged</f>
        <v>631</v>
      </c>
    </row>
    <row r="3536" spans="1:21" ht="28.8" x14ac:dyDescent="0.55000000000000004">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16">
        <f t="shared" si="331"/>
        <v>38.284313725490193</v>
      </c>
      <c r="Q3536" t="str">
        <f t="shared" si="334"/>
        <v>theater</v>
      </c>
      <c r="R3536" t="str">
        <f t="shared" si="335"/>
        <v>plays</v>
      </c>
      <c r="S3536" s="4">
        <f t="shared" si="332"/>
        <v>42243.6252662037</v>
      </c>
      <c r="T3536" s="4">
        <f t="shared" si="333"/>
        <v>42278.6252662037</v>
      </c>
      <c r="U3536" s="5">
        <f>VLOOKUP(currency,Tables!$A$1:$C$14,3,FALSE)*pledged</f>
        <v>7810</v>
      </c>
    </row>
    <row r="3537" spans="1:21" ht="43.2" x14ac:dyDescent="0.55000000000000004">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16">
        <f t="shared" si="331"/>
        <v>44.847826086956523</v>
      </c>
      <c r="Q3537" t="str">
        <f t="shared" si="334"/>
        <v>theater</v>
      </c>
      <c r="R3537" t="str">
        <f t="shared" si="335"/>
        <v>plays</v>
      </c>
      <c r="S3537" s="4">
        <f t="shared" si="332"/>
        <v>42248.640162037031</v>
      </c>
      <c r="T3537" s="4">
        <f t="shared" si="333"/>
        <v>42279.75</v>
      </c>
      <c r="U3537" s="5">
        <f>VLOOKUP(currency,Tables!$A$1:$C$14,3,FALSE)*pledged</f>
        <v>2723.1600000000003</v>
      </c>
    </row>
    <row r="3538" spans="1:21" ht="43.2" x14ac:dyDescent="0.55000000000000004">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16">
        <f t="shared" si="331"/>
        <v>13.529411764705882</v>
      </c>
      <c r="Q3538" t="str">
        <f t="shared" si="334"/>
        <v>theater</v>
      </c>
      <c r="R3538" t="str">
        <f t="shared" si="335"/>
        <v>plays</v>
      </c>
      <c r="S3538" s="4">
        <f t="shared" si="332"/>
        <v>42328.727141203708</v>
      </c>
      <c r="T3538" s="4">
        <f t="shared" si="333"/>
        <v>42358.499305555553</v>
      </c>
      <c r="U3538" s="5">
        <f>VLOOKUP(currency,Tables!$A$1:$C$14,3,FALSE)*pledged</f>
        <v>303.60000000000002</v>
      </c>
    </row>
    <row r="3539" spans="1:21" ht="43.2" x14ac:dyDescent="0.55000000000000004">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16">
        <f t="shared" si="331"/>
        <v>43.5</v>
      </c>
      <c r="Q3539" t="str">
        <f t="shared" si="334"/>
        <v>theater</v>
      </c>
      <c r="R3539" t="str">
        <f t="shared" si="335"/>
        <v>plays</v>
      </c>
      <c r="S3539" s="4">
        <f t="shared" si="332"/>
        <v>41923.354351851849</v>
      </c>
      <c r="T3539" s="4">
        <f t="shared" si="333"/>
        <v>41960.332638888889</v>
      </c>
      <c r="U3539" s="5">
        <f>VLOOKUP(currency,Tables!$A$1:$C$14,3,FALSE)*pledged</f>
        <v>925.68000000000006</v>
      </c>
    </row>
    <row r="3540" spans="1:21" ht="43.2" x14ac:dyDescent="0.55000000000000004">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16">
        <f t="shared" si="331"/>
        <v>30.951807228915662</v>
      </c>
      <c r="Q3540" t="str">
        <f t="shared" si="334"/>
        <v>theater</v>
      </c>
      <c r="R3540" t="str">
        <f t="shared" si="335"/>
        <v>plays</v>
      </c>
      <c r="S3540" s="4">
        <f t="shared" si="332"/>
        <v>42571.420601851853</v>
      </c>
      <c r="T3540" s="4">
        <f t="shared" si="333"/>
        <v>42599.420601851853</v>
      </c>
      <c r="U3540" s="5">
        <f>VLOOKUP(currency,Tables!$A$1:$C$14,3,FALSE)*pledged</f>
        <v>3391.0800000000004</v>
      </c>
    </row>
    <row r="3541" spans="1:21" ht="43.2" x14ac:dyDescent="0.55000000000000004">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16">
        <f t="shared" si="331"/>
        <v>55.230769230769234</v>
      </c>
      <c r="Q3541" t="str">
        <f t="shared" si="334"/>
        <v>theater</v>
      </c>
      <c r="R3541" t="str">
        <f t="shared" si="335"/>
        <v>plays</v>
      </c>
      <c r="S3541" s="4">
        <f t="shared" si="332"/>
        <v>42600.756041666667</v>
      </c>
      <c r="T3541" s="4">
        <f t="shared" si="333"/>
        <v>42621.756041666667</v>
      </c>
      <c r="U3541" s="5">
        <f>VLOOKUP(currency,Tables!$A$1:$C$14,3,FALSE)*pledged</f>
        <v>718</v>
      </c>
    </row>
    <row r="3542" spans="1:21" ht="57.6" x14ac:dyDescent="0.55000000000000004">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330"/>
        <v>1.23</v>
      </c>
      <c r="P3542" s="16">
        <f t="shared" si="331"/>
        <v>46.125</v>
      </c>
      <c r="Q3542" t="str">
        <f t="shared" si="334"/>
        <v>theater</v>
      </c>
      <c r="R3542" t="str">
        <f t="shared" si="335"/>
        <v>plays</v>
      </c>
      <c r="S3542" s="4">
        <f t="shared" si="332"/>
        <v>42517.003368055557</v>
      </c>
      <c r="T3542" s="4">
        <f t="shared" si="333"/>
        <v>42547.003368055557</v>
      </c>
      <c r="U3542" s="5">
        <f>VLOOKUP(currency,Tables!$A$1:$C$14,3,FALSE)*pledged</f>
        <v>487.08000000000004</v>
      </c>
    </row>
    <row r="3543" spans="1:21" ht="43.2" x14ac:dyDescent="0.55000000000000004">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330"/>
        <v>1.05</v>
      </c>
      <c r="P3543" s="16">
        <f t="shared" si="331"/>
        <v>39.375</v>
      </c>
      <c r="Q3543" t="str">
        <f t="shared" si="334"/>
        <v>theater</v>
      </c>
      <c r="R3543" t="str">
        <f t="shared" si="335"/>
        <v>plays</v>
      </c>
      <c r="S3543" s="4">
        <f t="shared" si="332"/>
        <v>42222.730034722219</v>
      </c>
      <c r="T3543" s="4">
        <f t="shared" si="333"/>
        <v>42247.730034722219</v>
      </c>
      <c r="U3543" s="5">
        <f>VLOOKUP(currency,Tables!$A$1:$C$14,3,FALSE)*pledged</f>
        <v>1663.2</v>
      </c>
    </row>
    <row r="3544" spans="1:21" ht="43.2" x14ac:dyDescent="0.55000000000000004">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16">
        <f t="shared" si="331"/>
        <v>66.152941176470591</v>
      </c>
      <c r="Q3544" t="str">
        <f t="shared" si="334"/>
        <v>theater</v>
      </c>
      <c r="R3544" t="str">
        <f t="shared" si="335"/>
        <v>plays</v>
      </c>
      <c r="S3544" s="4">
        <f t="shared" si="332"/>
        <v>41829.599791666667</v>
      </c>
      <c r="T3544" s="4">
        <f t="shared" si="333"/>
        <v>41889.599791666667</v>
      </c>
      <c r="U3544" s="5">
        <f>VLOOKUP(currency,Tables!$A$1:$C$14,3,FALSE)*pledged</f>
        <v>5623</v>
      </c>
    </row>
    <row r="3545" spans="1:21" ht="43.2" x14ac:dyDescent="0.55000000000000004">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16">
        <f t="shared" si="331"/>
        <v>54.137931034482762</v>
      </c>
      <c r="Q3545" t="str">
        <f t="shared" si="334"/>
        <v>theater</v>
      </c>
      <c r="R3545" t="str">
        <f t="shared" si="335"/>
        <v>plays</v>
      </c>
      <c r="S3545" s="4">
        <f t="shared" si="332"/>
        <v>42150.755312499998</v>
      </c>
      <c r="T3545" s="4">
        <f t="shared" si="333"/>
        <v>42180.755312499998</v>
      </c>
      <c r="U3545" s="5">
        <f>VLOOKUP(currency,Tables!$A$1:$C$14,3,FALSE)*pledged</f>
        <v>1852.6</v>
      </c>
    </row>
    <row r="3546" spans="1:21" ht="28.8" x14ac:dyDescent="0.55000000000000004">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330"/>
        <v>1</v>
      </c>
      <c r="P3546" s="16">
        <f t="shared" si="331"/>
        <v>104.16666666666667</v>
      </c>
      <c r="Q3546" t="str">
        <f t="shared" si="334"/>
        <v>theater</v>
      </c>
      <c r="R3546" t="str">
        <f t="shared" si="335"/>
        <v>plays</v>
      </c>
      <c r="S3546" s="4">
        <f t="shared" si="332"/>
        <v>42040.831678240742</v>
      </c>
      <c r="T3546" s="4">
        <f t="shared" si="333"/>
        <v>42070.831678240742</v>
      </c>
      <c r="U3546" s="5">
        <f>VLOOKUP(currency,Tables!$A$1:$C$14,3,FALSE)*pledged</f>
        <v>2500</v>
      </c>
    </row>
    <row r="3547" spans="1:21" ht="43.2" x14ac:dyDescent="0.55000000000000004">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330"/>
        <v>1.004</v>
      </c>
      <c r="P3547" s="16">
        <f t="shared" si="331"/>
        <v>31.375</v>
      </c>
      <c r="Q3547" t="str">
        <f t="shared" si="334"/>
        <v>theater</v>
      </c>
      <c r="R3547" t="str">
        <f t="shared" si="335"/>
        <v>plays</v>
      </c>
      <c r="S3547" s="4">
        <f t="shared" si="332"/>
        <v>42075.807395833333</v>
      </c>
      <c r="T3547" s="4">
        <f t="shared" si="333"/>
        <v>42105.807395833333</v>
      </c>
      <c r="U3547" s="5">
        <f>VLOOKUP(currency,Tables!$A$1:$C$14,3,FALSE)*pledged</f>
        <v>251</v>
      </c>
    </row>
    <row r="3548" spans="1:21" ht="43.2" x14ac:dyDescent="0.55000000000000004">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16">
        <f t="shared" si="331"/>
        <v>59.210526315789473</v>
      </c>
      <c r="Q3548" t="str">
        <f t="shared" si="334"/>
        <v>theater</v>
      </c>
      <c r="R3548" t="str">
        <f t="shared" si="335"/>
        <v>plays</v>
      </c>
      <c r="S3548" s="4">
        <f t="shared" si="332"/>
        <v>42073.660694444443</v>
      </c>
      <c r="T3548" s="4">
        <f t="shared" si="333"/>
        <v>42095.165972222225</v>
      </c>
      <c r="U3548" s="5">
        <f>VLOOKUP(currency,Tables!$A$1:$C$14,3,FALSE)*pledged</f>
        <v>1125</v>
      </c>
    </row>
    <row r="3549" spans="1:21" ht="43.2" x14ac:dyDescent="0.55000000000000004">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16">
        <f t="shared" si="331"/>
        <v>119.17633928571429</v>
      </c>
      <c r="Q3549" t="str">
        <f t="shared" si="334"/>
        <v>theater</v>
      </c>
      <c r="R3549" t="str">
        <f t="shared" si="335"/>
        <v>plays</v>
      </c>
      <c r="S3549" s="4">
        <f t="shared" si="332"/>
        <v>42480.078715277778</v>
      </c>
      <c r="T3549" s="4">
        <f t="shared" si="333"/>
        <v>42504.165972222225</v>
      </c>
      <c r="U3549" s="5">
        <f>VLOOKUP(currency,Tables!$A$1:$C$14,3,FALSE)*pledged</f>
        <v>40043.25</v>
      </c>
    </row>
    <row r="3550" spans="1:21" ht="43.2" x14ac:dyDescent="0.55000000000000004">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16">
        <f t="shared" si="331"/>
        <v>164.61538461538461</v>
      </c>
      <c r="Q3550" t="str">
        <f t="shared" si="334"/>
        <v>theater</v>
      </c>
      <c r="R3550" t="str">
        <f t="shared" si="335"/>
        <v>plays</v>
      </c>
      <c r="S3550" s="4">
        <f t="shared" si="332"/>
        <v>42411.942291666666</v>
      </c>
      <c r="T3550" s="4">
        <f t="shared" si="333"/>
        <v>42434.041666666672</v>
      </c>
      <c r="U3550" s="5">
        <f>VLOOKUP(currency,Tables!$A$1:$C$14,3,FALSE)*pledged</f>
        <v>2140</v>
      </c>
    </row>
    <row r="3551" spans="1:21" ht="43.2" x14ac:dyDescent="0.55000000000000004">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330"/>
        <v>1.02</v>
      </c>
      <c r="P3551" s="16">
        <f t="shared" si="331"/>
        <v>24.285714285714285</v>
      </c>
      <c r="Q3551" t="str">
        <f t="shared" si="334"/>
        <v>theater</v>
      </c>
      <c r="R3551" t="str">
        <f t="shared" si="335"/>
        <v>plays</v>
      </c>
      <c r="S3551" s="4">
        <f t="shared" si="332"/>
        <v>42223.394363425927</v>
      </c>
      <c r="T3551" s="4">
        <f t="shared" si="333"/>
        <v>42251.394363425927</v>
      </c>
      <c r="U3551" s="5">
        <f>VLOOKUP(currency,Tables!$A$1:$C$14,3,FALSE)*pledged</f>
        <v>1346.4</v>
      </c>
    </row>
    <row r="3552" spans="1:21" ht="43.2" x14ac:dyDescent="0.55000000000000004">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16">
        <f t="shared" si="331"/>
        <v>40.9375</v>
      </c>
      <c r="Q3552" t="str">
        <f t="shared" si="334"/>
        <v>theater</v>
      </c>
      <c r="R3552" t="str">
        <f t="shared" si="335"/>
        <v>plays</v>
      </c>
      <c r="S3552" s="4">
        <f t="shared" si="332"/>
        <v>42462.893495370372</v>
      </c>
      <c r="T3552" s="4">
        <f t="shared" si="333"/>
        <v>42492.893495370372</v>
      </c>
      <c r="U3552" s="5">
        <f>VLOOKUP(currency,Tables!$A$1:$C$14,3,FALSE)*pledged</f>
        <v>3458.4</v>
      </c>
    </row>
    <row r="3553" spans="1:21" ht="43.2" x14ac:dyDescent="0.55000000000000004">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16">
        <f t="shared" si="331"/>
        <v>61.1</v>
      </c>
      <c r="Q3553" t="str">
        <f t="shared" si="334"/>
        <v>theater</v>
      </c>
      <c r="R3553" t="str">
        <f t="shared" si="335"/>
        <v>plays</v>
      </c>
      <c r="S3553" s="4">
        <f t="shared" si="332"/>
        <v>41753.515856481477</v>
      </c>
      <c r="T3553" s="4">
        <f t="shared" si="333"/>
        <v>41781.921527777777</v>
      </c>
      <c r="U3553" s="5">
        <f>VLOOKUP(currency,Tables!$A$1:$C$14,3,FALSE)*pledged</f>
        <v>1527.5</v>
      </c>
    </row>
    <row r="3554" spans="1:21" ht="43.2" x14ac:dyDescent="0.55000000000000004">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330"/>
        <v>1</v>
      </c>
      <c r="P3554" s="16">
        <f t="shared" si="331"/>
        <v>38.65</v>
      </c>
      <c r="Q3554" t="str">
        <f t="shared" si="334"/>
        <v>theater</v>
      </c>
      <c r="R3554" t="str">
        <f t="shared" si="335"/>
        <v>plays</v>
      </c>
      <c r="S3554" s="4">
        <f t="shared" si="332"/>
        <v>41788.587083333332</v>
      </c>
      <c r="T3554" s="4">
        <f t="shared" si="333"/>
        <v>41818.587083333332</v>
      </c>
      <c r="U3554" s="5">
        <f>VLOOKUP(currency,Tables!$A$1:$C$14,3,FALSE)*pledged</f>
        <v>1020.36</v>
      </c>
    </row>
    <row r="3555" spans="1:21" ht="43.2" x14ac:dyDescent="0.55000000000000004">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16">
        <f t="shared" si="331"/>
        <v>56.20192307692308</v>
      </c>
      <c r="Q3555" t="str">
        <f t="shared" si="334"/>
        <v>theater</v>
      </c>
      <c r="R3555" t="str">
        <f t="shared" si="335"/>
        <v>plays</v>
      </c>
      <c r="S3555" s="4">
        <f t="shared" si="332"/>
        <v>42196.028703703705</v>
      </c>
      <c r="T3555" s="4">
        <f t="shared" si="333"/>
        <v>42228</v>
      </c>
      <c r="U3555" s="5">
        <f>VLOOKUP(currency,Tables!$A$1:$C$14,3,FALSE)*pledged</f>
        <v>5845</v>
      </c>
    </row>
    <row r="3556" spans="1:21" ht="43.2" x14ac:dyDescent="0.55000000000000004">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16">
        <f t="shared" si="331"/>
        <v>107.00207547169811</v>
      </c>
      <c r="Q3556" t="str">
        <f t="shared" si="334"/>
        <v>theater</v>
      </c>
      <c r="R3556" t="str">
        <f t="shared" si="335"/>
        <v>plays</v>
      </c>
      <c r="S3556" s="4">
        <f t="shared" si="332"/>
        <v>42016.050451388888</v>
      </c>
      <c r="T3556" s="4">
        <f t="shared" si="333"/>
        <v>42046.708333333328</v>
      </c>
      <c r="U3556" s="5">
        <f>VLOOKUP(currency,Tables!$A$1:$C$14,3,FALSE)*pledged</f>
        <v>5671.11</v>
      </c>
    </row>
    <row r="3557" spans="1:21" ht="43.2" x14ac:dyDescent="0.55000000000000004">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330"/>
        <v>1</v>
      </c>
      <c r="P3557" s="16">
        <f t="shared" si="331"/>
        <v>171.42857142857142</v>
      </c>
      <c r="Q3557" t="str">
        <f t="shared" si="334"/>
        <v>theater</v>
      </c>
      <c r="R3557" t="str">
        <f t="shared" si="335"/>
        <v>plays</v>
      </c>
      <c r="S3557" s="4">
        <f t="shared" si="332"/>
        <v>42661.442060185189</v>
      </c>
      <c r="T3557" s="4">
        <f t="shared" si="333"/>
        <v>42691.483726851846</v>
      </c>
      <c r="U3557" s="5">
        <f>VLOOKUP(currency,Tables!$A$1:$C$14,3,FALSE)*pledged</f>
        <v>2832</v>
      </c>
    </row>
    <row r="3558" spans="1:21" ht="43.2" x14ac:dyDescent="0.55000000000000004">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16">
        <f t="shared" si="331"/>
        <v>110.5</v>
      </c>
      <c r="Q3558" t="str">
        <f t="shared" si="334"/>
        <v>theater</v>
      </c>
      <c r="R3558" t="str">
        <f t="shared" si="335"/>
        <v>plays</v>
      </c>
      <c r="S3558" s="4">
        <f t="shared" si="332"/>
        <v>41808.649583333332</v>
      </c>
      <c r="T3558" s="4">
        <f t="shared" si="333"/>
        <v>41868.649583333332</v>
      </c>
      <c r="U3558" s="5">
        <f>VLOOKUP(currency,Tables!$A$1:$C$14,3,FALSE)*pledged</f>
        <v>2917.2000000000003</v>
      </c>
    </row>
    <row r="3559" spans="1:21" ht="43.2" x14ac:dyDescent="0.55000000000000004">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16">
        <f t="shared" si="331"/>
        <v>179.27598566308242</v>
      </c>
      <c r="Q3559" t="str">
        <f t="shared" si="334"/>
        <v>theater</v>
      </c>
      <c r="R3559" t="str">
        <f t="shared" si="335"/>
        <v>plays</v>
      </c>
      <c r="S3559" s="4">
        <f t="shared" si="332"/>
        <v>41730.276747685188</v>
      </c>
      <c r="T3559" s="4">
        <f t="shared" si="333"/>
        <v>41764.276747685188</v>
      </c>
      <c r="U3559" s="5">
        <f>VLOOKUP(currency,Tables!$A$1:$C$14,3,FALSE)*pledged</f>
        <v>100036</v>
      </c>
    </row>
    <row r="3560" spans="1:21" ht="43.2" x14ac:dyDescent="0.55000000000000004">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330"/>
        <v>1.44</v>
      </c>
      <c r="P3560" s="16">
        <f t="shared" si="331"/>
        <v>22.90909090909091</v>
      </c>
      <c r="Q3560" t="str">
        <f t="shared" si="334"/>
        <v>theater</v>
      </c>
      <c r="R3560" t="str">
        <f t="shared" si="335"/>
        <v>plays</v>
      </c>
      <c r="S3560" s="4">
        <f t="shared" si="332"/>
        <v>42139.816840277781</v>
      </c>
      <c r="T3560" s="4">
        <f t="shared" si="333"/>
        <v>42181.875</v>
      </c>
      <c r="U3560" s="5">
        <f>VLOOKUP(currency,Tables!$A$1:$C$14,3,FALSE)*pledged</f>
        <v>665.28000000000009</v>
      </c>
    </row>
    <row r="3561" spans="1:21" ht="43.2" x14ac:dyDescent="0.55000000000000004">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16">
        <f t="shared" si="331"/>
        <v>43.125</v>
      </c>
      <c r="Q3561" t="str">
        <f t="shared" si="334"/>
        <v>theater</v>
      </c>
      <c r="R3561" t="str">
        <f t="shared" si="335"/>
        <v>plays</v>
      </c>
      <c r="S3561" s="4">
        <f t="shared" si="332"/>
        <v>42194.096157407403</v>
      </c>
      <c r="T3561" s="4">
        <f t="shared" si="333"/>
        <v>42216.373611111107</v>
      </c>
      <c r="U3561" s="5">
        <f>VLOOKUP(currency,Tables!$A$1:$C$14,3,FALSE)*pledged</f>
        <v>755.55</v>
      </c>
    </row>
    <row r="3562" spans="1:21" ht="43.2" x14ac:dyDescent="0.55000000000000004">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16">
        <f t="shared" si="331"/>
        <v>46.891891891891895</v>
      </c>
      <c r="Q3562" t="str">
        <f t="shared" si="334"/>
        <v>theater</v>
      </c>
      <c r="R3562" t="str">
        <f t="shared" si="335"/>
        <v>plays</v>
      </c>
      <c r="S3562" s="4">
        <f t="shared" si="332"/>
        <v>42115.889652777783</v>
      </c>
      <c r="T3562" s="4">
        <f t="shared" si="333"/>
        <v>42151.114583333328</v>
      </c>
      <c r="U3562" s="5">
        <f>VLOOKUP(currency,Tables!$A$1:$C$14,3,FALSE)*pledged</f>
        <v>2637.2</v>
      </c>
    </row>
    <row r="3563" spans="1:21" ht="100.8" x14ac:dyDescent="0.55000000000000004">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16">
        <f t="shared" si="331"/>
        <v>47.407407407407405</v>
      </c>
      <c r="Q3563" t="str">
        <f t="shared" si="334"/>
        <v>theater</v>
      </c>
      <c r="R3563" t="str">
        <f t="shared" si="335"/>
        <v>plays</v>
      </c>
      <c r="S3563" s="4">
        <f t="shared" si="332"/>
        <v>42203.680300925931</v>
      </c>
      <c r="T3563" s="4">
        <f t="shared" si="333"/>
        <v>42221.774999999994</v>
      </c>
      <c r="U3563" s="5">
        <f>VLOOKUP(currency,Tables!$A$1:$C$14,3,FALSE)*pledged</f>
        <v>2560</v>
      </c>
    </row>
    <row r="3564" spans="1:21" ht="43.2" x14ac:dyDescent="0.55000000000000004">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16">
        <f t="shared" si="331"/>
        <v>15.129032258064516</v>
      </c>
      <c r="Q3564" t="str">
        <f t="shared" si="334"/>
        <v>theater</v>
      </c>
      <c r="R3564" t="str">
        <f t="shared" si="335"/>
        <v>plays</v>
      </c>
      <c r="S3564" s="4">
        <f t="shared" si="332"/>
        <v>42433.761886574073</v>
      </c>
      <c r="T3564" s="4">
        <f t="shared" si="333"/>
        <v>42442.916666666672</v>
      </c>
      <c r="U3564" s="5">
        <f>VLOOKUP(currency,Tables!$A$1:$C$14,3,FALSE)*pledged</f>
        <v>619.08000000000004</v>
      </c>
    </row>
    <row r="3565" spans="1:21" ht="43.2" x14ac:dyDescent="0.55000000000000004">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16">
        <f t="shared" si="331"/>
        <v>21.098000000000003</v>
      </c>
      <c r="Q3565" t="str">
        <f t="shared" si="334"/>
        <v>theater</v>
      </c>
      <c r="R3565" t="str">
        <f t="shared" si="335"/>
        <v>plays</v>
      </c>
      <c r="S3565" s="4">
        <f t="shared" si="332"/>
        <v>42555.671944444446</v>
      </c>
      <c r="T3565" s="4">
        <f t="shared" si="333"/>
        <v>42583.791666666672</v>
      </c>
      <c r="U3565" s="5">
        <f>VLOOKUP(currency,Tables!$A$1:$C$14,3,FALSE)*pledged</f>
        <v>696.23400000000004</v>
      </c>
    </row>
    <row r="3566" spans="1:21" ht="28.8" x14ac:dyDescent="0.55000000000000004">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16">
        <f t="shared" si="331"/>
        <v>59.117647058823529</v>
      </c>
      <c r="Q3566" t="str">
        <f t="shared" si="334"/>
        <v>theater</v>
      </c>
      <c r="R3566" t="str">
        <f t="shared" si="335"/>
        <v>plays</v>
      </c>
      <c r="S3566" s="4">
        <f t="shared" si="332"/>
        <v>42236.623252314821</v>
      </c>
      <c r="T3566" s="4">
        <f t="shared" si="333"/>
        <v>42282.666666666672</v>
      </c>
      <c r="U3566" s="5">
        <f>VLOOKUP(currency,Tables!$A$1:$C$14,3,FALSE)*pledged</f>
        <v>1326.6000000000001</v>
      </c>
    </row>
    <row r="3567" spans="1:21" ht="43.2" x14ac:dyDescent="0.55000000000000004">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16">
        <f t="shared" si="331"/>
        <v>97.916666666666671</v>
      </c>
      <c r="Q3567" t="str">
        <f t="shared" si="334"/>
        <v>theater</v>
      </c>
      <c r="R3567" t="str">
        <f t="shared" si="335"/>
        <v>plays</v>
      </c>
      <c r="S3567" s="4">
        <f t="shared" si="332"/>
        <v>41974.743148148147</v>
      </c>
      <c r="T3567" s="4">
        <f t="shared" si="333"/>
        <v>42004.743148148147</v>
      </c>
      <c r="U3567" s="5">
        <f>VLOOKUP(currency,Tables!$A$1:$C$14,3,FALSE)*pledged</f>
        <v>1175</v>
      </c>
    </row>
    <row r="3568" spans="1:21" ht="43.2" x14ac:dyDescent="0.55000000000000004">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16">
        <f t="shared" si="331"/>
        <v>55.131578947368418</v>
      </c>
      <c r="Q3568" t="str">
        <f t="shared" si="334"/>
        <v>theater</v>
      </c>
      <c r="R3568" t="str">
        <f t="shared" si="335"/>
        <v>plays</v>
      </c>
      <c r="S3568" s="4">
        <f t="shared" si="332"/>
        <v>41997.507905092592</v>
      </c>
      <c r="T3568" s="4">
        <f t="shared" si="333"/>
        <v>42027.507905092592</v>
      </c>
      <c r="U3568" s="5">
        <f>VLOOKUP(currency,Tables!$A$1:$C$14,3,FALSE)*pledged</f>
        <v>2765.4</v>
      </c>
    </row>
    <row r="3569" spans="1:21" ht="43.2" x14ac:dyDescent="0.55000000000000004">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16">
        <f t="shared" si="331"/>
        <v>26.536585365853657</v>
      </c>
      <c r="Q3569" t="str">
        <f t="shared" si="334"/>
        <v>theater</v>
      </c>
      <c r="R3569" t="str">
        <f t="shared" si="335"/>
        <v>plays</v>
      </c>
      <c r="S3569" s="4">
        <f t="shared" si="332"/>
        <v>42135.810694444444</v>
      </c>
      <c r="T3569" s="4">
        <f t="shared" si="333"/>
        <v>42165.810694444444</v>
      </c>
      <c r="U3569" s="5">
        <f>VLOOKUP(currency,Tables!$A$1:$C$14,3,FALSE)*pledged</f>
        <v>1436.16</v>
      </c>
    </row>
    <row r="3570" spans="1:21" ht="43.2" x14ac:dyDescent="0.55000000000000004">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16">
        <f t="shared" si="331"/>
        <v>58.421052631578945</v>
      </c>
      <c r="Q3570" t="str">
        <f t="shared" si="334"/>
        <v>theater</v>
      </c>
      <c r="R3570" t="str">
        <f t="shared" si="335"/>
        <v>plays</v>
      </c>
      <c r="S3570" s="4">
        <f t="shared" si="332"/>
        <v>41869.740671296298</v>
      </c>
      <c r="T3570" s="4">
        <f t="shared" si="333"/>
        <v>41899.740671296298</v>
      </c>
      <c r="U3570" s="5">
        <f>VLOOKUP(currency,Tables!$A$1:$C$14,3,FALSE)*pledged</f>
        <v>1110</v>
      </c>
    </row>
    <row r="3571" spans="1:21" ht="43.2" x14ac:dyDescent="0.55000000000000004">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16">
        <f t="shared" si="331"/>
        <v>122.53658536585365</v>
      </c>
      <c r="Q3571" t="str">
        <f t="shared" si="334"/>
        <v>theater</v>
      </c>
      <c r="R3571" t="str">
        <f t="shared" si="335"/>
        <v>plays</v>
      </c>
      <c r="S3571" s="4">
        <f t="shared" si="332"/>
        <v>41982.688611111109</v>
      </c>
      <c r="T3571" s="4">
        <f t="shared" si="333"/>
        <v>42012.688611111109</v>
      </c>
      <c r="U3571" s="5">
        <f>VLOOKUP(currency,Tables!$A$1:$C$14,3,FALSE)*pledged</f>
        <v>5024</v>
      </c>
    </row>
    <row r="3572" spans="1:21" ht="43.2" x14ac:dyDescent="0.55000000000000004">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16">
        <f t="shared" si="331"/>
        <v>87.961538461538467</v>
      </c>
      <c r="Q3572" t="str">
        <f t="shared" si="334"/>
        <v>theater</v>
      </c>
      <c r="R3572" t="str">
        <f t="shared" si="335"/>
        <v>plays</v>
      </c>
      <c r="S3572" s="4">
        <f t="shared" si="332"/>
        <v>41976.331979166673</v>
      </c>
      <c r="T3572" s="4">
        <f t="shared" si="333"/>
        <v>42004.291666666672</v>
      </c>
      <c r="U3572" s="5">
        <f>VLOOKUP(currency,Tables!$A$1:$C$14,3,FALSE)*pledged</f>
        <v>2287</v>
      </c>
    </row>
    <row r="3573" spans="1:21" ht="43.2" x14ac:dyDescent="0.55000000000000004">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16">
        <f t="shared" si="331"/>
        <v>73.239999999999995</v>
      </c>
      <c r="Q3573" t="str">
        <f t="shared" si="334"/>
        <v>theater</v>
      </c>
      <c r="R3573" t="str">
        <f t="shared" si="335"/>
        <v>plays</v>
      </c>
      <c r="S3573" s="4">
        <f t="shared" si="332"/>
        <v>41912.858946759261</v>
      </c>
      <c r="T3573" s="4">
        <f t="shared" si="333"/>
        <v>41942.858946759261</v>
      </c>
      <c r="U3573" s="5">
        <f>VLOOKUP(currency,Tables!$A$1:$C$14,3,FALSE)*pledged</f>
        <v>2416.92</v>
      </c>
    </row>
    <row r="3574" spans="1:21" ht="28.8" x14ac:dyDescent="0.55000000000000004">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330"/>
        <v>1</v>
      </c>
      <c r="P3574" s="16">
        <f t="shared" si="331"/>
        <v>55.555555555555557</v>
      </c>
      <c r="Q3574" t="str">
        <f t="shared" si="334"/>
        <v>theater</v>
      </c>
      <c r="R3574" t="str">
        <f t="shared" si="335"/>
        <v>plays</v>
      </c>
      <c r="S3574" s="4">
        <f t="shared" si="332"/>
        <v>42146.570393518516</v>
      </c>
      <c r="T3574" s="4">
        <f t="shared" si="333"/>
        <v>42176.570393518516</v>
      </c>
      <c r="U3574" s="5">
        <f>VLOOKUP(currency,Tables!$A$1:$C$14,3,FALSE)*pledged</f>
        <v>660</v>
      </c>
    </row>
    <row r="3575" spans="1:21" ht="28.8" x14ac:dyDescent="0.55000000000000004">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16">
        <f t="shared" si="331"/>
        <v>39.53846153846154</v>
      </c>
      <c r="Q3575" t="str">
        <f t="shared" si="334"/>
        <v>theater</v>
      </c>
      <c r="R3575" t="str">
        <f t="shared" si="335"/>
        <v>plays</v>
      </c>
      <c r="S3575" s="4">
        <f t="shared" si="332"/>
        <v>41921.375532407408</v>
      </c>
      <c r="T3575" s="4">
        <f t="shared" si="333"/>
        <v>41951.417199074072</v>
      </c>
      <c r="U3575" s="5">
        <f>VLOOKUP(currency,Tables!$A$1:$C$14,3,FALSE)*pledged</f>
        <v>4070.88</v>
      </c>
    </row>
    <row r="3576" spans="1:21" ht="43.2" x14ac:dyDescent="0.55000000000000004">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16">
        <f t="shared" si="331"/>
        <v>136.77777777777777</v>
      </c>
      <c r="Q3576" t="str">
        <f t="shared" si="334"/>
        <v>theater</v>
      </c>
      <c r="R3576" t="str">
        <f t="shared" si="335"/>
        <v>plays</v>
      </c>
      <c r="S3576" s="4">
        <f t="shared" si="332"/>
        <v>41926.942685185182</v>
      </c>
      <c r="T3576" s="4">
        <f t="shared" si="333"/>
        <v>41956.984351851846</v>
      </c>
      <c r="U3576" s="5">
        <f>VLOOKUP(currency,Tables!$A$1:$C$14,3,FALSE)*pledged</f>
        <v>6155</v>
      </c>
    </row>
    <row r="3577" spans="1:21" ht="43.2" x14ac:dyDescent="0.55000000000000004">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16">
        <f t="shared" si="331"/>
        <v>99.343137254901961</v>
      </c>
      <c r="Q3577" t="str">
        <f t="shared" si="334"/>
        <v>theater</v>
      </c>
      <c r="R3577" t="str">
        <f t="shared" si="335"/>
        <v>plays</v>
      </c>
      <c r="S3577" s="4">
        <f t="shared" si="332"/>
        <v>42561.783877314811</v>
      </c>
      <c r="T3577" s="4">
        <f t="shared" si="333"/>
        <v>42593.165972222225</v>
      </c>
      <c r="U3577" s="5">
        <f>VLOOKUP(currency,Tables!$A$1:$C$14,3,FALSE)*pledged</f>
        <v>10133</v>
      </c>
    </row>
    <row r="3578" spans="1:21" ht="43.2" x14ac:dyDescent="0.55000000000000004">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330"/>
        <v>1</v>
      </c>
      <c r="P3578" s="16">
        <f t="shared" si="331"/>
        <v>20</v>
      </c>
      <c r="Q3578" t="str">
        <f t="shared" si="334"/>
        <v>theater</v>
      </c>
      <c r="R3578" t="str">
        <f t="shared" si="335"/>
        <v>plays</v>
      </c>
      <c r="S3578" s="4">
        <f t="shared" si="332"/>
        <v>42649.54923611111</v>
      </c>
      <c r="T3578" s="4">
        <f t="shared" si="333"/>
        <v>42709.590902777782</v>
      </c>
      <c r="U3578" s="5">
        <f>VLOOKUP(currency,Tables!$A$1:$C$14,3,FALSE)*pledged</f>
        <v>100</v>
      </c>
    </row>
    <row r="3579" spans="1:21" ht="43.2" x14ac:dyDescent="0.55000000000000004">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330"/>
        <v>1.3</v>
      </c>
      <c r="P3579" s="16">
        <f t="shared" si="331"/>
        <v>28.888888888888889</v>
      </c>
      <c r="Q3579" t="str">
        <f t="shared" si="334"/>
        <v>theater</v>
      </c>
      <c r="R3579" t="str">
        <f t="shared" si="335"/>
        <v>plays</v>
      </c>
      <c r="S3579" s="4">
        <f t="shared" si="332"/>
        <v>42093.786840277782</v>
      </c>
      <c r="T3579" s="4">
        <f t="shared" si="333"/>
        <v>42120.26944444445</v>
      </c>
      <c r="U3579" s="5">
        <f>VLOOKUP(currency,Tables!$A$1:$C$14,3,FALSE)*pledged</f>
        <v>780</v>
      </c>
    </row>
    <row r="3580" spans="1:21" ht="43.2" x14ac:dyDescent="0.55000000000000004">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16">
        <f t="shared" si="331"/>
        <v>40.545945945945945</v>
      </c>
      <c r="Q3580" t="str">
        <f t="shared" si="334"/>
        <v>theater</v>
      </c>
      <c r="R3580" t="str">
        <f t="shared" si="335"/>
        <v>plays</v>
      </c>
      <c r="S3580" s="4">
        <f t="shared" si="332"/>
        <v>42460.733530092592</v>
      </c>
      <c r="T3580" s="4">
        <f t="shared" si="333"/>
        <v>42490.733530092592</v>
      </c>
      <c r="U3580" s="5">
        <f>VLOOKUP(currency,Tables!$A$1:$C$14,3,FALSE)*pledged</f>
        <v>1980.2640000000001</v>
      </c>
    </row>
    <row r="3581" spans="1:21" ht="43.2" x14ac:dyDescent="0.55000000000000004">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330"/>
        <v>1</v>
      </c>
      <c r="P3581" s="16">
        <f t="shared" si="331"/>
        <v>35.714285714285715</v>
      </c>
      <c r="Q3581" t="str">
        <f t="shared" si="334"/>
        <v>theater</v>
      </c>
      <c r="R3581" t="str">
        <f t="shared" si="335"/>
        <v>plays</v>
      </c>
      <c r="S3581" s="4">
        <f t="shared" si="332"/>
        <v>42430.762222222227</v>
      </c>
      <c r="T3581" s="4">
        <f t="shared" si="333"/>
        <v>42460.720555555556</v>
      </c>
      <c r="U3581" s="5">
        <f>VLOOKUP(currency,Tables!$A$1:$C$14,3,FALSE)*pledged</f>
        <v>660</v>
      </c>
    </row>
    <row r="3582" spans="1:21" ht="43.2" x14ac:dyDescent="0.55000000000000004">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16">
        <f t="shared" si="331"/>
        <v>37.962962962962962</v>
      </c>
      <c r="Q3582" t="str">
        <f t="shared" si="334"/>
        <v>theater</v>
      </c>
      <c r="R3582" t="str">
        <f t="shared" si="335"/>
        <v>plays</v>
      </c>
      <c r="S3582" s="4">
        <f t="shared" si="332"/>
        <v>42026.176180555558</v>
      </c>
      <c r="T3582" s="4">
        <f t="shared" si="333"/>
        <v>42064.207638888889</v>
      </c>
      <c r="U3582" s="5">
        <f>VLOOKUP(currency,Tables!$A$1:$C$14,3,FALSE)*pledged</f>
        <v>1025</v>
      </c>
    </row>
    <row r="3583" spans="1:21" ht="43.2" x14ac:dyDescent="0.55000000000000004">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330"/>
        <v>1</v>
      </c>
      <c r="P3583" s="16">
        <f t="shared" si="331"/>
        <v>33.333333333333336</v>
      </c>
      <c r="Q3583" t="str">
        <f t="shared" si="334"/>
        <v>theater</v>
      </c>
      <c r="R3583" t="str">
        <f t="shared" si="335"/>
        <v>plays</v>
      </c>
      <c r="S3583" s="4">
        <f t="shared" si="332"/>
        <v>41836.471180555556</v>
      </c>
      <c r="T3583" s="4">
        <f t="shared" si="333"/>
        <v>41850.471180555556</v>
      </c>
      <c r="U3583" s="5">
        <f>VLOOKUP(currency,Tables!$A$1:$C$14,3,FALSE)*pledged</f>
        <v>1980</v>
      </c>
    </row>
    <row r="3584" spans="1:21" ht="43.2" x14ac:dyDescent="0.55000000000000004">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330"/>
        <v>2.87</v>
      </c>
      <c r="P3584" s="16">
        <f t="shared" si="331"/>
        <v>58.571428571428569</v>
      </c>
      <c r="Q3584" t="str">
        <f t="shared" si="334"/>
        <v>theater</v>
      </c>
      <c r="R3584" t="str">
        <f t="shared" si="335"/>
        <v>plays</v>
      </c>
      <c r="S3584" s="4">
        <f t="shared" si="332"/>
        <v>42451.095856481479</v>
      </c>
      <c r="T3584" s="4">
        <f t="shared" si="333"/>
        <v>42465.095856481479</v>
      </c>
      <c r="U3584" s="5">
        <f>VLOOKUP(currency,Tables!$A$1:$C$14,3,FALSE)*pledged</f>
        <v>2870</v>
      </c>
    </row>
    <row r="3585" spans="1:21" ht="43.2" x14ac:dyDescent="0.55000000000000004">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16">
        <f t="shared" si="331"/>
        <v>135.625</v>
      </c>
      <c r="Q3585" t="str">
        <f t="shared" si="334"/>
        <v>theater</v>
      </c>
      <c r="R3585" t="str">
        <f t="shared" si="335"/>
        <v>plays</v>
      </c>
      <c r="S3585" s="4">
        <f t="shared" si="332"/>
        <v>42418.425983796296</v>
      </c>
      <c r="T3585" s="4">
        <f t="shared" si="333"/>
        <v>42478.384317129632</v>
      </c>
      <c r="U3585" s="5">
        <f>VLOOKUP(currency,Tables!$A$1:$C$14,3,FALSE)*pledged</f>
        <v>3255</v>
      </c>
    </row>
    <row r="3586" spans="1:21" ht="86.4" x14ac:dyDescent="0.55000000000000004">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ref="O3586:O3649" si="336">pledged/goal</f>
        <v>1.155</v>
      </c>
      <c r="P3586" s="16">
        <f t="shared" ref="P3586:P3649" si="337">IF(pledged=0,0,pledged/backers_count)</f>
        <v>30.9375</v>
      </c>
      <c r="Q3586" t="str">
        <f t="shared" si="334"/>
        <v>theater</v>
      </c>
      <c r="R3586" t="str">
        <f t="shared" si="335"/>
        <v>plays</v>
      </c>
      <c r="S3586" s="4">
        <f t="shared" ref="S3586:S3649" si="338">(((Unix_launched_date/60)/60)/24)+DATE(1970,1,1)</f>
        <v>42168.316481481481</v>
      </c>
      <c r="T3586" s="4">
        <f t="shared" ref="T3586:T3649" si="339">(((Unix_deadline/60)/60)/24)+DATE(1970,1,1)</f>
        <v>42198.316481481481</v>
      </c>
      <c r="U3586" s="5">
        <f>VLOOKUP(currency,Tables!$A$1:$C$14,3,FALSE)*pledged</f>
        <v>4573.8</v>
      </c>
    </row>
    <row r="3587" spans="1:21" ht="43.2" x14ac:dyDescent="0.55000000000000004">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si="336"/>
        <v>1.1911764705882353</v>
      </c>
      <c r="P3587" s="16">
        <f t="shared" si="337"/>
        <v>176.08695652173913</v>
      </c>
      <c r="Q3587" t="str">
        <f t="shared" ref="Q3587:Q3650" si="340">LEFT(N3587,FIND("/",N3587,1)-1)</f>
        <v>theater</v>
      </c>
      <c r="R3587" t="str">
        <f t="shared" ref="R3587:R3650" si="341">RIGHT(N3587,(LEN(N3587)-FIND("/",N3587,1)))</f>
        <v>plays</v>
      </c>
      <c r="S3587" s="4">
        <f t="shared" si="338"/>
        <v>41964.716319444444</v>
      </c>
      <c r="T3587" s="4">
        <f t="shared" si="339"/>
        <v>41994.716319444444</v>
      </c>
      <c r="U3587" s="5">
        <f>VLOOKUP(currency,Tables!$A$1:$C$14,3,FALSE)*pledged</f>
        <v>4050</v>
      </c>
    </row>
    <row r="3588" spans="1:21" x14ac:dyDescent="0.55000000000000004">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16">
        <f t="shared" si="337"/>
        <v>151.9814814814815</v>
      </c>
      <c r="Q3588" t="str">
        <f t="shared" si="340"/>
        <v>theater</v>
      </c>
      <c r="R3588" t="str">
        <f t="shared" si="341"/>
        <v>plays</v>
      </c>
      <c r="S3588" s="4">
        <f t="shared" si="338"/>
        <v>42576.697569444441</v>
      </c>
      <c r="T3588" s="4">
        <f t="shared" si="339"/>
        <v>42636.697569444441</v>
      </c>
      <c r="U3588" s="5">
        <f>VLOOKUP(currency,Tables!$A$1:$C$14,3,FALSE)*pledged</f>
        <v>8207</v>
      </c>
    </row>
    <row r="3589" spans="1:21" ht="43.2" x14ac:dyDescent="0.55000000000000004">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336"/>
        <v>1.266</v>
      </c>
      <c r="P3589" s="16">
        <f t="shared" si="337"/>
        <v>22.607142857142858</v>
      </c>
      <c r="Q3589" t="str">
        <f t="shared" si="340"/>
        <v>theater</v>
      </c>
      <c r="R3589" t="str">
        <f t="shared" si="341"/>
        <v>plays</v>
      </c>
      <c r="S3589" s="4">
        <f t="shared" si="338"/>
        <v>42503.539976851855</v>
      </c>
      <c r="T3589" s="4">
        <f t="shared" si="339"/>
        <v>42548.791666666672</v>
      </c>
      <c r="U3589" s="5">
        <f>VLOOKUP(currency,Tables!$A$1:$C$14,3,FALSE)*pledged</f>
        <v>835.56000000000006</v>
      </c>
    </row>
    <row r="3590" spans="1:21" ht="43.2" x14ac:dyDescent="0.55000000000000004">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16">
        <f t="shared" si="337"/>
        <v>18.272727272727273</v>
      </c>
      <c r="Q3590" t="str">
        <f t="shared" si="340"/>
        <v>theater</v>
      </c>
      <c r="R3590" t="str">
        <f t="shared" si="341"/>
        <v>plays</v>
      </c>
      <c r="S3590" s="4">
        <f t="shared" si="338"/>
        <v>42101.828819444447</v>
      </c>
      <c r="T3590" s="4">
        <f t="shared" si="339"/>
        <v>42123.958333333328</v>
      </c>
      <c r="U3590" s="5">
        <f>VLOOKUP(currency,Tables!$A$1:$C$14,3,FALSE)*pledged</f>
        <v>265.32</v>
      </c>
    </row>
    <row r="3591" spans="1:21" ht="43.2" x14ac:dyDescent="0.55000000000000004">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16">
        <f t="shared" si="337"/>
        <v>82.258064516129039</v>
      </c>
      <c r="Q3591" t="str">
        <f t="shared" si="340"/>
        <v>theater</v>
      </c>
      <c r="R3591" t="str">
        <f t="shared" si="341"/>
        <v>plays</v>
      </c>
      <c r="S3591" s="4">
        <f t="shared" si="338"/>
        <v>42125.647534722222</v>
      </c>
      <c r="T3591" s="4">
        <f t="shared" si="339"/>
        <v>42150.647534722222</v>
      </c>
      <c r="U3591" s="5">
        <f>VLOOKUP(currency,Tables!$A$1:$C$14,3,FALSE)*pledged</f>
        <v>5100</v>
      </c>
    </row>
    <row r="3592" spans="1:21" ht="43.2" x14ac:dyDescent="0.55000000000000004">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16">
        <f t="shared" si="337"/>
        <v>68.534246575342465</v>
      </c>
      <c r="Q3592" t="str">
        <f t="shared" si="340"/>
        <v>theater</v>
      </c>
      <c r="R3592" t="str">
        <f t="shared" si="341"/>
        <v>plays</v>
      </c>
      <c r="S3592" s="4">
        <f t="shared" si="338"/>
        <v>41902.333726851852</v>
      </c>
      <c r="T3592" s="4">
        <f t="shared" si="339"/>
        <v>41932.333726851852</v>
      </c>
      <c r="U3592" s="5">
        <f>VLOOKUP(currency,Tables!$A$1:$C$14,3,FALSE)*pledged</f>
        <v>6603.96</v>
      </c>
    </row>
    <row r="3593" spans="1:21" ht="43.2" x14ac:dyDescent="0.55000000000000004">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336"/>
        <v>1.75</v>
      </c>
      <c r="P3593" s="16">
        <f t="shared" si="337"/>
        <v>68.055555555555557</v>
      </c>
      <c r="Q3593" t="str">
        <f t="shared" si="340"/>
        <v>theater</v>
      </c>
      <c r="R3593" t="str">
        <f t="shared" si="341"/>
        <v>plays</v>
      </c>
      <c r="S3593" s="4">
        <f t="shared" si="338"/>
        <v>42003.948425925926</v>
      </c>
      <c r="T3593" s="4">
        <f t="shared" si="339"/>
        <v>42028.207638888889</v>
      </c>
      <c r="U3593" s="5">
        <f>VLOOKUP(currency,Tables!$A$1:$C$14,3,FALSE)*pledged</f>
        <v>1225</v>
      </c>
    </row>
    <row r="3594" spans="1:21" ht="43.2" x14ac:dyDescent="0.55000000000000004">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16">
        <f t="shared" si="337"/>
        <v>72.714285714285708</v>
      </c>
      <c r="Q3594" t="str">
        <f t="shared" si="340"/>
        <v>theater</v>
      </c>
      <c r="R3594" t="str">
        <f t="shared" si="341"/>
        <v>plays</v>
      </c>
      <c r="S3594" s="4">
        <f t="shared" si="338"/>
        <v>41988.829942129625</v>
      </c>
      <c r="T3594" s="4">
        <f t="shared" si="339"/>
        <v>42046.207638888889</v>
      </c>
      <c r="U3594" s="5">
        <f>VLOOKUP(currency,Tables!$A$1:$C$14,3,FALSE)*pledged</f>
        <v>2545</v>
      </c>
    </row>
    <row r="3595" spans="1:21" ht="43.2" x14ac:dyDescent="0.55000000000000004">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16">
        <f t="shared" si="337"/>
        <v>77.186046511627907</v>
      </c>
      <c r="Q3595" t="str">
        <f t="shared" si="340"/>
        <v>theater</v>
      </c>
      <c r="R3595" t="str">
        <f t="shared" si="341"/>
        <v>plays</v>
      </c>
      <c r="S3595" s="4">
        <f t="shared" si="338"/>
        <v>41974.898599537039</v>
      </c>
      <c r="T3595" s="4">
        <f t="shared" si="339"/>
        <v>42009.851388888885</v>
      </c>
      <c r="U3595" s="5">
        <f>VLOOKUP(currency,Tables!$A$1:$C$14,3,FALSE)*pledged</f>
        <v>3319</v>
      </c>
    </row>
    <row r="3596" spans="1:21" ht="43.2" x14ac:dyDescent="0.55000000000000004">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16">
        <f t="shared" si="337"/>
        <v>55.972222222222221</v>
      </c>
      <c r="Q3596" t="str">
        <f t="shared" si="340"/>
        <v>theater</v>
      </c>
      <c r="R3596" t="str">
        <f t="shared" si="341"/>
        <v>plays</v>
      </c>
      <c r="S3596" s="4">
        <f t="shared" si="338"/>
        <v>42592.066921296297</v>
      </c>
      <c r="T3596" s="4">
        <f t="shared" si="339"/>
        <v>42617.066921296297</v>
      </c>
      <c r="U3596" s="5">
        <f>VLOOKUP(currency,Tables!$A$1:$C$14,3,FALSE)*pledged</f>
        <v>2015</v>
      </c>
    </row>
    <row r="3597" spans="1:21" ht="28.8" x14ac:dyDescent="0.55000000000000004">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16">
        <f t="shared" si="337"/>
        <v>49.693548387096776</v>
      </c>
      <c r="Q3597" t="str">
        <f t="shared" si="340"/>
        <v>theater</v>
      </c>
      <c r="R3597" t="str">
        <f t="shared" si="341"/>
        <v>plays</v>
      </c>
      <c r="S3597" s="4">
        <f t="shared" si="338"/>
        <v>42050.008368055554</v>
      </c>
      <c r="T3597" s="4">
        <f t="shared" si="339"/>
        <v>42076.290972222225</v>
      </c>
      <c r="U3597" s="5">
        <f>VLOOKUP(currency,Tables!$A$1:$C$14,3,FALSE)*pledged</f>
        <v>3081</v>
      </c>
    </row>
    <row r="3598" spans="1:21" ht="43.2" x14ac:dyDescent="0.55000000000000004">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16">
        <f t="shared" si="337"/>
        <v>79</v>
      </c>
      <c r="Q3598" t="str">
        <f t="shared" si="340"/>
        <v>theater</v>
      </c>
      <c r="R3598" t="str">
        <f t="shared" si="341"/>
        <v>plays</v>
      </c>
      <c r="S3598" s="4">
        <f t="shared" si="338"/>
        <v>41856.715069444443</v>
      </c>
      <c r="T3598" s="4">
        <f t="shared" si="339"/>
        <v>41877.715069444443</v>
      </c>
      <c r="U3598" s="5">
        <f>VLOOKUP(currency,Tables!$A$1:$C$14,3,FALSE)*pledged</f>
        <v>900.6</v>
      </c>
    </row>
    <row r="3599" spans="1:21" ht="28.8" x14ac:dyDescent="0.55000000000000004">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16">
        <f t="shared" si="337"/>
        <v>77.727272727272734</v>
      </c>
      <c r="Q3599" t="str">
        <f t="shared" si="340"/>
        <v>theater</v>
      </c>
      <c r="R3599" t="str">
        <f t="shared" si="341"/>
        <v>plays</v>
      </c>
      <c r="S3599" s="4">
        <f t="shared" si="338"/>
        <v>42417.585532407407</v>
      </c>
      <c r="T3599" s="4">
        <f t="shared" si="339"/>
        <v>42432.249305555553</v>
      </c>
      <c r="U3599" s="5">
        <f>VLOOKUP(currency,Tables!$A$1:$C$14,3,FALSE)*pledged</f>
        <v>2565</v>
      </c>
    </row>
    <row r="3600" spans="1:21" ht="43.2" x14ac:dyDescent="0.55000000000000004">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16">
        <f t="shared" si="337"/>
        <v>40.777777777777779</v>
      </c>
      <c r="Q3600" t="str">
        <f t="shared" si="340"/>
        <v>theater</v>
      </c>
      <c r="R3600" t="str">
        <f t="shared" si="341"/>
        <v>plays</v>
      </c>
      <c r="S3600" s="4">
        <f t="shared" si="338"/>
        <v>41866.79886574074</v>
      </c>
      <c r="T3600" s="4">
        <f t="shared" si="339"/>
        <v>41885.207638888889</v>
      </c>
      <c r="U3600" s="5">
        <f>VLOOKUP(currency,Tables!$A$1:$C$14,3,FALSE)*pledged</f>
        <v>1101</v>
      </c>
    </row>
    <row r="3601" spans="1:21" ht="43.2" x14ac:dyDescent="0.55000000000000004">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336"/>
        <v>2.02</v>
      </c>
      <c r="P3601" s="16">
        <f t="shared" si="337"/>
        <v>59.411764705882355</v>
      </c>
      <c r="Q3601" t="str">
        <f t="shared" si="340"/>
        <v>theater</v>
      </c>
      <c r="R3601" t="str">
        <f t="shared" si="341"/>
        <v>plays</v>
      </c>
      <c r="S3601" s="4">
        <f t="shared" si="338"/>
        <v>42220.79487268519</v>
      </c>
      <c r="T3601" s="4">
        <f t="shared" si="339"/>
        <v>42246</v>
      </c>
      <c r="U3601" s="5">
        <f>VLOOKUP(currency,Tables!$A$1:$C$14,3,FALSE)*pledged</f>
        <v>1010</v>
      </c>
    </row>
    <row r="3602" spans="1:21" ht="28.8" x14ac:dyDescent="0.55000000000000004">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336"/>
        <v>1.3</v>
      </c>
      <c r="P3602" s="16">
        <f t="shared" si="337"/>
        <v>3.25</v>
      </c>
      <c r="Q3602" t="str">
        <f t="shared" si="340"/>
        <v>theater</v>
      </c>
      <c r="R3602" t="str">
        <f t="shared" si="341"/>
        <v>plays</v>
      </c>
      <c r="S3602" s="4">
        <f t="shared" si="338"/>
        <v>42628.849120370374</v>
      </c>
      <c r="T3602" s="4">
        <f t="shared" si="339"/>
        <v>42656.849120370374</v>
      </c>
      <c r="U3602" s="5">
        <f>VLOOKUP(currency,Tables!$A$1:$C$14,3,FALSE)*pledged</f>
        <v>13</v>
      </c>
    </row>
    <row r="3603" spans="1:21" ht="43.2" x14ac:dyDescent="0.55000000000000004">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16">
        <f t="shared" si="337"/>
        <v>39.377358490566039</v>
      </c>
      <c r="Q3603" t="str">
        <f t="shared" si="340"/>
        <v>theater</v>
      </c>
      <c r="R3603" t="str">
        <f t="shared" si="341"/>
        <v>plays</v>
      </c>
      <c r="S3603" s="4">
        <f t="shared" si="338"/>
        <v>41990.99863425926</v>
      </c>
      <c r="T3603" s="4">
        <f t="shared" si="339"/>
        <v>42020.99863425926</v>
      </c>
      <c r="U3603" s="5">
        <f>VLOOKUP(currency,Tables!$A$1:$C$14,3,FALSE)*pledged</f>
        <v>2754.84</v>
      </c>
    </row>
    <row r="3604" spans="1:21" ht="57.6" x14ac:dyDescent="0.55000000000000004">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16">
        <f t="shared" si="337"/>
        <v>81.673469387755105</v>
      </c>
      <c r="Q3604" t="str">
        <f t="shared" si="340"/>
        <v>theater</v>
      </c>
      <c r="R3604" t="str">
        <f t="shared" si="341"/>
        <v>plays</v>
      </c>
      <c r="S3604" s="4">
        <f t="shared" si="338"/>
        <v>42447.894432870366</v>
      </c>
      <c r="T3604" s="4">
        <f t="shared" si="339"/>
        <v>42507.894432870366</v>
      </c>
      <c r="U3604" s="5">
        <f>VLOOKUP(currency,Tables!$A$1:$C$14,3,FALSE)*pledged</f>
        <v>4002</v>
      </c>
    </row>
    <row r="3605" spans="1:21" ht="43.2" x14ac:dyDescent="0.55000000000000004">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16">
        <f t="shared" si="337"/>
        <v>44.912280701754383</v>
      </c>
      <c r="Q3605" t="str">
        <f t="shared" si="340"/>
        <v>theater</v>
      </c>
      <c r="R3605" t="str">
        <f t="shared" si="341"/>
        <v>plays</v>
      </c>
      <c r="S3605" s="4">
        <f t="shared" si="338"/>
        <v>42283.864351851851</v>
      </c>
      <c r="T3605" s="4">
        <f t="shared" si="339"/>
        <v>42313.906018518523</v>
      </c>
      <c r="U3605" s="5">
        <f>VLOOKUP(currency,Tables!$A$1:$C$14,3,FALSE)*pledged</f>
        <v>2560</v>
      </c>
    </row>
    <row r="3606" spans="1:21" ht="43.2" x14ac:dyDescent="0.55000000000000004">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16">
        <f t="shared" si="337"/>
        <v>49.05797101449275</v>
      </c>
      <c r="Q3606" t="str">
        <f t="shared" si="340"/>
        <v>theater</v>
      </c>
      <c r="R3606" t="str">
        <f t="shared" si="341"/>
        <v>plays</v>
      </c>
      <c r="S3606" s="4">
        <f t="shared" si="338"/>
        <v>42483.015694444446</v>
      </c>
      <c r="T3606" s="4">
        <f t="shared" si="339"/>
        <v>42489.290972222225</v>
      </c>
      <c r="U3606" s="5">
        <f>VLOOKUP(currency,Tables!$A$1:$C$14,3,FALSE)*pledged</f>
        <v>3385</v>
      </c>
    </row>
    <row r="3607" spans="1:21" ht="57.6" x14ac:dyDescent="0.55000000000000004">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336"/>
        <v>1.84</v>
      </c>
      <c r="P3607" s="16">
        <f t="shared" si="337"/>
        <v>30.666666666666668</v>
      </c>
      <c r="Q3607" t="str">
        <f t="shared" si="340"/>
        <v>theater</v>
      </c>
      <c r="R3607" t="str">
        <f t="shared" si="341"/>
        <v>plays</v>
      </c>
      <c r="S3607" s="4">
        <f t="shared" si="338"/>
        <v>42383.793124999997</v>
      </c>
      <c r="T3607" s="4">
        <f t="shared" si="339"/>
        <v>42413.793124999997</v>
      </c>
      <c r="U3607" s="5">
        <f>VLOOKUP(currency,Tables!$A$1:$C$14,3,FALSE)*pledged</f>
        <v>607.20000000000005</v>
      </c>
    </row>
    <row r="3608" spans="1:21" ht="43.2" x14ac:dyDescent="0.55000000000000004">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16">
        <f t="shared" si="337"/>
        <v>61.0625</v>
      </c>
      <c r="Q3608" t="str">
        <f t="shared" si="340"/>
        <v>theater</v>
      </c>
      <c r="R3608" t="str">
        <f t="shared" si="341"/>
        <v>plays</v>
      </c>
      <c r="S3608" s="4">
        <f t="shared" si="338"/>
        <v>42566.604826388888</v>
      </c>
      <c r="T3608" s="4">
        <f t="shared" si="339"/>
        <v>42596.604826388888</v>
      </c>
      <c r="U3608" s="5">
        <f>VLOOKUP(currency,Tables!$A$1:$C$14,3,FALSE)*pledged</f>
        <v>5158.5600000000004</v>
      </c>
    </row>
    <row r="3609" spans="1:21" ht="28.8" x14ac:dyDescent="0.55000000000000004">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16">
        <f t="shared" si="337"/>
        <v>29</v>
      </c>
      <c r="Q3609" t="str">
        <f t="shared" si="340"/>
        <v>theater</v>
      </c>
      <c r="R3609" t="str">
        <f t="shared" si="341"/>
        <v>plays</v>
      </c>
      <c r="S3609" s="4">
        <f t="shared" si="338"/>
        <v>42338.963912037041</v>
      </c>
      <c r="T3609" s="4">
        <f t="shared" si="339"/>
        <v>42353</v>
      </c>
      <c r="U3609" s="5">
        <f>VLOOKUP(currency,Tables!$A$1:$C$14,3,FALSE)*pledged</f>
        <v>765.6</v>
      </c>
    </row>
    <row r="3610" spans="1:21" ht="43.2" x14ac:dyDescent="0.55000000000000004">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336"/>
        <v>1</v>
      </c>
      <c r="P3610" s="16">
        <f t="shared" si="337"/>
        <v>29.62962962962963</v>
      </c>
      <c r="Q3610" t="str">
        <f t="shared" si="340"/>
        <v>theater</v>
      </c>
      <c r="R3610" t="str">
        <f t="shared" si="341"/>
        <v>plays</v>
      </c>
      <c r="S3610" s="4">
        <f t="shared" si="338"/>
        <v>42506.709375000006</v>
      </c>
      <c r="T3610" s="4">
        <f t="shared" si="339"/>
        <v>42538.583333333328</v>
      </c>
      <c r="U3610" s="5">
        <f>VLOOKUP(currency,Tables!$A$1:$C$14,3,FALSE)*pledged</f>
        <v>1056</v>
      </c>
    </row>
    <row r="3611" spans="1:21" ht="43.2" x14ac:dyDescent="0.55000000000000004">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16">
        <f t="shared" si="337"/>
        <v>143.0952380952381</v>
      </c>
      <c r="Q3611" t="str">
        <f t="shared" si="340"/>
        <v>theater</v>
      </c>
      <c r="R3611" t="str">
        <f t="shared" si="341"/>
        <v>plays</v>
      </c>
      <c r="S3611" s="4">
        <f t="shared" si="338"/>
        <v>42429.991724537031</v>
      </c>
      <c r="T3611" s="4">
        <f t="shared" si="339"/>
        <v>42459.950057870374</v>
      </c>
      <c r="U3611" s="5">
        <f>VLOOKUP(currency,Tables!$A$1:$C$14,3,FALSE)*pledged</f>
        <v>3966.6000000000004</v>
      </c>
    </row>
    <row r="3612" spans="1:21" ht="43.2" x14ac:dyDescent="0.55000000000000004">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16">
        <f t="shared" si="337"/>
        <v>52.354838709677416</v>
      </c>
      <c r="Q3612" t="str">
        <f t="shared" si="340"/>
        <v>theater</v>
      </c>
      <c r="R3612" t="str">
        <f t="shared" si="341"/>
        <v>plays</v>
      </c>
      <c r="S3612" s="4">
        <f t="shared" si="338"/>
        <v>42203.432129629626</v>
      </c>
      <c r="T3612" s="4">
        <f t="shared" si="339"/>
        <v>42233.432129629626</v>
      </c>
      <c r="U3612" s="5">
        <f>VLOOKUP(currency,Tables!$A$1:$C$14,3,FALSE)*pledged</f>
        <v>2142.36</v>
      </c>
    </row>
    <row r="3613" spans="1:21" ht="43.2" x14ac:dyDescent="0.55000000000000004">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336"/>
        <v>1.36</v>
      </c>
      <c r="P3613" s="16">
        <f t="shared" si="337"/>
        <v>66.666666666666671</v>
      </c>
      <c r="Q3613" t="str">
        <f t="shared" si="340"/>
        <v>theater</v>
      </c>
      <c r="R3613" t="str">
        <f t="shared" si="341"/>
        <v>plays</v>
      </c>
      <c r="S3613" s="4">
        <f t="shared" si="338"/>
        <v>42072.370381944449</v>
      </c>
      <c r="T3613" s="4">
        <f t="shared" si="339"/>
        <v>42102.370381944449</v>
      </c>
      <c r="U3613" s="5">
        <f>VLOOKUP(currency,Tables!$A$1:$C$14,3,FALSE)*pledged</f>
        <v>4488</v>
      </c>
    </row>
    <row r="3614" spans="1:21" ht="43.2" x14ac:dyDescent="0.55000000000000004">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16">
        <f t="shared" si="337"/>
        <v>126.66666666666667</v>
      </c>
      <c r="Q3614" t="str">
        <f t="shared" si="340"/>
        <v>theater</v>
      </c>
      <c r="R3614" t="str">
        <f t="shared" si="341"/>
        <v>plays</v>
      </c>
      <c r="S3614" s="4">
        <f t="shared" si="338"/>
        <v>41789.726979166669</v>
      </c>
      <c r="T3614" s="4">
        <f t="shared" si="339"/>
        <v>41799.726979166669</v>
      </c>
      <c r="U3614" s="5">
        <f>VLOOKUP(currency,Tables!$A$1:$C$14,3,FALSE)*pledged</f>
        <v>5487.2</v>
      </c>
    </row>
    <row r="3615" spans="1:21" ht="28.8" x14ac:dyDescent="0.55000000000000004">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336"/>
        <v>1</v>
      </c>
      <c r="P3615" s="16">
        <f t="shared" si="337"/>
        <v>62.5</v>
      </c>
      <c r="Q3615" t="str">
        <f t="shared" si="340"/>
        <v>theater</v>
      </c>
      <c r="R3615" t="str">
        <f t="shared" si="341"/>
        <v>plays</v>
      </c>
      <c r="S3615" s="4">
        <f t="shared" si="338"/>
        <v>41788.58997685185</v>
      </c>
      <c r="T3615" s="4">
        <f t="shared" si="339"/>
        <v>41818.58997685185</v>
      </c>
      <c r="U3615" s="5">
        <f>VLOOKUP(currency,Tables!$A$1:$C$14,3,FALSE)*pledged</f>
        <v>1250</v>
      </c>
    </row>
    <row r="3616" spans="1:21" ht="43.2" x14ac:dyDescent="0.55000000000000004">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16">
        <f t="shared" si="337"/>
        <v>35.492957746478872</v>
      </c>
      <c r="Q3616" t="str">
        <f t="shared" si="340"/>
        <v>theater</v>
      </c>
      <c r="R3616" t="str">
        <f t="shared" si="341"/>
        <v>plays</v>
      </c>
      <c r="S3616" s="4">
        <f t="shared" si="338"/>
        <v>42144.041851851856</v>
      </c>
      <c r="T3616" s="4">
        <f t="shared" si="339"/>
        <v>42174.041851851856</v>
      </c>
      <c r="U3616" s="5">
        <f>VLOOKUP(currency,Tables!$A$1:$C$14,3,FALSE)*pledged</f>
        <v>2520</v>
      </c>
    </row>
    <row r="3617" spans="1:21" ht="43.2" x14ac:dyDescent="0.55000000000000004">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16">
        <f t="shared" si="337"/>
        <v>37.083333333333336</v>
      </c>
      <c r="Q3617" t="str">
        <f t="shared" si="340"/>
        <v>theater</v>
      </c>
      <c r="R3617" t="str">
        <f t="shared" si="341"/>
        <v>plays</v>
      </c>
      <c r="S3617" s="4">
        <f t="shared" si="338"/>
        <v>42318.593703703707</v>
      </c>
      <c r="T3617" s="4">
        <f t="shared" si="339"/>
        <v>42348.593703703707</v>
      </c>
      <c r="U3617" s="5">
        <f>VLOOKUP(currency,Tables!$A$1:$C$14,3,FALSE)*pledged</f>
        <v>3524.4</v>
      </c>
    </row>
    <row r="3618" spans="1:21" ht="43.2" x14ac:dyDescent="0.55000000000000004">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16">
        <f t="shared" si="337"/>
        <v>69.333333333333329</v>
      </c>
      <c r="Q3618" t="str">
        <f t="shared" si="340"/>
        <v>theater</v>
      </c>
      <c r="R3618" t="str">
        <f t="shared" si="341"/>
        <v>plays</v>
      </c>
      <c r="S3618" s="4">
        <f t="shared" si="338"/>
        <v>42052.949814814812</v>
      </c>
      <c r="T3618" s="4">
        <f t="shared" si="339"/>
        <v>42082.908148148148</v>
      </c>
      <c r="U3618" s="5">
        <f>VLOOKUP(currency,Tables!$A$1:$C$14,3,FALSE)*pledged</f>
        <v>4118.4000000000005</v>
      </c>
    </row>
    <row r="3619" spans="1:21" ht="43.2" x14ac:dyDescent="0.55000000000000004">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16">
        <f t="shared" si="337"/>
        <v>17.254901960784313</v>
      </c>
      <c r="Q3619" t="str">
        <f t="shared" si="340"/>
        <v>theater</v>
      </c>
      <c r="R3619" t="str">
        <f t="shared" si="341"/>
        <v>plays</v>
      </c>
      <c r="S3619" s="4">
        <f t="shared" si="338"/>
        <v>42779.610289351855</v>
      </c>
      <c r="T3619" s="4">
        <f t="shared" si="339"/>
        <v>42794</v>
      </c>
      <c r="U3619" s="5">
        <f>VLOOKUP(currency,Tables!$A$1:$C$14,3,FALSE)*pledged</f>
        <v>1161.6000000000001</v>
      </c>
    </row>
    <row r="3620" spans="1:21" ht="43.2" x14ac:dyDescent="0.55000000000000004">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336"/>
        <v>1.01</v>
      </c>
      <c r="P3620" s="16">
        <f t="shared" si="337"/>
        <v>36.071428571428569</v>
      </c>
      <c r="Q3620" t="str">
        <f t="shared" si="340"/>
        <v>theater</v>
      </c>
      <c r="R3620" t="str">
        <f t="shared" si="341"/>
        <v>plays</v>
      </c>
      <c r="S3620" s="4">
        <f t="shared" si="338"/>
        <v>42128.627893518518</v>
      </c>
      <c r="T3620" s="4">
        <f t="shared" si="339"/>
        <v>42158.627893518518</v>
      </c>
      <c r="U3620" s="5">
        <f>VLOOKUP(currency,Tables!$A$1:$C$14,3,FALSE)*pledged</f>
        <v>2666.4</v>
      </c>
    </row>
    <row r="3621" spans="1:21" ht="43.2" x14ac:dyDescent="0.55000000000000004">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16">
        <f t="shared" si="337"/>
        <v>66.470588235294116</v>
      </c>
      <c r="Q3621" t="str">
        <f t="shared" si="340"/>
        <v>theater</v>
      </c>
      <c r="R3621" t="str">
        <f t="shared" si="341"/>
        <v>plays</v>
      </c>
      <c r="S3621" s="4">
        <f t="shared" si="338"/>
        <v>42661.132245370376</v>
      </c>
      <c r="T3621" s="4">
        <f t="shared" si="339"/>
        <v>42693.916666666672</v>
      </c>
      <c r="U3621" s="5">
        <f>VLOOKUP(currency,Tables!$A$1:$C$14,3,FALSE)*pledged</f>
        <v>1130</v>
      </c>
    </row>
    <row r="3622" spans="1:21" ht="43.2" x14ac:dyDescent="0.55000000000000004">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16">
        <f t="shared" si="337"/>
        <v>56.065989847715734</v>
      </c>
      <c r="Q3622" t="str">
        <f t="shared" si="340"/>
        <v>theater</v>
      </c>
      <c r="R3622" t="str">
        <f t="shared" si="341"/>
        <v>plays</v>
      </c>
      <c r="S3622" s="4">
        <f t="shared" si="338"/>
        <v>42037.938206018516</v>
      </c>
      <c r="T3622" s="4">
        <f t="shared" si="339"/>
        <v>42068.166666666672</v>
      </c>
      <c r="U3622" s="5">
        <f>VLOOKUP(currency,Tables!$A$1:$C$14,3,FALSE)*pledged</f>
        <v>11045</v>
      </c>
    </row>
    <row r="3623" spans="1:21" ht="43.2" x14ac:dyDescent="0.55000000000000004">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16">
        <f t="shared" si="337"/>
        <v>47.028571428571432</v>
      </c>
      <c r="Q3623" t="str">
        <f t="shared" si="340"/>
        <v>theater</v>
      </c>
      <c r="R3623" t="str">
        <f t="shared" si="341"/>
        <v>plays</v>
      </c>
      <c r="S3623" s="4">
        <f t="shared" si="338"/>
        <v>42619.935694444444</v>
      </c>
      <c r="T3623" s="4">
        <f t="shared" si="339"/>
        <v>42643.875</v>
      </c>
      <c r="U3623" s="5">
        <f>VLOOKUP(currency,Tables!$A$1:$C$14,3,FALSE)*pledged</f>
        <v>3292</v>
      </c>
    </row>
    <row r="3624" spans="1:21" ht="28.8" x14ac:dyDescent="0.55000000000000004">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16">
        <f t="shared" si="337"/>
        <v>47.666190476190479</v>
      </c>
      <c r="Q3624" t="str">
        <f t="shared" si="340"/>
        <v>theater</v>
      </c>
      <c r="R3624" t="str">
        <f t="shared" si="341"/>
        <v>plays</v>
      </c>
      <c r="S3624" s="4">
        <f t="shared" si="338"/>
        <v>41877.221886574072</v>
      </c>
      <c r="T3624" s="4">
        <f t="shared" si="339"/>
        <v>41910.140972222223</v>
      </c>
      <c r="U3624" s="5">
        <f>VLOOKUP(currency,Tables!$A$1:$C$14,3,FALSE)*pledged</f>
        <v>1000.99</v>
      </c>
    </row>
    <row r="3625" spans="1:21" ht="28.8" x14ac:dyDescent="0.55000000000000004">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336"/>
        <v>1.2</v>
      </c>
      <c r="P3625" s="16">
        <f t="shared" si="337"/>
        <v>88.235294117647058</v>
      </c>
      <c r="Q3625" t="str">
        <f t="shared" si="340"/>
        <v>theater</v>
      </c>
      <c r="R3625" t="str">
        <f t="shared" si="341"/>
        <v>plays</v>
      </c>
      <c r="S3625" s="4">
        <f t="shared" si="338"/>
        <v>41828.736921296295</v>
      </c>
      <c r="T3625" s="4">
        <f t="shared" si="339"/>
        <v>41846.291666666664</v>
      </c>
      <c r="U3625" s="5">
        <f>VLOOKUP(currency,Tables!$A$1:$C$14,3,FALSE)*pledged</f>
        <v>3000</v>
      </c>
    </row>
    <row r="3626" spans="1:21" ht="72" x14ac:dyDescent="0.55000000000000004">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16">
        <f t="shared" si="337"/>
        <v>80.717948717948715</v>
      </c>
      <c r="Q3626" t="str">
        <f t="shared" si="340"/>
        <v>theater</v>
      </c>
      <c r="R3626" t="str">
        <f t="shared" si="341"/>
        <v>plays</v>
      </c>
      <c r="S3626" s="4">
        <f t="shared" si="338"/>
        <v>42545.774189814809</v>
      </c>
      <c r="T3626" s="4">
        <f t="shared" si="339"/>
        <v>42605.774189814809</v>
      </c>
      <c r="U3626" s="5">
        <f>VLOOKUP(currency,Tables!$A$1:$C$14,3,FALSE)*pledged</f>
        <v>3148</v>
      </c>
    </row>
    <row r="3627" spans="1:21" ht="43.2" x14ac:dyDescent="0.55000000000000004">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16">
        <f t="shared" si="337"/>
        <v>39.487179487179489</v>
      </c>
      <c r="Q3627" t="str">
        <f t="shared" si="340"/>
        <v>theater</v>
      </c>
      <c r="R3627" t="str">
        <f t="shared" si="341"/>
        <v>plays</v>
      </c>
      <c r="S3627" s="4">
        <f t="shared" si="338"/>
        <v>42157.652511574073</v>
      </c>
      <c r="T3627" s="4">
        <f t="shared" si="339"/>
        <v>42187.652511574073</v>
      </c>
      <c r="U3627" s="5">
        <f>VLOOKUP(currency,Tables!$A$1:$C$14,3,FALSE)*pledged</f>
        <v>4065.6000000000004</v>
      </c>
    </row>
    <row r="3628" spans="1:21" ht="43.2" x14ac:dyDescent="0.55000000000000004">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16">
        <f t="shared" si="337"/>
        <v>84.854166666666671</v>
      </c>
      <c r="Q3628" t="str">
        <f t="shared" si="340"/>
        <v>theater</v>
      </c>
      <c r="R3628" t="str">
        <f t="shared" si="341"/>
        <v>plays</v>
      </c>
      <c r="S3628" s="4">
        <f t="shared" si="338"/>
        <v>41846.667326388888</v>
      </c>
      <c r="T3628" s="4">
        <f t="shared" si="339"/>
        <v>41867.667326388888</v>
      </c>
      <c r="U3628" s="5">
        <f>VLOOKUP(currency,Tables!$A$1:$C$14,3,FALSE)*pledged</f>
        <v>5376.3600000000006</v>
      </c>
    </row>
    <row r="3629" spans="1:21" ht="43.2" x14ac:dyDescent="0.55000000000000004">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336"/>
        <v>1</v>
      </c>
      <c r="P3629" s="16">
        <f t="shared" si="337"/>
        <v>68.965517241379317</v>
      </c>
      <c r="Q3629" t="str">
        <f t="shared" si="340"/>
        <v>theater</v>
      </c>
      <c r="R3629" t="str">
        <f t="shared" si="341"/>
        <v>plays</v>
      </c>
      <c r="S3629" s="4">
        <f t="shared" si="338"/>
        <v>42460.741747685184</v>
      </c>
      <c r="T3629" s="4">
        <f t="shared" si="339"/>
        <v>42511.165972222225</v>
      </c>
      <c r="U3629" s="5">
        <f>VLOOKUP(currency,Tables!$A$1:$C$14,3,FALSE)*pledged</f>
        <v>2000</v>
      </c>
    </row>
    <row r="3630" spans="1:21" ht="43.2" x14ac:dyDescent="0.55000000000000004">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336"/>
        <v>0</v>
      </c>
      <c r="P3630" s="16">
        <f t="shared" si="337"/>
        <v>0</v>
      </c>
      <c r="Q3630" t="str">
        <f t="shared" si="340"/>
        <v>theater</v>
      </c>
      <c r="R3630" t="str">
        <f t="shared" si="341"/>
        <v>musical</v>
      </c>
      <c r="S3630" s="4">
        <f t="shared" si="338"/>
        <v>42291.833287037036</v>
      </c>
      <c r="T3630" s="4">
        <f t="shared" si="339"/>
        <v>42351.874953703707</v>
      </c>
      <c r="U3630" s="5">
        <f>VLOOKUP(currency,Tables!$A$1:$C$14,3,FALSE)*pledged</f>
        <v>0</v>
      </c>
    </row>
    <row r="3631" spans="1:21" ht="43.2" x14ac:dyDescent="0.55000000000000004">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16">
        <f t="shared" si="337"/>
        <v>1</v>
      </c>
      <c r="Q3631" t="str">
        <f t="shared" si="340"/>
        <v>theater</v>
      </c>
      <c r="R3631" t="str">
        <f t="shared" si="341"/>
        <v>musical</v>
      </c>
      <c r="S3631" s="4">
        <f t="shared" si="338"/>
        <v>42437.094490740739</v>
      </c>
      <c r="T3631" s="4">
        <f t="shared" si="339"/>
        <v>42495.708333333328</v>
      </c>
      <c r="U3631" s="5">
        <f>VLOOKUP(currency,Tables!$A$1:$C$14,3,FALSE)*pledged</f>
        <v>2</v>
      </c>
    </row>
    <row r="3632" spans="1:21" ht="43.2" x14ac:dyDescent="0.55000000000000004">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16">
        <f t="shared" si="337"/>
        <v>1</v>
      </c>
      <c r="Q3632" t="str">
        <f t="shared" si="340"/>
        <v>theater</v>
      </c>
      <c r="R3632" t="str">
        <f t="shared" si="341"/>
        <v>musical</v>
      </c>
      <c r="S3632" s="4">
        <f t="shared" si="338"/>
        <v>41942.84710648148</v>
      </c>
      <c r="T3632" s="4">
        <f t="shared" si="339"/>
        <v>41972.888773148152</v>
      </c>
      <c r="U3632" s="5">
        <f>VLOOKUP(currency,Tables!$A$1:$C$14,3,FALSE)*pledged</f>
        <v>1.32</v>
      </c>
    </row>
    <row r="3633" spans="1:21" ht="43.2" x14ac:dyDescent="0.55000000000000004">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16">
        <f t="shared" si="337"/>
        <v>147.88135593220338</v>
      </c>
      <c r="Q3633" t="str">
        <f t="shared" si="340"/>
        <v>theater</v>
      </c>
      <c r="R3633" t="str">
        <f t="shared" si="341"/>
        <v>musical</v>
      </c>
      <c r="S3633" s="4">
        <f t="shared" si="338"/>
        <v>41880.753437499996</v>
      </c>
      <c r="T3633" s="4">
        <f t="shared" si="339"/>
        <v>41905.165972222225</v>
      </c>
      <c r="U3633" s="5">
        <f>VLOOKUP(currency,Tables!$A$1:$C$14,3,FALSE)*pledged</f>
        <v>8725</v>
      </c>
    </row>
    <row r="3634" spans="1:21" ht="43.2" x14ac:dyDescent="0.55000000000000004">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336"/>
        <v>0.2</v>
      </c>
      <c r="P3634" s="16">
        <f t="shared" si="337"/>
        <v>100</v>
      </c>
      <c r="Q3634" t="str">
        <f t="shared" si="340"/>
        <v>theater</v>
      </c>
      <c r="R3634" t="str">
        <f t="shared" si="341"/>
        <v>musical</v>
      </c>
      <c r="S3634" s="4">
        <f t="shared" si="338"/>
        <v>41946.936909722222</v>
      </c>
      <c r="T3634" s="4">
        <f t="shared" si="339"/>
        <v>41966.936909722222</v>
      </c>
      <c r="U3634" s="5">
        <f>VLOOKUP(currency,Tables!$A$1:$C$14,3,FALSE)*pledged</f>
        <v>132</v>
      </c>
    </row>
    <row r="3635" spans="1:21" ht="43.2" x14ac:dyDescent="0.55000000000000004">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16">
        <f t="shared" si="337"/>
        <v>56.838709677419352</v>
      </c>
      <c r="Q3635" t="str">
        <f t="shared" si="340"/>
        <v>theater</v>
      </c>
      <c r="R3635" t="str">
        <f t="shared" si="341"/>
        <v>musical</v>
      </c>
      <c r="S3635" s="4">
        <f t="shared" si="338"/>
        <v>42649.623460648145</v>
      </c>
      <c r="T3635" s="4">
        <f t="shared" si="339"/>
        <v>42693.041666666672</v>
      </c>
      <c r="U3635" s="5">
        <f>VLOOKUP(currency,Tables!$A$1:$C$14,3,FALSE)*pledged</f>
        <v>1762</v>
      </c>
    </row>
    <row r="3636" spans="1:21" ht="43.2" x14ac:dyDescent="0.55000000000000004">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16">
        <f t="shared" si="337"/>
        <v>176.94444444444446</v>
      </c>
      <c r="Q3636" t="str">
        <f t="shared" si="340"/>
        <v>theater</v>
      </c>
      <c r="R3636" t="str">
        <f t="shared" si="341"/>
        <v>musical</v>
      </c>
      <c r="S3636" s="4">
        <f t="shared" si="338"/>
        <v>42701.166365740741</v>
      </c>
      <c r="T3636" s="4">
        <f t="shared" si="339"/>
        <v>42749.165972222225</v>
      </c>
      <c r="U3636" s="5">
        <f>VLOOKUP(currency,Tables!$A$1:$C$14,3,FALSE)*pledged</f>
        <v>2420.6</v>
      </c>
    </row>
    <row r="3637" spans="1:21" ht="28.8" x14ac:dyDescent="0.55000000000000004">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16">
        <f t="shared" si="337"/>
        <v>127.6</v>
      </c>
      <c r="Q3637" t="str">
        <f t="shared" si="340"/>
        <v>theater</v>
      </c>
      <c r="R3637" t="str">
        <f t="shared" si="341"/>
        <v>musical</v>
      </c>
      <c r="S3637" s="4">
        <f t="shared" si="338"/>
        <v>42450.88282407407</v>
      </c>
      <c r="T3637" s="4">
        <f t="shared" si="339"/>
        <v>42480.88282407407</v>
      </c>
      <c r="U3637" s="5">
        <f>VLOOKUP(currency,Tables!$A$1:$C$14,3,FALSE)*pledged</f>
        <v>1276</v>
      </c>
    </row>
    <row r="3638" spans="1:21" ht="43.2" x14ac:dyDescent="0.55000000000000004">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336"/>
        <v>0</v>
      </c>
      <c r="P3638" s="16">
        <f t="shared" si="337"/>
        <v>0</v>
      </c>
      <c r="Q3638" t="str">
        <f t="shared" si="340"/>
        <v>theater</v>
      </c>
      <c r="R3638" t="str">
        <f t="shared" si="341"/>
        <v>musical</v>
      </c>
      <c r="S3638" s="4">
        <f t="shared" si="338"/>
        <v>42226.694780092599</v>
      </c>
      <c r="T3638" s="4">
        <f t="shared" si="339"/>
        <v>42261.694780092599</v>
      </c>
      <c r="U3638" s="5">
        <f>VLOOKUP(currency,Tables!$A$1:$C$14,3,FALSE)*pledged</f>
        <v>0</v>
      </c>
    </row>
    <row r="3639" spans="1:21" ht="57.6" x14ac:dyDescent="0.55000000000000004">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16">
        <f t="shared" si="337"/>
        <v>66.142857142857139</v>
      </c>
      <c r="Q3639" t="str">
        <f t="shared" si="340"/>
        <v>theater</v>
      </c>
      <c r="R3639" t="str">
        <f t="shared" si="341"/>
        <v>musical</v>
      </c>
      <c r="S3639" s="4">
        <f t="shared" si="338"/>
        <v>41975.700636574074</v>
      </c>
      <c r="T3639" s="4">
        <f t="shared" si="339"/>
        <v>42005.700636574074</v>
      </c>
      <c r="U3639" s="5">
        <f>VLOOKUP(currency,Tables!$A$1:$C$14,3,FALSE)*pledged</f>
        <v>926</v>
      </c>
    </row>
    <row r="3640" spans="1:21" ht="28.8" x14ac:dyDescent="0.55000000000000004">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16">
        <f t="shared" si="337"/>
        <v>108</v>
      </c>
      <c r="Q3640" t="str">
        <f t="shared" si="340"/>
        <v>theater</v>
      </c>
      <c r="R3640" t="str">
        <f t="shared" si="341"/>
        <v>musical</v>
      </c>
      <c r="S3640" s="4">
        <f t="shared" si="338"/>
        <v>42053.672824074078</v>
      </c>
      <c r="T3640" s="4">
        <f t="shared" si="339"/>
        <v>42113.631157407406</v>
      </c>
      <c r="U3640" s="5">
        <f>VLOOKUP(currency,Tables!$A$1:$C$14,3,FALSE)*pledged</f>
        <v>164.16</v>
      </c>
    </row>
    <row r="3641" spans="1:21" ht="43.2" x14ac:dyDescent="0.55000000000000004">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16">
        <f t="shared" si="337"/>
        <v>1</v>
      </c>
      <c r="Q3641" t="str">
        <f t="shared" si="340"/>
        <v>theater</v>
      </c>
      <c r="R3641" t="str">
        <f t="shared" si="341"/>
        <v>musical</v>
      </c>
      <c r="S3641" s="4">
        <f t="shared" si="338"/>
        <v>42590.677152777775</v>
      </c>
      <c r="T3641" s="4">
        <f t="shared" si="339"/>
        <v>42650.632638888885</v>
      </c>
      <c r="U3641" s="5">
        <f>VLOOKUP(currency,Tables!$A$1:$C$14,3,FALSE)*pledged</f>
        <v>1</v>
      </c>
    </row>
    <row r="3642" spans="1:21" ht="72" x14ac:dyDescent="0.55000000000000004">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336"/>
        <v>5.5E-2</v>
      </c>
      <c r="P3642" s="16">
        <f t="shared" si="337"/>
        <v>18.333333333333332</v>
      </c>
      <c r="Q3642" t="str">
        <f t="shared" si="340"/>
        <v>theater</v>
      </c>
      <c r="R3642" t="str">
        <f t="shared" si="341"/>
        <v>musical</v>
      </c>
      <c r="S3642" s="4">
        <f t="shared" si="338"/>
        <v>42104.781597222223</v>
      </c>
      <c r="T3642" s="4">
        <f t="shared" si="339"/>
        <v>42134.781597222223</v>
      </c>
      <c r="U3642" s="5">
        <f>VLOOKUP(currency,Tables!$A$1:$C$14,3,FALSE)*pledged</f>
        <v>55</v>
      </c>
    </row>
    <row r="3643" spans="1:21" ht="43.2" x14ac:dyDescent="0.55000000000000004">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336"/>
        <v>0</v>
      </c>
      <c r="P3643" s="16">
        <f t="shared" si="337"/>
        <v>0</v>
      </c>
      <c r="Q3643" t="str">
        <f t="shared" si="340"/>
        <v>theater</v>
      </c>
      <c r="R3643" t="str">
        <f t="shared" si="341"/>
        <v>musical</v>
      </c>
      <c r="S3643" s="4">
        <f t="shared" si="338"/>
        <v>41899.627071759263</v>
      </c>
      <c r="T3643" s="4">
        <f t="shared" si="339"/>
        <v>41917.208333333336</v>
      </c>
      <c r="U3643" s="5">
        <f>VLOOKUP(currency,Tables!$A$1:$C$14,3,FALSE)*pledged</f>
        <v>0</v>
      </c>
    </row>
    <row r="3644" spans="1:21" ht="57.6" x14ac:dyDescent="0.55000000000000004">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16">
        <f t="shared" si="337"/>
        <v>7.5</v>
      </c>
      <c r="Q3644" t="str">
        <f t="shared" si="340"/>
        <v>theater</v>
      </c>
      <c r="R3644" t="str">
        <f t="shared" si="341"/>
        <v>musical</v>
      </c>
      <c r="S3644" s="4">
        <f t="shared" si="338"/>
        <v>42297.816284722227</v>
      </c>
      <c r="T3644" s="4">
        <f t="shared" si="339"/>
        <v>42338.708333333328</v>
      </c>
      <c r="U3644" s="5">
        <f>VLOOKUP(currency,Tables!$A$1:$C$14,3,FALSE)*pledged</f>
        <v>17.7</v>
      </c>
    </row>
    <row r="3645" spans="1:21" ht="43.2" x14ac:dyDescent="0.55000000000000004">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336"/>
        <v>0</v>
      </c>
      <c r="P3645" s="16">
        <f t="shared" si="337"/>
        <v>0</v>
      </c>
      <c r="Q3645" t="str">
        <f t="shared" si="340"/>
        <v>theater</v>
      </c>
      <c r="R3645" t="str">
        <f t="shared" si="341"/>
        <v>musical</v>
      </c>
      <c r="S3645" s="4">
        <f t="shared" si="338"/>
        <v>42285.143969907411</v>
      </c>
      <c r="T3645" s="4">
        <f t="shared" si="339"/>
        <v>42325.185636574075</v>
      </c>
      <c r="U3645" s="5">
        <f>VLOOKUP(currency,Tables!$A$1:$C$14,3,FALSE)*pledged</f>
        <v>0</v>
      </c>
    </row>
    <row r="3646" spans="1:21" ht="43.2" x14ac:dyDescent="0.55000000000000004">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16">
        <f t="shared" si="337"/>
        <v>68.416666666666671</v>
      </c>
      <c r="Q3646" t="str">
        <f t="shared" si="340"/>
        <v>theater</v>
      </c>
      <c r="R3646" t="str">
        <f t="shared" si="341"/>
        <v>musical</v>
      </c>
      <c r="S3646" s="4">
        <f t="shared" si="338"/>
        <v>42409.241747685184</v>
      </c>
      <c r="T3646" s="4">
        <f t="shared" si="339"/>
        <v>42437.207638888889</v>
      </c>
      <c r="U3646" s="5">
        <f>VLOOKUP(currency,Tables!$A$1:$C$14,3,FALSE)*pledged</f>
        <v>821</v>
      </c>
    </row>
    <row r="3647" spans="1:21" ht="43.2" x14ac:dyDescent="0.55000000000000004">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336"/>
        <v>1E-3</v>
      </c>
      <c r="P3647" s="16">
        <f t="shared" si="337"/>
        <v>1</v>
      </c>
      <c r="Q3647" t="str">
        <f t="shared" si="340"/>
        <v>theater</v>
      </c>
      <c r="R3647" t="str">
        <f t="shared" si="341"/>
        <v>musical</v>
      </c>
      <c r="S3647" s="4">
        <f t="shared" si="338"/>
        <v>42665.970347222217</v>
      </c>
      <c r="T3647" s="4">
        <f t="shared" si="339"/>
        <v>42696.012013888889</v>
      </c>
      <c r="U3647" s="5">
        <f>VLOOKUP(currency,Tables!$A$1:$C$14,3,FALSE)*pledged</f>
        <v>0.76</v>
      </c>
    </row>
    <row r="3648" spans="1:21" ht="43.2" x14ac:dyDescent="0.55000000000000004">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16">
        <f t="shared" si="337"/>
        <v>60.125</v>
      </c>
      <c r="Q3648" t="str">
        <f t="shared" si="340"/>
        <v>theater</v>
      </c>
      <c r="R3648" t="str">
        <f t="shared" si="341"/>
        <v>musical</v>
      </c>
      <c r="S3648" s="4">
        <f t="shared" si="338"/>
        <v>42140.421319444446</v>
      </c>
      <c r="T3648" s="4">
        <f t="shared" si="339"/>
        <v>42171.979166666672</v>
      </c>
      <c r="U3648" s="5">
        <f>VLOOKUP(currency,Tables!$A$1:$C$14,3,FALSE)*pledged</f>
        <v>481</v>
      </c>
    </row>
    <row r="3649" spans="1:21" ht="43.2" x14ac:dyDescent="0.55000000000000004">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336"/>
        <v>0.06</v>
      </c>
      <c r="P3649" s="16">
        <f t="shared" si="337"/>
        <v>15</v>
      </c>
      <c r="Q3649" t="str">
        <f t="shared" si="340"/>
        <v>theater</v>
      </c>
      <c r="R3649" t="str">
        <f t="shared" si="341"/>
        <v>musical</v>
      </c>
      <c r="S3649" s="4">
        <f t="shared" si="338"/>
        <v>42598.749155092592</v>
      </c>
      <c r="T3649" s="4">
        <f t="shared" si="339"/>
        <v>42643.749155092592</v>
      </c>
      <c r="U3649" s="5">
        <f>VLOOKUP(currency,Tables!$A$1:$C$14,3,FALSE)*pledged</f>
        <v>39.6</v>
      </c>
    </row>
    <row r="3650" spans="1:21" ht="28.8" x14ac:dyDescent="0.55000000000000004">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ref="O3650:O3713" si="342">pledged/goal</f>
        <v>1.003825</v>
      </c>
      <c r="P3650" s="16">
        <f t="shared" ref="P3650:P3713" si="343">IF(pledged=0,0,pledged/backers_count)</f>
        <v>550.04109589041093</v>
      </c>
      <c r="Q3650" t="str">
        <f t="shared" si="340"/>
        <v>theater</v>
      </c>
      <c r="R3650" t="str">
        <f t="shared" si="341"/>
        <v>plays</v>
      </c>
      <c r="S3650" s="4">
        <f t="shared" ref="S3650:S3713" si="344">(((Unix_launched_date/60)/60)/24)+DATE(1970,1,1)</f>
        <v>41887.292187500003</v>
      </c>
      <c r="T3650" s="4">
        <f t="shared" ref="T3650:T3713" si="345">(((Unix_deadline/60)/60)/24)+DATE(1970,1,1)</f>
        <v>41917.292187500003</v>
      </c>
      <c r="U3650" s="5">
        <f>VLOOKUP(currency,Tables!$A$1:$C$14,3,FALSE)*pledged</f>
        <v>40153</v>
      </c>
    </row>
    <row r="3651" spans="1:21" ht="43.2" x14ac:dyDescent="0.55000000000000004">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si="342"/>
        <v>1.04</v>
      </c>
      <c r="P3651" s="16">
        <f t="shared" si="343"/>
        <v>97.5</v>
      </c>
      <c r="Q3651" t="str">
        <f t="shared" ref="Q3651:Q3714" si="346">LEFT(N3651,FIND("/",N3651,1)-1)</f>
        <v>theater</v>
      </c>
      <c r="R3651" t="str">
        <f t="shared" ref="R3651:R3714" si="347">RIGHT(N3651,(LEN(N3651)-FIND("/",N3651,1)))</f>
        <v>plays</v>
      </c>
      <c r="S3651" s="4">
        <f t="shared" si="344"/>
        <v>41780.712893518517</v>
      </c>
      <c r="T3651" s="4">
        <f t="shared" si="345"/>
        <v>41806.712893518517</v>
      </c>
      <c r="U3651" s="5">
        <f>VLOOKUP(currency,Tables!$A$1:$C$14,3,FALSE)*pledged</f>
        <v>592.79999999999995</v>
      </c>
    </row>
    <row r="3652" spans="1:21" ht="43.2" x14ac:dyDescent="0.55000000000000004">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342"/>
        <v>1</v>
      </c>
      <c r="P3652" s="16">
        <f t="shared" si="343"/>
        <v>29.411764705882351</v>
      </c>
      <c r="Q3652" t="str">
        <f t="shared" si="346"/>
        <v>theater</v>
      </c>
      <c r="R3652" t="str">
        <f t="shared" si="347"/>
        <v>plays</v>
      </c>
      <c r="S3652" s="4">
        <f t="shared" si="344"/>
        <v>42381.478981481487</v>
      </c>
      <c r="T3652" s="4">
        <f t="shared" si="345"/>
        <v>42402.478981481487</v>
      </c>
      <c r="U3652" s="5">
        <f>VLOOKUP(currency,Tables!$A$1:$C$14,3,FALSE)*pledged</f>
        <v>660</v>
      </c>
    </row>
    <row r="3653" spans="1:21" ht="43.2" x14ac:dyDescent="0.55000000000000004">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342"/>
        <v>1.04</v>
      </c>
      <c r="P3653" s="16">
        <f t="shared" si="343"/>
        <v>57.777777777777779</v>
      </c>
      <c r="Q3653" t="str">
        <f t="shared" si="346"/>
        <v>theater</v>
      </c>
      <c r="R3653" t="str">
        <f t="shared" si="347"/>
        <v>plays</v>
      </c>
      <c r="S3653" s="4">
        <f t="shared" si="344"/>
        <v>41828.646319444444</v>
      </c>
      <c r="T3653" s="4">
        <f t="shared" si="345"/>
        <v>41861.665972222225</v>
      </c>
      <c r="U3653" s="5">
        <f>VLOOKUP(currency,Tables!$A$1:$C$14,3,FALSE)*pledged</f>
        <v>520</v>
      </c>
    </row>
    <row r="3654" spans="1:21" ht="43.2" x14ac:dyDescent="0.55000000000000004">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16">
        <f t="shared" si="343"/>
        <v>44.235294117647058</v>
      </c>
      <c r="Q3654" t="str">
        <f t="shared" si="346"/>
        <v>theater</v>
      </c>
      <c r="R3654" t="str">
        <f t="shared" si="347"/>
        <v>plays</v>
      </c>
      <c r="S3654" s="4">
        <f t="shared" si="344"/>
        <v>42596.644699074073</v>
      </c>
      <c r="T3654" s="4">
        <f t="shared" si="345"/>
        <v>42607.165972222225</v>
      </c>
      <c r="U3654" s="5">
        <f>VLOOKUP(currency,Tables!$A$1:$C$14,3,FALSE)*pledged</f>
        <v>571.52</v>
      </c>
    </row>
    <row r="3655" spans="1:21" ht="43.2" x14ac:dyDescent="0.55000000000000004">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16">
        <f t="shared" si="343"/>
        <v>60.909090909090907</v>
      </c>
      <c r="Q3655" t="str">
        <f t="shared" si="346"/>
        <v>theater</v>
      </c>
      <c r="R3655" t="str">
        <f t="shared" si="347"/>
        <v>plays</v>
      </c>
      <c r="S3655" s="4">
        <f t="shared" si="344"/>
        <v>42191.363506944443</v>
      </c>
      <c r="T3655" s="4">
        <f t="shared" si="345"/>
        <v>42221.363506944443</v>
      </c>
      <c r="U3655" s="5">
        <f>VLOOKUP(currency,Tables!$A$1:$C$14,3,FALSE)*pledged</f>
        <v>2653.2000000000003</v>
      </c>
    </row>
    <row r="3656" spans="1:21" ht="43.2" x14ac:dyDescent="0.55000000000000004">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16">
        <f t="shared" si="343"/>
        <v>68.84210526315789</v>
      </c>
      <c r="Q3656" t="str">
        <f t="shared" si="346"/>
        <v>theater</v>
      </c>
      <c r="R3656" t="str">
        <f t="shared" si="347"/>
        <v>plays</v>
      </c>
      <c r="S3656" s="4">
        <f t="shared" si="344"/>
        <v>42440.416504629626</v>
      </c>
      <c r="T3656" s="4">
        <f t="shared" si="345"/>
        <v>42463.708333333328</v>
      </c>
      <c r="U3656" s="5">
        <f>VLOOKUP(currency,Tables!$A$1:$C$14,3,FALSE)*pledged</f>
        <v>3453.1200000000003</v>
      </c>
    </row>
    <row r="3657" spans="1:21" ht="43.2" x14ac:dyDescent="0.55000000000000004">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16">
        <f t="shared" si="343"/>
        <v>73.582278481012665</v>
      </c>
      <c r="Q3657" t="str">
        <f t="shared" si="346"/>
        <v>theater</v>
      </c>
      <c r="R3657" t="str">
        <f t="shared" si="347"/>
        <v>plays</v>
      </c>
      <c r="S3657" s="4">
        <f t="shared" si="344"/>
        <v>42173.803217592591</v>
      </c>
      <c r="T3657" s="4">
        <f t="shared" si="345"/>
        <v>42203.290972222225</v>
      </c>
      <c r="U3657" s="5">
        <f>VLOOKUP(currency,Tables!$A$1:$C$14,3,FALSE)*pledged</f>
        <v>5813</v>
      </c>
    </row>
    <row r="3658" spans="1:21" ht="43.2" x14ac:dyDescent="0.55000000000000004">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16">
        <f t="shared" si="343"/>
        <v>115.02173913043478</v>
      </c>
      <c r="Q3658" t="str">
        <f t="shared" si="346"/>
        <v>theater</v>
      </c>
      <c r="R3658" t="str">
        <f t="shared" si="347"/>
        <v>plays</v>
      </c>
      <c r="S3658" s="4">
        <f t="shared" si="344"/>
        <v>42737.910138888896</v>
      </c>
      <c r="T3658" s="4">
        <f t="shared" si="345"/>
        <v>42767.957638888889</v>
      </c>
      <c r="U3658" s="5">
        <f>VLOOKUP(currency,Tables!$A$1:$C$14,3,FALSE)*pledged</f>
        <v>4867.72</v>
      </c>
    </row>
    <row r="3659" spans="1:21" ht="43.2" x14ac:dyDescent="0.55000000000000004">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16">
        <f t="shared" si="343"/>
        <v>110.75</v>
      </c>
      <c r="Q3659" t="str">
        <f t="shared" si="346"/>
        <v>theater</v>
      </c>
      <c r="R3659" t="str">
        <f t="shared" si="347"/>
        <v>plays</v>
      </c>
      <c r="S3659" s="4">
        <f t="shared" si="344"/>
        <v>42499.629849537043</v>
      </c>
      <c r="T3659" s="4">
        <f t="shared" si="345"/>
        <v>42522.904166666667</v>
      </c>
      <c r="U3659" s="5">
        <f>VLOOKUP(currency,Tables!$A$1:$C$14,3,FALSE)*pledged</f>
        <v>354.40000000000003</v>
      </c>
    </row>
    <row r="3660" spans="1:21" ht="28.8" x14ac:dyDescent="0.55000000000000004">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16">
        <f t="shared" si="343"/>
        <v>75.5</v>
      </c>
      <c r="Q3660" t="str">
        <f t="shared" si="346"/>
        <v>theater</v>
      </c>
      <c r="R3660" t="str">
        <f t="shared" si="347"/>
        <v>plays</v>
      </c>
      <c r="S3660" s="4">
        <f t="shared" si="344"/>
        <v>41775.858564814815</v>
      </c>
      <c r="T3660" s="4">
        <f t="shared" si="345"/>
        <v>41822.165972222225</v>
      </c>
      <c r="U3660" s="5">
        <f>VLOOKUP(currency,Tables!$A$1:$C$14,3,FALSE)*pledged</f>
        <v>1510</v>
      </c>
    </row>
    <row r="3661" spans="1:21" ht="43.2" x14ac:dyDescent="0.55000000000000004">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16">
        <f t="shared" si="343"/>
        <v>235.46153846153845</v>
      </c>
      <c r="Q3661" t="str">
        <f t="shared" si="346"/>
        <v>theater</v>
      </c>
      <c r="R3661" t="str">
        <f t="shared" si="347"/>
        <v>plays</v>
      </c>
      <c r="S3661" s="4">
        <f t="shared" si="344"/>
        <v>42055.277199074073</v>
      </c>
      <c r="T3661" s="4">
        <f t="shared" si="345"/>
        <v>42082.610416666663</v>
      </c>
      <c r="U3661" s="5">
        <f>VLOOKUP(currency,Tables!$A$1:$C$14,3,FALSE)*pledged</f>
        <v>3061</v>
      </c>
    </row>
    <row r="3662" spans="1:21" ht="57.6" x14ac:dyDescent="0.55000000000000004">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342"/>
        <v>1</v>
      </c>
      <c r="P3662" s="16">
        <f t="shared" si="343"/>
        <v>11.363636363636363</v>
      </c>
      <c r="Q3662" t="str">
        <f t="shared" si="346"/>
        <v>theater</v>
      </c>
      <c r="R3662" t="str">
        <f t="shared" si="347"/>
        <v>plays</v>
      </c>
      <c r="S3662" s="4">
        <f t="shared" si="344"/>
        <v>41971.881076388891</v>
      </c>
      <c r="T3662" s="4">
        <f t="shared" si="345"/>
        <v>41996.881076388891</v>
      </c>
      <c r="U3662" s="5">
        <f>VLOOKUP(currency,Tables!$A$1:$C$14,3,FALSE)*pledged</f>
        <v>330</v>
      </c>
    </row>
    <row r="3663" spans="1:21" ht="43.2" x14ac:dyDescent="0.55000000000000004">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16">
        <f t="shared" si="343"/>
        <v>92.5</v>
      </c>
      <c r="Q3663" t="str">
        <f t="shared" si="346"/>
        <v>theater</v>
      </c>
      <c r="R3663" t="str">
        <f t="shared" si="347"/>
        <v>plays</v>
      </c>
      <c r="S3663" s="4">
        <f t="shared" si="344"/>
        <v>42447.896666666667</v>
      </c>
      <c r="T3663" s="4">
        <f t="shared" si="345"/>
        <v>42470.166666666672</v>
      </c>
      <c r="U3663" s="5">
        <f>VLOOKUP(currency,Tables!$A$1:$C$14,3,FALSE)*pledged</f>
        <v>3330</v>
      </c>
    </row>
    <row r="3664" spans="1:21" ht="43.2" x14ac:dyDescent="0.55000000000000004">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16">
        <f t="shared" si="343"/>
        <v>202.85</v>
      </c>
      <c r="Q3664" t="str">
        <f t="shared" si="346"/>
        <v>theater</v>
      </c>
      <c r="R3664" t="str">
        <f t="shared" si="347"/>
        <v>plays</v>
      </c>
      <c r="S3664" s="4">
        <f t="shared" si="344"/>
        <v>42064.220069444447</v>
      </c>
      <c r="T3664" s="4">
        <f t="shared" si="345"/>
        <v>42094.178402777776</v>
      </c>
      <c r="U3664" s="5">
        <f>VLOOKUP(currency,Tables!$A$1:$C$14,3,FALSE)*pledged</f>
        <v>6166.64</v>
      </c>
    </row>
    <row r="3665" spans="1:21" ht="43.2" x14ac:dyDescent="0.55000000000000004">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342"/>
        <v>1.04</v>
      </c>
      <c r="P3665" s="16">
        <f t="shared" si="343"/>
        <v>26</v>
      </c>
      <c r="Q3665" t="str">
        <f t="shared" si="346"/>
        <v>theater</v>
      </c>
      <c r="R3665" t="str">
        <f t="shared" si="347"/>
        <v>plays</v>
      </c>
      <c r="S3665" s="4">
        <f t="shared" si="344"/>
        <v>42665.451736111107</v>
      </c>
      <c r="T3665" s="4">
        <f t="shared" si="345"/>
        <v>42725.493402777778</v>
      </c>
      <c r="U3665" s="5">
        <f>VLOOKUP(currency,Tables!$A$1:$C$14,3,FALSE)*pledged</f>
        <v>308.88</v>
      </c>
    </row>
    <row r="3666" spans="1:21" ht="43.2" x14ac:dyDescent="0.55000000000000004">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16">
        <f t="shared" si="343"/>
        <v>46.05263157894737</v>
      </c>
      <c r="Q3666" t="str">
        <f t="shared" si="346"/>
        <v>theater</v>
      </c>
      <c r="R3666" t="str">
        <f t="shared" si="347"/>
        <v>plays</v>
      </c>
      <c r="S3666" s="4">
        <f t="shared" si="344"/>
        <v>42523.248715277776</v>
      </c>
      <c r="T3666" s="4">
        <f t="shared" si="345"/>
        <v>42537.248715277776</v>
      </c>
      <c r="U3666" s="5">
        <f>VLOOKUP(currency,Tables!$A$1:$C$14,3,FALSE)*pledged</f>
        <v>875</v>
      </c>
    </row>
    <row r="3667" spans="1:21" ht="43.2" x14ac:dyDescent="0.55000000000000004">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16">
        <f t="shared" si="343"/>
        <v>51</v>
      </c>
      <c r="Q3667" t="str">
        <f t="shared" si="346"/>
        <v>theater</v>
      </c>
      <c r="R3667" t="str">
        <f t="shared" si="347"/>
        <v>plays</v>
      </c>
      <c r="S3667" s="4">
        <f t="shared" si="344"/>
        <v>42294.808124999996</v>
      </c>
      <c r="T3667" s="4">
        <f t="shared" si="345"/>
        <v>42305.829166666663</v>
      </c>
      <c r="U3667" s="5">
        <f>VLOOKUP(currency,Tables!$A$1:$C$14,3,FALSE)*pledged</f>
        <v>842.52</v>
      </c>
    </row>
    <row r="3668" spans="1:21" x14ac:dyDescent="0.55000000000000004">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342"/>
        <v>1</v>
      </c>
      <c r="P3668" s="16">
        <f t="shared" si="343"/>
        <v>31.578947368421051</v>
      </c>
      <c r="Q3668" t="str">
        <f t="shared" si="346"/>
        <v>theater</v>
      </c>
      <c r="R3668" t="str">
        <f t="shared" si="347"/>
        <v>plays</v>
      </c>
      <c r="S3668" s="4">
        <f t="shared" si="344"/>
        <v>41822.90488425926</v>
      </c>
      <c r="T3668" s="4">
        <f t="shared" si="345"/>
        <v>41844.291666666664</v>
      </c>
      <c r="U3668" s="5">
        <f>VLOOKUP(currency,Tables!$A$1:$C$14,3,FALSE)*pledged</f>
        <v>1200</v>
      </c>
    </row>
    <row r="3669" spans="1:21" ht="43.2" x14ac:dyDescent="0.55000000000000004">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16">
        <f t="shared" si="343"/>
        <v>53.363965517241382</v>
      </c>
      <c r="Q3669" t="str">
        <f t="shared" si="346"/>
        <v>theater</v>
      </c>
      <c r="R3669" t="str">
        <f t="shared" si="347"/>
        <v>plays</v>
      </c>
      <c r="S3669" s="4">
        <f t="shared" si="344"/>
        <v>42173.970127314817</v>
      </c>
      <c r="T3669" s="4">
        <f t="shared" si="345"/>
        <v>42203.970127314817</v>
      </c>
      <c r="U3669" s="5">
        <f>VLOOKUP(currency,Tables!$A$1:$C$14,3,FALSE)*pledged</f>
        <v>4085.5452000000005</v>
      </c>
    </row>
    <row r="3670" spans="1:21" ht="43.2" x14ac:dyDescent="0.55000000000000004">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16">
        <f t="shared" si="343"/>
        <v>36.964285714285715</v>
      </c>
      <c r="Q3670" t="str">
        <f t="shared" si="346"/>
        <v>theater</v>
      </c>
      <c r="R3670" t="str">
        <f t="shared" si="347"/>
        <v>plays</v>
      </c>
      <c r="S3670" s="4">
        <f t="shared" si="344"/>
        <v>42185.556157407409</v>
      </c>
      <c r="T3670" s="4">
        <f t="shared" si="345"/>
        <v>42208.772916666669</v>
      </c>
      <c r="U3670" s="5">
        <f>VLOOKUP(currency,Tables!$A$1:$C$14,3,FALSE)*pledged</f>
        <v>1035</v>
      </c>
    </row>
    <row r="3671" spans="1:21" ht="43.2" x14ac:dyDescent="0.55000000000000004">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16">
        <f t="shared" si="343"/>
        <v>81.294117647058826</v>
      </c>
      <c r="Q3671" t="str">
        <f t="shared" si="346"/>
        <v>theater</v>
      </c>
      <c r="R3671" t="str">
        <f t="shared" si="347"/>
        <v>plays</v>
      </c>
      <c r="S3671" s="4">
        <f t="shared" si="344"/>
        <v>42136.675196759257</v>
      </c>
      <c r="T3671" s="4">
        <f t="shared" si="345"/>
        <v>42166.675196759257</v>
      </c>
      <c r="U3671" s="5">
        <f>VLOOKUP(currency,Tables!$A$1:$C$14,3,FALSE)*pledged</f>
        <v>1824.24</v>
      </c>
    </row>
    <row r="3672" spans="1:21" ht="43.2" x14ac:dyDescent="0.55000000000000004">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16">
        <f t="shared" si="343"/>
        <v>20.083333333333332</v>
      </c>
      <c r="Q3672" t="str">
        <f t="shared" si="346"/>
        <v>theater</v>
      </c>
      <c r="R3672" t="str">
        <f t="shared" si="347"/>
        <v>plays</v>
      </c>
      <c r="S3672" s="4">
        <f t="shared" si="344"/>
        <v>42142.514016203699</v>
      </c>
      <c r="T3672" s="4">
        <f t="shared" si="345"/>
        <v>42155.958333333328</v>
      </c>
      <c r="U3672" s="5">
        <f>VLOOKUP(currency,Tables!$A$1:$C$14,3,FALSE)*pledged</f>
        <v>318.12</v>
      </c>
    </row>
    <row r="3673" spans="1:21" ht="43.2" x14ac:dyDescent="0.55000000000000004">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16">
        <f t="shared" si="343"/>
        <v>88.25</v>
      </c>
      <c r="Q3673" t="str">
        <f t="shared" si="346"/>
        <v>theater</v>
      </c>
      <c r="R3673" t="str">
        <f t="shared" si="347"/>
        <v>plays</v>
      </c>
      <c r="S3673" s="4">
        <f t="shared" si="344"/>
        <v>41820.62809027778</v>
      </c>
      <c r="T3673" s="4">
        <f t="shared" si="345"/>
        <v>41841.165972222225</v>
      </c>
      <c r="U3673" s="5">
        <f>VLOOKUP(currency,Tables!$A$1:$C$14,3,FALSE)*pledged</f>
        <v>3530</v>
      </c>
    </row>
    <row r="3674" spans="1:21" ht="43.2" x14ac:dyDescent="0.55000000000000004">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16">
        <f t="shared" si="343"/>
        <v>53.438596491228068</v>
      </c>
      <c r="Q3674" t="str">
        <f t="shared" si="346"/>
        <v>theater</v>
      </c>
      <c r="R3674" t="str">
        <f t="shared" si="347"/>
        <v>plays</v>
      </c>
      <c r="S3674" s="4">
        <f t="shared" si="344"/>
        <v>41878.946574074071</v>
      </c>
      <c r="T3674" s="4">
        <f t="shared" si="345"/>
        <v>41908.946574074071</v>
      </c>
      <c r="U3674" s="5">
        <f>VLOOKUP(currency,Tables!$A$1:$C$14,3,FALSE)*pledged</f>
        <v>4020.7200000000003</v>
      </c>
    </row>
    <row r="3675" spans="1:21" ht="43.2" x14ac:dyDescent="0.55000000000000004">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16">
        <f t="shared" si="343"/>
        <v>39.868421052631582</v>
      </c>
      <c r="Q3675" t="str">
        <f t="shared" si="346"/>
        <v>theater</v>
      </c>
      <c r="R3675" t="str">
        <f t="shared" si="347"/>
        <v>plays</v>
      </c>
      <c r="S3675" s="4">
        <f t="shared" si="344"/>
        <v>41914.295104166667</v>
      </c>
      <c r="T3675" s="4">
        <f t="shared" si="345"/>
        <v>41948.536111111112</v>
      </c>
      <c r="U3675" s="5">
        <f>VLOOKUP(currency,Tables!$A$1:$C$14,3,FALSE)*pledged</f>
        <v>5999.4000000000005</v>
      </c>
    </row>
    <row r="3676" spans="1:21" ht="43.2" x14ac:dyDescent="0.55000000000000004">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342"/>
        <v>1</v>
      </c>
      <c r="P3676" s="16">
        <f t="shared" si="343"/>
        <v>145.16129032258064</v>
      </c>
      <c r="Q3676" t="str">
        <f t="shared" si="346"/>
        <v>theater</v>
      </c>
      <c r="R3676" t="str">
        <f t="shared" si="347"/>
        <v>plays</v>
      </c>
      <c r="S3676" s="4">
        <f t="shared" si="344"/>
        <v>42556.873020833329</v>
      </c>
      <c r="T3676" s="4">
        <f t="shared" si="345"/>
        <v>42616.873020833329</v>
      </c>
      <c r="U3676" s="5">
        <f>VLOOKUP(currency,Tables!$A$1:$C$14,3,FALSE)*pledged</f>
        <v>5310</v>
      </c>
    </row>
    <row r="3677" spans="1:21" ht="43.2" x14ac:dyDescent="0.55000000000000004">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342"/>
        <v>1.4</v>
      </c>
      <c r="P3677" s="16">
        <f t="shared" si="343"/>
        <v>23.333333333333332</v>
      </c>
      <c r="Q3677" t="str">
        <f t="shared" si="346"/>
        <v>theater</v>
      </c>
      <c r="R3677" t="str">
        <f t="shared" si="347"/>
        <v>plays</v>
      </c>
      <c r="S3677" s="4">
        <f t="shared" si="344"/>
        <v>42493.597013888888</v>
      </c>
      <c r="T3677" s="4">
        <f t="shared" si="345"/>
        <v>42505.958333333328</v>
      </c>
      <c r="U3677" s="5">
        <f>VLOOKUP(currency,Tables!$A$1:$C$14,3,FALSE)*pledged</f>
        <v>92.4</v>
      </c>
    </row>
    <row r="3678" spans="1:21" ht="43.2" x14ac:dyDescent="0.55000000000000004">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16">
        <f t="shared" si="343"/>
        <v>64.375</v>
      </c>
      <c r="Q3678" t="str">
        <f t="shared" si="346"/>
        <v>theater</v>
      </c>
      <c r="R3678" t="str">
        <f t="shared" si="347"/>
        <v>plays</v>
      </c>
      <c r="S3678" s="4">
        <f t="shared" si="344"/>
        <v>41876.815787037034</v>
      </c>
      <c r="T3678" s="4">
        <f t="shared" si="345"/>
        <v>41894.815787037034</v>
      </c>
      <c r="U3678" s="5">
        <f>VLOOKUP(currency,Tables!$A$1:$C$14,3,FALSE)*pledged</f>
        <v>1030</v>
      </c>
    </row>
    <row r="3679" spans="1:21" ht="43.2" x14ac:dyDescent="0.55000000000000004">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16">
        <f t="shared" si="343"/>
        <v>62.052763819095475</v>
      </c>
      <c r="Q3679" t="str">
        <f t="shared" si="346"/>
        <v>theater</v>
      </c>
      <c r="R3679" t="str">
        <f t="shared" si="347"/>
        <v>plays</v>
      </c>
      <c r="S3679" s="4">
        <f t="shared" si="344"/>
        <v>41802.574282407404</v>
      </c>
      <c r="T3679" s="4">
        <f t="shared" si="345"/>
        <v>41823.165972222225</v>
      </c>
      <c r="U3679" s="5">
        <f>VLOOKUP(currency,Tables!$A$1:$C$14,3,FALSE)*pledged</f>
        <v>12348.5</v>
      </c>
    </row>
    <row r="3680" spans="1:21" ht="28.8" x14ac:dyDescent="0.55000000000000004">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16">
        <f t="shared" si="343"/>
        <v>66.129032258064512</v>
      </c>
      <c r="Q3680" t="str">
        <f t="shared" si="346"/>
        <v>theater</v>
      </c>
      <c r="R3680" t="str">
        <f t="shared" si="347"/>
        <v>plays</v>
      </c>
      <c r="S3680" s="4">
        <f t="shared" si="344"/>
        <v>42120.531226851846</v>
      </c>
      <c r="T3680" s="4">
        <f t="shared" si="345"/>
        <v>42155.531226851846</v>
      </c>
      <c r="U3680" s="5">
        <f>VLOOKUP(currency,Tables!$A$1:$C$14,3,FALSE)*pledged</f>
        <v>2706</v>
      </c>
    </row>
    <row r="3681" spans="1:21" ht="43.2" x14ac:dyDescent="0.55000000000000004">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16">
        <f t="shared" si="343"/>
        <v>73.400000000000006</v>
      </c>
      <c r="Q3681" t="str">
        <f t="shared" si="346"/>
        <v>theater</v>
      </c>
      <c r="R3681" t="str">
        <f t="shared" si="347"/>
        <v>plays</v>
      </c>
      <c r="S3681" s="4">
        <f t="shared" si="344"/>
        <v>41786.761354166665</v>
      </c>
      <c r="T3681" s="4">
        <f t="shared" si="345"/>
        <v>41821.207638888889</v>
      </c>
      <c r="U3681" s="5">
        <f>VLOOKUP(currency,Tables!$A$1:$C$14,3,FALSE)*pledged</f>
        <v>2202</v>
      </c>
    </row>
    <row r="3682" spans="1:21" ht="43.2" x14ac:dyDescent="0.55000000000000004">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16">
        <f t="shared" si="343"/>
        <v>99.5</v>
      </c>
      <c r="Q3682" t="str">
        <f t="shared" si="346"/>
        <v>theater</v>
      </c>
      <c r="R3682" t="str">
        <f t="shared" si="347"/>
        <v>plays</v>
      </c>
      <c r="S3682" s="4">
        <f t="shared" si="344"/>
        <v>42627.454097222217</v>
      </c>
      <c r="T3682" s="4">
        <f t="shared" si="345"/>
        <v>42648.454097222217</v>
      </c>
      <c r="U3682" s="5">
        <f>VLOOKUP(currency,Tables!$A$1:$C$14,3,FALSE)*pledged</f>
        <v>3383</v>
      </c>
    </row>
    <row r="3683" spans="1:21" ht="57.6" x14ac:dyDescent="0.55000000000000004">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16">
        <f t="shared" si="343"/>
        <v>62.166666666666664</v>
      </c>
      <c r="Q3683" t="str">
        <f t="shared" si="346"/>
        <v>theater</v>
      </c>
      <c r="R3683" t="str">
        <f t="shared" si="347"/>
        <v>plays</v>
      </c>
      <c r="S3683" s="4">
        <f t="shared" si="344"/>
        <v>42374.651504629626</v>
      </c>
      <c r="T3683" s="4">
        <f t="shared" si="345"/>
        <v>42384.651504629626</v>
      </c>
      <c r="U3683" s="5">
        <f>VLOOKUP(currency,Tables!$A$1:$C$14,3,FALSE)*pledged</f>
        <v>1119</v>
      </c>
    </row>
    <row r="3684" spans="1:21" ht="43.2" x14ac:dyDescent="0.55000000000000004">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16">
        <f t="shared" si="343"/>
        <v>62.328358208955223</v>
      </c>
      <c r="Q3684" t="str">
        <f t="shared" si="346"/>
        <v>theater</v>
      </c>
      <c r="R3684" t="str">
        <f t="shared" si="347"/>
        <v>plays</v>
      </c>
      <c r="S3684" s="4">
        <f t="shared" si="344"/>
        <v>41772.685393518521</v>
      </c>
      <c r="T3684" s="4">
        <f t="shared" si="345"/>
        <v>41806.290972222225</v>
      </c>
      <c r="U3684" s="5">
        <f>VLOOKUP(currency,Tables!$A$1:$C$14,3,FALSE)*pledged</f>
        <v>4176</v>
      </c>
    </row>
    <row r="3685" spans="1:21" ht="43.2" x14ac:dyDescent="0.55000000000000004">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16">
        <f t="shared" si="343"/>
        <v>58.787878787878789</v>
      </c>
      <c r="Q3685" t="str">
        <f t="shared" si="346"/>
        <v>theater</v>
      </c>
      <c r="R3685" t="str">
        <f t="shared" si="347"/>
        <v>plays</v>
      </c>
      <c r="S3685" s="4">
        <f t="shared" si="344"/>
        <v>42633.116851851853</v>
      </c>
      <c r="T3685" s="4">
        <f t="shared" si="345"/>
        <v>42663.116851851853</v>
      </c>
      <c r="U3685" s="5">
        <f>VLOOKUP(currency,Tables!$A$1:$C$14,3,FALSE)*pledged</f>
        <v>3880</v>
      </c>
    </row>
    <row r="3686" spans="1:21" ht="43.2" x14ac:dyDescent="0.55000000000000004">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16">
        <f t="shared" si="343"/>
        <v>45.347826086956523</v>
      </c>
      <c r="Q3686" t="str">
        <f t="shared" si="346"/>
        <v>theater</v>
      </c>
      <c r="R3686" t="str">
        <f t="shared" si="347"/>
        <v>plays</v>
      </c>
      <c r="S3686" s="4">
        <f t="shared" si="344"/>
        <v>42219.180393518516</v>
      </c>
      <c r="T3686" s="4">
        <f t="shared" si="345"/>
        <v>42249.180393518516</v>
      </c>
      <c r="U3686" s="5">
        <f>VLOOKUP(currency,Tables!$A$1:$C$14,3,FALSE)*pledged</f>
        <v>1043</v>
      </c>
    </row>
    <row r="3687" spans="1:21" ht="43.2" x14ac:dyDescent="0.55000000000000004">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16">
        <f t="shared" si="343"/>
        <v>41.944444444444443</v>
      </c>
      <c r="Q3687" t="str">
        <f t="shared" si="346"/>
        <v>theater</v>
      </c>
      <c r="R3687" t="str">
        <f t="shared" si="347"/>
        <v>plays</v>
      </c>
      <c r="S3687" s="4">
        <f t="shared" si="344"/>
        <v>41753.593275462961</v>
      </c>
      <c r="T3687" s="4">
        <f t="shared" si="345"/>
        <v>41778.875</v>
      </c>
      <c r="U3687" s="5">
        <f>VLOOKUP(currency,Tables!$A$1:$C$14,3,FALSE)*pledged</f>
        <v>5285</v>
      </c>
    </row>
    <row r="3688" spans="1:21" ht="43.2" x14ac:dyDescent="0.55000000000000004">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16">
        <f t="shared" si="343"/>
        <v>59.166666666666664</v>
      </c>
      <c r="Q3688" t="str">
        <f t="shared" si="346"/>
        <v>theater</v>
      </c>
      <c r="R3688" t="str">
        <f t="shared" si="347"/>
        <v>plays</v>
      </c>
      <c r="S3688" s="4">
        <f t="shared" si="344"/>
        <v>42230.662731481483</v>
      </c>
      <c r="T3688" s="4">
        <f t="shared" si="345"/>
        <v>42245.165972222225</v>
      </c>
      <c r="U3688" s="5">
        <f>VLOOKUP(currency,Tables!$A$1:$C$14,3,FALSE)*pledged</f>
        <v>355</v>
      </c>
    </row>
    <row r="3689" spans="1:21" ht="43.2" x14ac:dyDescent="0.55000000000000004">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16">
        <f t="shared" si="343"/>
        <v>200.49</v>
      </c>
      <c r="Q3689" t="str">
        <f t="shared" si="346"/>
        <v>theater</v>
      </c>
      <c r="R3689" t="str">
        <f t="shared" si="347"/>
        <v>plays</v>
      </c>
      <c r="S3689" s="4">
        <f t="shared" si="344"/>
        <v>41787.218229166669</v>
      </c>
      <c r="T3689" s="4">
        <f t="shared" si="345"/>
        <v>41817.218229166669</v>
      </c>
      <c r="U3689" s="5">
        <f>VLOOKUP(currency,Tables!$A$1:$C$14,3,FALSE)*pledged</f>
        <v>5012.25</v>
      </c>
    </row>
    <row r="3690" spans="1:21" ht="43.2" x14ac:dyDescent="0.55000000000000004">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16">
        <f t="shared" si="343"/>
        <v>83.974358974358978</v>
      </c>
      <c r="Q3690" t="str">
        <f t="shared" si="346"/>
        <v>theater</v>
      </c>
      <c r="R3690" t="str">
        <f t="shared" si="347"/>
        <v>plays</v>
      </c>
      <c r="S3690" s="4">
        <f t="shared" si="344"/>
        <v>41829.787083333329</v>
      </c>
      <c r="T3690" s="4">
        <f t="shared" si="345"/>
        <v>41859.787083333329</v>
      </c>
      <c r="U3690" s="5">
        <f>VLOOKUP(currency,Tables!$A$1:$C$14,3,FALSE)*pledged</f>
        <v>4323</v>
      </c>
    </row>
    <row r="3691" spans="1:21" ht="43.2" x14ac:dyDescent="0.55000000000000004">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16">
        <f t="shared" si="343"/>
        <v>57.258064516129032</v>
      </c>
      <c r="Q3691" t="str">
        <f t="shared" si="346"/>
        <v>theater</v>
      </c>
      <c r="R3691" t="str">
        <f t="shared" si="347"/>
        <v>plays</v>
      </c>
      <c r="S3691" s="4">
        <f t="shared" si="344"/>
        <v>42147.826840277776</v>
      </c>
      <c r="T3691" s="4">
        <f t="shared" si="345"/>
        <v>42176.934027777781</v>
      </c>
      <c r="U3691" s="5">
        <f>VLOOKUP(currency,Tables!$A$1:$C$14,3,FALSE)*pledged</f>
        <v>3550</v>
      </c>
    </row>
    <row r="3692" spans="1:21" ht="43.2" x14ac:dyDescent="0.55000000000000004">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342"/>
        <v>1.2</v>
      </c>
      <c r="P3692" s="16">
        <f t="shared" si="343"/>
        <v>58.064516129032256</v>
      </c>
      <c r="Q3692" t="str">
        <f t="shared" si="346"/>
        <v>theater</v>
      </c>
      <c r="R3692" t="str">
        <f t="shared" si="347"/>
        <v>plays</v>
      </c>
      <c r="S3692" s="4">
        <f t="shared" si="344"/>
        <v>41940.598182870373</v>
      </c>
      <c r="T3692" s="4">
        <f t="shared" si="345"/>
        <v>41970.639849537038</v>
      </c>
      <c r="U3692" s="5">
        <f>VLOOKUP(currency,Tables!$A$1:$C$14,3,FALSE)*pledged</f>
        <v>1800</v>
      </c>
    </row>
    <row r="3693" spans="1:21" ht="28.8" x14ac:dyDescent="0.55000000000000004">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16">
        <f t="shared" si="343"/>
        <v>186.80291970802921</v>
      </c>
      <c r="Q3693" t="str">
        <f t="shared" si="346"/>
        <v>theater</v>
      </c>
      <c r="R3693" t="str">
        <f t="shared" si="347"/>
        <v>plays</v>
      </c>
      <c r="S3693" s="4">
        <f t="shared" si="344"/>
        <v>42020.700567129628</v>
      </c>
      <c r="T3693" s="4">
        <f t="shared" si="345"/>
        <v>42065.207638888889</v>
      </c>
      <c r="U3693" s="5">
        <f>VLOOKUP(currency,Tables!$A$1:$C$14,3,FALSE)*pledged</f>
        <v>51184</v>
      </c>
    </row>
    <row r="3694" spans="1:21" ht="28.8" x14ac:dyDescent="0.55000000000000004">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342"/>
        <v>1.26</v>
      </c>
      <c r="P3694" s="16">
        <f t="shared" si="343"/>
        <v>74.117647058823536</v>
      </c>
      <c r="Q3694" t="str">
        <f t="shared" si="346"/>
        <v>theater</v>
      </c>
      <c r="R3694" t="str">
        <f t="shared" si="347"/>
        <v>plays</v>
      </c>
      <c r="S3694" s="4">
        <f t="shared" si="344"/>
        <v>41891.96503472222</v>
      </c>
      <c r="T3694" s="4">
        <f t="shared" si="345"/>
        <v>41901</v>
      </c>
      <c r="U3694" s="5">
        <f>VLOOKUP(currency,Tables!$A$1:$C$14,3,FALSE)*pledged</f>
        <v>1260</v>
      </c>
    </row>
    <row r="3695" spans="1:21" ht="43.2" x14ac:dyDescent="0.55000000000000004">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16">
        <f t="shared" si="343"/>
        <v>30.714285714285715</v>
      </c>
      <c r="Q3695" t="str">
        <f t="shared" si="346"/>
        <v>theater</v>
      </c>
      <c r="R3695" t="str">
        <f t="shared" si="347"/>
        <v>plays</v>
      </c>
      <c r="S3695" s="4">
        <f t="shared" si="344"/>
        <v>42309.191307870366</v>
      </c>
      <c r="T3695" s="4">
        <f t="shared" si="345"/>
        <v>42338.9375</v>
      </c>
      <c r="U3695" s="5">
        <f>VLOOKUP(currency,Tables!$A$1:$C$14,3,FALSE)*pledged</f>
        <v>567.6</v>
      </c>
    </row>
    <row r="3696" spans="1:21" ht="43.2" x14ac:dyDescent="0.55000000000000004">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16">
        <f t="shared" si="343"/>
        <v>62.666666666666664</v>
      </c>
      <c r="Q3696" t="str">
        <f t="shared" si="346"/>
        <v>theater</v>
      </c>
      <c r="R3696" t="str">
        <f t="shared" si="347"/>
        <v>plays</v>
      </c>
      <c r="S3696" s="4">
        <f t="shared" si="344"/>
        <v>42490.133877314816</v>
      </c>
      <c r="T3696" s="4">
        <f t="shared" si="345"/>
        <v>42527.083333333328</v>
      </c>
      <c r="U3696" s="5">
        <f>VLOOKUP(currency,Tables!$A$1:$C$14,3,FALSE)*pledged</f>
        <v>3760</v>
      </c>
    </row>
    <row r="3697" spans="1:21" ht="57.6" x14ac:dyDescent="0.55000000000000004">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16">
        <f t="shared" si="343"/>
        <v>121.36363636363636</v>
      </c>
      <c r="Q3697" t="str">
        <f t="shared" si="346"/>
        <v>theater</v>
      </c>
      <c r="R3697" t="str">
        <f t="shared" si="347"/>
        <v>plays</v>
      </c>
      <c r="S3697" s="4">
        <f t="shared" si="344"/>
        <v>41995.870486111111</v>
      </c>
      <c r="T3697" s="4">
        <f t="shared" si="345"/>
        <v>42015.870486111111</v>
      </c>
      <c r="U3697" s="5">
        <f>VLOOKUP(currency,Tables!$A$1:$C$14,3,FALSE)*pledged</f>
        <v>4005</v>
      </c>
    </row>
    <row r="3698" spans="1:21" ht="43.2" x14ac:dyDescent="0.55000000000000004">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342"/>
        <v>1.55</v>
      </c>
      <c r="P3698" s="16">
        <f t="shared" si="343"/>
        <v>39.743589743589745</v>
      </c>
      <c r="Q3698" t="str">
        <f t="shared" si="346"/>
        <v>theater</v>
      </c>
      <c r="R3698" t="str">
        <f t="shared" si="347"/>
        <v>plays</v>
      </c>
      <c r="S3698" s="4">
        <f t="shared" si="344"/>
        <v>41988.617083333331</v>
      </c>
      <c r="T3698" s="4">
        <f t="shared" si="345"/>
        <v>42048.617083333331</v>
      </c>
      <c r="U3698" s="5">
        <f>VLOOKUP(currency,Tables!$A$1:$C$14,3,FALSE)*pledged</f>
        <v>4092</v>
      </c>
    </row>
    <row r="3699" spans="1:21" ht="43.2" x14ac:dyDescent="0.55000000000000004">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342"/>
        <v>1.08</v>
      </c>
      <c r="P3699" s="16">
        <f t="shared" si="343"/>
        <v>72</v>
      </c>
      <c r="Q3699" t="str">
        <f t="shared" si="346"/>
        <v>theater</v>
      </c>
      <c r="R3699" t="str">
        <f t="shared" si="347"/>
        <v>plays</v>
      </c>
      <c r="S3699" s="4">
        <f t="shared" si="344"/>
        <v>42479.465833333335</v>
      </c>
      <c r="T3699" s="4">
        <f t="shared" si="345"/>
        <v>42500.465833333335</v>
      </c>
      <c r="U3699" s="5">
        <f>VLOOKUP(currency,Tables!$A$1:$C$14,3,FALSE)*pledged</f>
        <v>2851.2000000000003</v>
      </c>
    </row>
    <row r="3700" spans="1:21" ht="28.8" x14ac:dyDescent="0.55000000000000004">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16">
        <f t="shared" si="343"/>
        <v>40.632352941176471</v>
      </c>
      <c r="Q3700" t="str">
        <f t="shared" si="346"/>
        <v>theater</v>
      </c>
      <c r="R3700" t="str">
        <f t="shared" si="347"/>
        <v>plays</v>
      </c>
      <c r="S3700" s="4">
        <f t="shared" si="344"/>
        <v>42401.806562500002</v>
      </c>
      <c r="T3700" s="4">
        <f t="shared" si="345"/>
        <v>42431.806562500002</v>
      </c>
      <c r="U3700" s="5">
        <f>VLOOKUP(currency,Tables!$A$1:$C$14,3,FALSE)*pledged</f>
        <v>5526</v>
      </c>
    </row>
    <row r="3701" spans="1:21" ht="43.2" x14ac:dyDescent="0.55000000000000004">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16">
        <f t="shared" si="343"/>
        <v>63</v>
      </c>
      <c r="Q3701" t="str">
        <f t="shared" si="346"/>
        <v>theater</v>
      </c>
      <c r="R3701" t="str">
        <f t="shared" si="347"/>
        <v>plays</v>
      </c>
      <c r="S3701" s="4">
        <f t="shared" si="344"/>
        <v>41897.602037037039</v>
      </c>
      <c r="T3701" s="4">
        <f t="shared" si="345"/>
        <v>41927.602037037039</v>
      </c>
      <c r="U3701" s="5">
        <f>VLOOKUP(currency,Tables!$A$1:$C$14,3,FALSE)*pledged</f>
        <v>2520</v>
      </c>
    </row>
    <row r="3702" spans="1:21" ht="28.8" x14ac:dyDescent="0.55000000000000004">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342"/>
        <v>1.212</v>
      </c>
      <c r="P3702" s="16">
        <f t="shared" si="343"/>
        <v>33.666666666666664</v>
      </c>
      <c r="Q3702" t="str">
        <f t="shared" si="346"/>
        <v>theater</v>
      </c>
      <c r="R3702" t="str">
        <f t="shared" si="347"/>
        <v>plays</v>
      </c>
      <c r="S3702" s="4">
        <f t="shared" si="344"/>
        <v>41882.585648148146</v>
      </c>
      <c r="T3702" s="4">
        <f t="shared" si="345"/>
        <v>41912.666666666664</v>
      </c>
      <c r="U3702" s="5">
        <f>VLOOKUP(currency,Tables!$A$1:$C$14,3,FALSE)*pledged</f>
        <v>606</v>
      </c>
    </row>
    <row r="3703" spans="1:21" ht="43.2" x14ac:dyDescent="0.55000000000000004">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16">
        <f t="shared" si="343"/>
        <v>38.589743589743591</v>
      </c>
      <c r="Q3703" t="str">
        <f t="shared" si="346"/>
        <v>theater</v>
      </c>
      <c r="R3703" t="str">
        <f t="shared" si="347"/>
        <v>plays</v>
      </c>
      <c r="S3703" s="4">
        <f t="shared" si="344"/>
        <v>42129.541585648149</v>
      </c>
      <c r="T3703" s="4">
        <f t="shared" si="345"/>
        <v>42159.541585648149</v>
      </c>
      <c r="U3703" s="5">
        <f>VLOOKUP(currency,Tables!$A$1:$C$14,3,FALSE)*pledged</f>
        <v>1986.6000000000001</v>
      </c>
    </row>
    <row r="3704" spans="1:21" ht="43.2" x14ac:dyDescent="0.55000000000000004">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16">
        <f t="shared" si="343"/>
        <v>155.95238095238096</v>
      </c>
      <c r="Q3704" t="str">
        <f t="shared" si="346"/>
        <v>theater</v>
      </c>
      <c r="R3704" t="str">
        <f t="shared" si="347"/>
        <v>plays</v>
      </c>
      <c r="S3704" s="4">
        <f t="shared" si="344"/>
        <v>42524.53800925926</v>
      </c>
      <c r="T3704" s="4">
        <f t="shared" si="345"/>
        <v>42561.957638888889</v>
      </c>
      <c r="U3704" s="5">
        <f>VLOOKUP(currency,Tables!$A$1:$C$14,3,FALSE)*pledged</f>
        <v>4323</v>
      </c>
    </row>
    <row r="3705" spans="1:21" ht="43.2" x14ac:dyDescent="0.55000000000000004">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16">
        <f t="shared" si="343"/>
        <v>43.2</v>
      </c>
      <c r="Q3705" t="str">
        <f t="shared" si="346"/>
        <v>theater</v>
      </c>
      <c r="R3705" t="str">
        <f t="shared" si="347"/>
        <v>plays</v>
      </c>
      <c r="S3705" s="4">
        <f t="shared" si="344"/>
        <v>42556.504490740743</v>
      </c>
      <c r="T3705" s="4">
        <f t="shared" si="345"/>
        <v>42595.290972222225</v>
      </c>
      <c r="U3705" s="5">
        <f>VLOOKUP(currency,Tables!$A$1:$C$14,3,FALSE)*pledged</f>
        <v>1296</v>
      </c>
    </row>
    <row r="3706" spans="1:21" ht="43.2" x14ac:dyDescent="0.55000000000000004">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16">
        <f t="shared" si="343"/>
        <v>15.148518518518518</v>
      </c>
      <c r="Q3706" t="str">
        <f t="shared" si="346"/>
        <v>theater</v>
      </c>
      <c r="R3706" t="str">
        <f t="shared" si="347"/>
        <v>plays</v>
      </c>
      <c r="S3706" s="4">
        <f t="shared" si="344"/>
        <v>42461.689745370371</v>
      </c>
      <c r="T3706" s="4">
        <f t="shared" si="345"/>
        <v>42521.689745370371</v>
      </c>
      <c r="U3706" s="5">
        <f>VLOOKUP(currency,Tables!$A$1:$C$14,3,FALSE)*pledged</f>
        <v>539.89319999999998</v>
      </c>
    </row>
    <row r="3707" spans="1:21" ht="43.2" x14ac:dyDescent="0.55000000000000004">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16">
        <f t="shared" si="343"/>
        <v>83.571428571428569</v>
      </c>
      <c r="Q3707" t="str">
        <f t="shared" si="346"/>
        <v>theater</v>
      </c>
      <c r="R3707" t="str">
        <f t="shared" si="347"/>
        <v>plays</v>
      </c>
      <c r="S3707" s="4">
        <f t="shared" si="344"/>
        <v>41792.542986111112</v>
      </c>
      <c r="T3707" s="4">
        <f t="shared" si="345"/>
        <v>41813.75</v>
      </c>
      <c r="U3707" s="5">
        <f>VLOOKUP(currency,Tables!$A$1:$C$14,3,FALSE)*pledged</f>
        <v>2925</v>
      </c>
    </row>
    <row r="3708" spans="1:21" ht="43.2" x14ac:dyDescent="0.55000000000000004">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16">
        <f t="shared" si="343"/>
        <v>140</v>
      </c>
      <c r="Q3708" t="str">
        <f t="shared" si="346"/>
        <v>theater</v>
      </c>
      <c r="R3708" t="str">
        <f t="shared" si="347"/>
        <v>plays</v>
      </c>
      <c r="S3708" s="4">
        <f t="shared" si="344"/>
        <v>41879.913761574076</v>
      </c>
      <c r="T3708" s="4">
        <f t="shared" si="345"/>
        <v>41894.913761574076</v>
      </c>
      <c r="U3708" s="5">
        <f>VLOOKUP(currency,Tables!$A$1:$C$14,3,FALSE)*pledged</f>
        <v>1820</v>
      </c>
    </row>
    <row r="3709" spans="1:21" ht="43.2" x14ac:dyDescent="0.55000000000000004">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342"/>
        <v>1.86</v>
      </c>
      <c r="P3709" s="16">
        <f t="shared" si="343"/>
        <v>80.869565217391298</v>
      </c>
      <c r="Q3709" t="str">
        <f t="shared" si="346"/>
        <v>theater</v>
      </c>
      <c r="R3709" t="str">
        <f t="shared" si="347"/>
        <v>plays</v>
      </c>
      <c r="S3709" s="4">
        <f t="shared" si="344"/>
        <v>42552.048356481479</v>
      </c>
      <c r="T3709" s="4">
        <f t="shared" si="345"/>
        <v>42573.226388888885</v>
      </c>
      <c r="U3709" s="5">
        <f>VLOOKUP(currency,Tables!$A$1:$C$14,3,FALSE)*pledged</f>
        <v>1860</v>
      </c>
    </row>
    <row r="3710" spans="1:21" ht="43.2" x14ac:dyDescent="0.55000000000000004">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342"/>
        <v>3</v>
      </c>
      <c r="P3710" s="16">
        <f t="shared" si="343"/>
        <v>53.846153846153847</v>
      </c>
      <c r="Q3710" t="str">
        <f t="shared" si="346"/>
        <v>theater</v>
      </c>
      <c r="R3710" t="str">
        <f t="shared" si="347"/>
        <v>plays</v>
      </c>
      <c r="S3710" s="4">
        <f t="shared" si="344"/>
        <v>41810.142199074071</v>
      </c>
      <c r="T3710" s="4">
        <f t="shared" si="345"/>
        <v>41824.142199074071</v>
      </c>
      <c r="U3710" s="5">
        <f>VLOOKUP(currency,Tables!$A$1:$C$14,3,FALSE)*pledged</f>
        <v>2100</v>
      </c>
    </row>
    <row r="3711" spans="1:21" ht="43.2" x14ac:dyDescent="0.55000000000000004">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16">
        <f t="shared" si="343"/>
        <v>30.928571428571427</v>
      </c>
      <c r="Q3711" t="str">
        <f t="shared" si="346"/>
        <v>theater</v>
      </c>
      <c r="R3711" t="str">
        <f t="shared" si="347"/>
        <v>plays</v>
      </c>
      <c r="S3711" s="4">
        <f t="shared" si="344"/>
        <v>41785.707708333335</v>
      </c>
      <c r="T3711" s="4">
        <f t="shared" si="345"/>
        <v>41815.707708333335</v>
      </c>
      <c r="U3711" s="5">
        <f>VLOOKUP(currency,Tables!$A$1:$C$14,3,FALSE)*pledged</f>
        <v>1428.9</v>
      </c>
    </row>
    <row r="3712" spans="1:21" ht="28.8" x14ac:dyDescent="0.55000000000000004">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16">
        <f t="shared" si="343"/>
        <v>67.962962962962962</v>
      </c>
      <c r="Q3712" t="str">
        <f t="shared" si="346"/>
        <v>theater</v>
      </c>
      <c r="R3712" t="str">
        <f t="shared" si="347"/>
        <v>plays</v>
      </c>
      <c r="S3712" s="4">
        <f t="shared" si="344"/>
        <v>42072.576249999998</v>
      </c>
      <c r="T3712" s="4">
        <f t="shared" si="345"/>
        <v>42097.576249999998</v>
      </c>
      <c r="U3712" s="5">
        <f>VLOOKUP(currency,Tables!$A$1:$C$14,3,FALSE)*pledged</f>
        <v>1835</v>
      </c>
    </row>
    <row r="3713" spans="1:21" ht="28.8" x14ac:dyDescent="0.55000000000000004">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16">
        <f t="shared" si="343"/>
        <v>27.142857142857142</v>
      </c>
      <c r="Q3713" t="str">
        <f t="shared" si="346"/>
        <v>theater</v>
      </c>
      <c r="R3713" t="str">
        <f t="shared" si="347"/>
        <v>plays</v>
      </c>
      <c r="S3713" s="4">
        <f t="shared" si="344"/>
        <v>41779.724224537036</v>
      </c>
      <c r="T3713" s="4">
        <f t="shared" si="345"/>
        <v>41805.666666666664</v>
      </c>
      <c r="U3713" s="5">
        <f>VLOOKUP(currency,Tables!$A$1:$C$14,3,FALSE)*pledged</f>
        <v>570</v>
      </c>
    </row>
    <row r="3714" spans="1:21" ht="43.2" x14ac:dyDescent="0.55000000000000004">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ref="O3714:O3777" si="348">pledged/goal</f>
        <v>1.5373333333333334</v>
      </c>
      <c r="P3714" s="16">
        <f t="shared" ref="P3714:P3777" si="349">IF(pledged=0,0,pledged/backers_count)</f>
        <v>110.86538461538461</v>
      </c>
      <c r="Q3714" t="str">
        <f t="shared" si="346"/>
        <v>theater</v>
      </c>
      <c r="R3714" t="str">
        <f t="shared" si="347"/>
        <v>plays</v>
      </c>
      <c r="S3714" s="4">
        <f t="shared" ref="S3714:S3777" si="350">(((Unix_launched_date/60)/60)/24)+DATE(1970,1,1)</f>
        <v>42134.172071759262</v>
      </c>
      <c r="T3714" s="4">
        <f t="shared" ref="T3714:T3777" si="351">(((Unix_deadline/60)/60)/24)+DATE(1970,1,1)</f>
        <v>42155.290972222225</v>
      </c>
      <c r="U3714" s="5">
        <f>VLOOKUP(currency,Tables!$A$1:$C$14,3,FALSE)*pledged</f>
        <v>11530</v>
      </c>
    </row>
    <row r="3715" spans="1:21" ht="43.2" x14ac:dyDescent="0.55000000000000004">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si="348"/>
        <v>1.0149999999999999</v>
      </c>
      <c r="P3715" s="16">
        <f t="shared" si="349"/>
        <v>106.84210526315789</v>
      </c>
      <c r="Q3715" t="str">
        <f t="shared" ref="Q3715:Q3778" si="352">LEFT(N3715,FIND("/",N3715,1)-1)</f>
        <v>theater</v>
      </c>
      <c r="R3715" t="str">
        <f t="shared" ref="R3715:R3778" si="353">RIGHT(N3715,(LEN(N3715)-FIND("/",N3715,1)))</f>
        <v>plays</v>
      </c>
      <c r="S3715" s="4">
        <f t="shared" si="350"/>
        <v>42505.738032407404</v>
      </c>
      <c r="T3715" s="4">
        <f t="shared" si="351"/>
        <v>42525.738032407404</v>
      </c>
      <c r="U3715" s="5">
        <f>VLOOKUP(currency,Tables!$A$1:$C$14,3,FALSE)*pledged</f>
        <v>2030</v>
      </c>
    </row>
    <row r="3716" spans="1:21" ht="43.2" x14ac:dyDescent="0.55000000000000004">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16">
        <f t="shared" si="349"/>
        <v>105.51546391752578</v>
      </c>
      <c r="Q3716" t="str">
        <f t="shared" si="352"/>
        <v>theater</v>
      </c>
      <c r="R3716" t="str">
        <f t="shared" si="353"/>
        <v>plays</v>
      </c>
      <c r="S3716" s="4">
        <f t="shared" si="350"/>
        <v>42118.556331018524</v>
      </c>
      <c r="T3716" s="4">
        <f t="shared" si="351"/>
        <v>42150.165972222225</v>
      </c>
      <c r="U3716" s="5">
        <f>VLOOKUP(currency,Tables!$A$1:$C$14,3,FALSE)*pledged</f>
        <v>10235</v>
      </c>
    </row>
    <row r="3717" spans="1:21" ht="43.2" x14ac:dyDescent="0.55000000000000004">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16">
        <f t="shared" si="349"/>
        <v>132.96296296296296</v>
      </c>
      <c r="Q3717" t="str">
        <f t="shared" si="352"/>
        <v>theater</v>
      </c>
      <c r="R3717" t="str">
        <f t="shared" si="353"/>
        <v>plays</v>
      </c>
      <c r="S3717" s="4">
        <f t="shared" si="350"/>
        <v>42036.995590277773</v>
      </c>
      <c r="T3717" s="4">
        <f t="shared" si="351"/>
        <v>42094.536111111112</v>
      </c>
      <c r="U3717" s="5">
        <f>VLOOKUP(currency,Tables!$A$1:$C$14,3,FALSE)*pledged</f>
        <v>4738.8</v>
      </c>
    </row>
    <row r="3718" spans="1:21" ht="43.2" x14ac:dyDescent="0.55000000000000004">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16">
        <f t="shared" si="349"/>
        <v>51.916666666666664</v>
      </c>
      <c r="Q3718" t="str">
        <f t="shared" si="352"/>
        <v>theater</v>
      </c>
      <c r="R3718" t="str">
        <f t="shared" si="353"/>
        <v>plays</v>
      </c>
      <c r="S3718" s="4">
        <f t="shared" si="350"/>
        <v>42360.887835648144</v>
      </c>
      <c r="T3718" s="4">
        <f t="shared" si="351"/>
        <v>42390.887835648144</v>
      </c>
      <c r="U3718" s="5">
        <f>VLOOKUP(currency,Tables!$A$1:$C$14,3,FALSE)*pledged</f>
        <v>1246</v>
      </c>
    </row>
    <row r="3719" spans="1:21" ht="43.2" x14ac:dyDescent="0.55000000000000004">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16">
        <f t="shared" si="349"/>
        <v>310</v>
      </c>
      <c r="Q3719" t="str">
        <f t="shared" si="352"/>
        <v>theater</v>
      </c>
      <c r="R3719" t="str">
        <f t="shared" si="353"/>
        <v>plays</v>
      </c>
      <c r="S3719" s="4">
        <f t="shared" si="350"/>
        <v>42102.866307870368</v>
      </c>
      <c r="T3719" s="4">
        <f t="shared" si="351"/>
        <v>42133.866307870368</v>
      </c>
      <c r="U3719" s="5">
        <f>VLOOKUP(currency,Tables!$A$1:$C$14,3,FALSE)*pledged</f>
        <v>5319.6</v>
      </c>
    </row>
    <row r="3720" spans="1:21" ht="43.2" x14ac:dyDescent="0.55000000000000004">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16">
        <f t="shared" si="349"/>
        <v>26.021739130434781</v>
      </c>
      <c r="Q3720" t="str">
        <f t="shared" si="352"/>
        <v>theater</v>
      </c>
      <c r="R3720" t="str">
        <f t="shared" si="353"/>
        <v>plays</v>
      </c>
      <c r="S3720" s="4">
        <f t="shared" si="350"/>
        <v>42032.716145833328</v>
      </c>
      <c r="T3720" s="4">
        <f t="shared" si="351"/>
        <v>42062.716145833328</v>
      </c>
      <c r="U3720" s="5">
        <f>VLOOKUP(currency,Tables!$A$1:$C$14,3,FALSE)*pledged</f>
        <v>1580.04</v>
      </c>
    </row>
    <row r="3721" spans="1:21" ht="28.8" x14ac:dyDescent="0.55000000000000004">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348"/>
        <v>2.1</v>
      </c>
      <c r="P3721" s="16">
        <f t="shared" si="349"/>
        <v>105</v>
      </c>
      <c r="Q3721" t="str">
        <f t="shared" si="352"/>
        <v>theater</v>
      </c>
      <c r="R3721" t="str">
        <f t="shared" si="353"/>
        <v>plays</v>
      </c>
      <c r="S3721" s="4">
        <f t="shared" si="350"/>
        <v>42147.729930555557</v>
      </c>
      <c r="T3721" s="4">
        <f t="shared" si="351"/>
        <v>42177.729930555557</v>
      </c>
      <c r="U3721" s="5">
        <f>VLOOKUP(currency,Tables!$A$1:$C$14,3,FALSE)*pledged</f>
        <v>554.4</v>
      </c>
    </row>
    <row r="3722" spans="1:21" ht="28.8" x14ac:dyDescent="0.55000000000000004">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16">
        <f t="shared" si="349"/>
        <v>86.224999999999994</v>
      </c>
      <c r="Q3722" t="str">
        <f t="shared" si="352"/>
        <v>theater</v>
      </c>
      <c r="R3722" t="str">
        <f t="shared" si="353"/>
        <v>plays</v>
      </c>
      <c r="S3722" s="4">
        <f t="shared" si="350"/>
        <v>42165.993125000001</v>
      </c>
      <c r="T3722" s="4">
        <f t="shared" si="351"/>
        <v>42187.993125000001</v>
      </c>
      <c r="U3722" s="5">
        <f>VLOOKUP(currency,Tables!$A$1:$C$14,3,FALSE)*pledged</f>
        <v>3449</v>
      </c>
    </row>
    <row r="3723" spans="1:21" ht="43.2" x14ac:dyDescent="0.55000000000000004">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16">
        <f t="shared" si="349"/>
        <v>114.54545454545455</v>
      </c>
      <c r="Q3723" t="str">
        <f t="shared" si="352"/>
        <v>theater</v>
      </c>
      <c r="R3723" t="str">
        <f t="shared" si="353"/>
        <v>plays</v>
      </c>
      <c r="S3723" s="4">
        <f t="shared" si="350"/>
        <v>41927.936157407406</v>
      </c>
      <c r="T3723" s="4">
        <f t="shared" si="351"/>
        <v>41948.977824074071</v>
      </c>
      <c r="U3723" s="5">
        <f>VLOOKUP(currency,Tables!$A$1:$C$14,3,FALSE)*pledged</f>
        <v>5040</v>
      </c>
    </row>
    <row r="3724" spans="1:21" ht="57.6" x14ac:dyDescent="0.55000000000000004">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16">
        <f t="shared" si="349"/>
        <v>47.657142857142858</v>
      </c>
      <c r="Q3724" t="str">
        <f t="shared" si="352"/>
        <v>theater</v>
      </c>
      <c r="R3724" t="str">
        <f t="shared" si="353"/>
        <v>plays</v>
      </c>
      <c r="S3724" s="4">
        <f t="shared" si="350"/>
        <v>42381.671840277777</v>
      </c>
      <c r="T3724" s="4">
        <f t="shared" si="351"/>
        <v>42411.957638888889</v>
      </c>
      <c r="U3724" s="5">
        <f>VLOOKUP(currency,Tables!$A$1:$C$14,3,FALSE)*pledged</f>
        <v>1267.68</v>
      </c>
    </row>
    <row r="3725" spans="1:21" ht="28.8" x14ac:dyDescent="0.55000000000000004">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16">
        <f t="shared" si="349"/>
        <v>72.888888888888886</v>
      </c>
      <c r="Q3725" t="str">
        <f t="shared" si="352"/>
        <v>theater</v>
      </c>
      <c r="R3725" t="str">
        <f t="shared" si="353"/>
        <v>plays</v>
      </c>
      <c r="S3725" s="4">
        <f t="shared" si="350"/>
        <v>41943.753032407411</v>
      </c>
      <c r="T3725" s="4">
        <f t="shared" si="351"/>
        <v>41973.794699074075</v>
      </c>
      <c r="U3725" s="5">
        <f>VLOOKUP(currency,Tables!$A$1:$C$14,3,FALSE)*pledged</f>
        <v>6061.4400000000005</v>
      </c>
    </row>
    <row r="3726" spans="1:21" ht="43.2" x14ac:dyDescent="0.55000000000000004">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16">
        <f t="shared" si="349"/>
        <v>49.545505617977533</v>
      </c>
      <c r="Q3726" t="str">
        <f t="shared" si="352"/>
        <v>theater</v>
      </c>
      <c r="R3726" t="str">
        <f t="shared" si="353"/>
        <v>plays</v>
      </c>
      <c r="S3726" s="4">
        <f t="shared" si="350"/>
        <v>42465.491435185191</v>
      </c>
      <c r="T3726" s="4">
        <f t="shared" si="351"/>
        <v>42494.958333333328</v>
      </c>
      <c r="U3726" s="5">
        <f>VLOOKUP(currency,Tables!$A$1:$C$14,3,FALSE)*pledged</f>
        <v>5820.6060000000007</v>
      </c>
    </row>
    <row r="3727" spans="1:21" ht="43.2" x14ac:dyDescent="0.55000000000000004">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348"/>
        <v>1.27</v>
      </c>
      <c r="P3727" s="16">
        <f t="shared" si="349"/>
        <v>25.4</v>
      </c>
      <c r="Q3727" t="str">
        <f t="shared" si="352"/>
        <v>theater</v>
      </c>
      <c r="R3727" t="str">
        <f t="shared" si="353"/>
        <v>plays</v>
      </c>
      <c r="S3727" s="4">
        <f t="shared" si="350"/>
        <v>42401.945219907408</v>
      </c>
      <c r="T3727" s="4">
        <f t="shared" si="351"/>
        <v>42418.895833333328</v>
      </c>
      <c r="U3727" s="5">
        <f>VLOOKUP(currency,Tables!$A$1:$C$14,3,FALSE)*pledged</f>
        <v>502.92</v>
      </c>
    </row>
    <row r="3728" spans="1:21" ht="43.2" x14ac:dyDescent="0.55000000000000004">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16">
        <f t="shared" si="349"/>
        <v>62.586956521739133</v>
      </c>
      <c r="Q3728" t="str">
        <f t="shared" si="352"/>
        <v>theater</v>
      </c>
      <c r="R3728" t="str">
        <f t="shared" si="353"/>
        <v>plays</v>
      </c>
      <c r="S3728" s="4">
        <f t="shared" si="350"/>
        <v>42462.140868055561</v>
      </c>
      <c r="T3728" s="4">
        <f t="shared" si="351"/>
        <v>42489.875</v>
      </c>
      <c r="U3728" s="5">
        <f>VLOOKUP(currency,Tables!$A$1:$C$14,3,FALSE)*pledged</f>
        <v>2879</v>
      </c>
    </row>
    <row r="3729" spans="1:21" ht="43.2" x14ac:dyDescent="0.55000000000000004">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16">
        <f t="shared" si="349"/>
        <v>61.060606060606062</v>
      </c>
      <c r="Q3729" t="str">
        <f t="shared" si="352"/>
        <v>theater</v>
      </c>
      <c r="R3729" t="str">
        <f t="shared" si="353"/>
        <v>plays</v>
      </c>
      <c r="S3729" s="4">
        <f t="shared" si="350"/>
        <v>42632.348310185189</v>
      </c>
      <c r="T3729" s="4">
        <f t="shared" si="351"/>
        <v>42663.204861111109</v>
      </c>
      <c r="U3729" s="5">
        <f>VLOOKUP(currency,Tables!$A$1:$C$14,3,FALSE)*pledged</f>
        <v>2015</v>
      </c>
    </row>
    <row r="3730" spans="1:21" ht="43.2" x14ac:dyDescent="0.55000000000000004">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16">
        <f t="shared" si="349"/>
        <v>60.064516129032256</v>
      </c>
      <c r="Q3730" t="str">
        <f t="shared" si="352"/>
        <v>theater</v>
      </c>
      <c r="R3730" t="str">
        <f t="shared" si="353"/>
        <v>plays</v>
      </c>
      <c r="S3730" s="4">
        <f t="shared" si="350"/>
        <v>42205.171018518522</v>
      </c>
      <c r="T3730" s="4">
        <f t="shared" si="351"/>
        <v>42235.171018518522</v>
      </c>
      <c r="U3730" s="5">
        <f>VLOOKUP(currency,Tables!$A$1:$C$14,3,FALSE)*pledged</f>
        <v>1862</v>
      </c>
    </row>
    <row r="3731" spans="1:21" ht="43.2" x14ac:dyDescent="0.55000000000000004">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16">
        <f t="shared" si="349"/>
        <v>72.400000000000006</v>
      </c>
      <c r="Q3731" t="str">
        <f t="shared" si="352"/>
        <v>theater</v>
      </c>
      <c r="R3731" t="str">
        <f t="shared" si="353"/>
        <v>plays</v>
      </c>
      <c r="S3731" s="4">
        <f t="shared" si="350"/>
        <v>42041.205000000002</v>
      </c>
      <c r="T3731" s="4">
        <f t="shared" si="351"/>
        <v>42086.16333333333</v>
      </c>
      <c r="U3731" s="5">
        <f>VLOOKUP(currency,Tables!$A$1:$C$14,3,FALSE)*pledged</f>
        <v>362</v>
      </c>
    </row>
    <row r="3732" spans="1:21" ht="43.2" x14ac:dyDescent="0.55000000000000004">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348"/>
        <v>0.1</v>
      </c>
      <c r="P3732" s="16">
        <f t="shared" si="349"/>
        <v>100</v>
      </c>
      <c r="Q3732" t="str">
        <f t="shared" si="352"/>
        <v>theater</v>
      </c>
      <c r="R3732" t="str">
        <f t="shared" si="353"/>
        <v>plays</v>
      </c>
      <c r="S3732" s="4">
        <f t="shared" si="350"/>
        <v>42203.677766203706</v>
      </c>
      <c r="T3732" s="4">
        <f t="shared" si="351"/>
        <v>42233.677766203706</v>
      </c>
      <c r="U3732" s="5">
        <f>VLOOKUP(currency,Tables!$A$1:$C$14,3,FALSE)*pledged</f>
        <v>100</v>
      </c>
    </row>
    <row r="3733" spans="1:21" ht="43.2" x14ac:dyDescent="0.55000000000000004">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16">
        <f t="shared" si="349"/>
        <v>51.666666666666664</v>
      </c>
      <c r="Q3733" t="str">
        <f t="shared" si="352"/>
        <v>theater</v>
      </c>
      <c r="R3733" t="str">
        <f t="shared" si="353"/>
        <v>plays</v>
      </c>
      <c r="S3733" s="4">
        <f t="shared" si="350"/>
        <v>41983.752847222218</v>
      </c>
      <c r="T3733" s="4">
        <f t="shared" si="351"/>
        <v>42014.140972222223</v>
      </c>
      <c r="U3733" s="5">
        <f>VLOOKUP(currency,Tables!$A$1:$C$14,3,FALSE)*pledged</f>
        <v>620</v>
      </c>
    </row>
    <row r="3734" spans="1:21" ht="43.2" x14ac:dyDescent="0.55000000000000004">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16">
        <f t="shared" si="349"/>
        <v>32.75</v>
      </c>
      <c r="Q3734" t="str">
        <f t="shared" si="352"/>
        <v>theater</v>
      </c>
      <c r="R3734" t="str">
        <f t="shared" si="353"/>
        <v>plays</v>
      </c>
      <c r="S3734" s="4">
        <f t="shared" si="350"/>
        <v>41968.677465277782</v>
      </c>
      <c r="T3734" s="4">
        <f t="shared" si="351"/>
        <v>42028.5</v>
      </c>
      <c r="U3734" s="5">
        <f>VLOOKUP(currency,Tables!$A$1:$C$14,3,FALSE)*pledged</f>
        <v>154.57999999999998</v>
      </c>
    </row>
    <row r="3735" spans="1:21" ht="43.2" x14ac:dyDescent="0.55000000000000004">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348"/>
        <v>0</v>
      </c>
      <c r="P3735" s="16">
        <f t="shared" si="349"/>
        <v>0</v>
      </c>
      <c r="Q3735" t="str">
        <f t="shared" si="352"/>
        <v>theater</v>
      </c>
      <c r="R3735" t="str">
        <f t="shared" si="353"/>
        <v>plays</v>
      </c>
      <c r="S3735" s="4">
        <f t="shared" si="350"/>
        <v>42103.024398148147</v>
      </c>
      <c r="T3735" s="4">
        <f t="shared" si="351"/>
        <v>42112.9375</v>
      </c>
      <c r="U3735" s="5">
        <f>VLOOKUP(currency,Tables!$A$1:$C$14,3,FALSE)*pledged</f>
        <v>0</v>
      </c>
    </row>
    <row r="3736" spans="1:21" ht="43.2" x14ac:dyDescent="0.55000000000000004">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16">
        <f t="shared" si="349"/>
        <v>61</v>
      </c>
      <c r="Q3736" t="str">
        <f t="shared" si="352"/>
        <v>theater</v>
      </c>
      <c r="R3736" t="str">
        <f t="shared" si="353"/>
        <v>plays</v>
      </c>
      <c r="S3736" s="4">
        <f t="shared" si="350"/>
        <v>42089.901574074072</v>
      </c>
      <c r="T3736" s="4">
        <f t="shared" si="351"/>
        <v>42149.901574074072</v>
      </c>
      <c r="U3736" s="5">
        <f>VLOOKUP(currency,Tables!$A$1:$C$14,3,FALSE)*pledged</f>
        <v>427</v>
      </c>
    </row>
    <row r="3737" spans="1:21" ht="28.8" x14ac:dyDescent="0.55000000000000004">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16">
        <f t="shared" si="349"/>
        <v>10</v>
      </c>
      <c r="Q3737" t="str">
        <f t="shared" si="352"/>
        <v>theater</v>
      </c>
      <c r="R3737" t="str">
        <f t="shared" si="353"/>
        <v>plays</v>
      </c>
      <c r="S3737" s="4">
        <f t="shared" si="350"/>
        <v>42122.693159722221</v>
      </c>
      <c r="T3737" s="4">
        <f t="shared" si="351"/>
        <v>42152.693159722221</v>
      </c>
      <c r="U3737" s="5">
        <f>VLOOKUP(currency,Tables!$A$1:$C$14,3,FALSE)*pledged</f>
        <v>26.400000000000002</v>
      </c>
    </row>
    <row r="3738" spans="1:21" ht="43.2" x14ac:dyDescent="0.55000000000000004">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16">
        <f t="shared" si="349"/>
        <v>10</v>
      </c>
      <c r="Q3738" t="str">
        <f t="shared" si="352"/>
        <v>theater</v>
      </c>
      <c r="R3738" t="str">
        <f t="shared" si="353"/>
        <v>plays</v>
      </c>
      <c r="S3738" s="4">
        <f t="shared" si="350"/>
        <v>42048.711724537032</v>
      </c>
      <c r="T3738" s="4">
        <f t="shared" si="351"/>
        <v>42086.75</v>
      </c>
      <c r="U3738" s="5">
        <f>VLOOKUP(currency,Tables!$A$1:$C$14,3,FALSE)*pledged</f>
        <v>13.200000000000001</v>
      </c>
    </row>
    <row r="3739" spans="1:21" ht="28.8" x14ac:dyDescent="0.55000000000000004">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16">
        <f t="shared" si="349"/>
        <v>37.5</v>
      </c>
      <c r="Q3739" t="str">
        <f t="shared" si="352"/>
        <v>theater</v>
      </c>
      <c r="R3739" t="str">
        <f t="shared" si="353"/>
        <v>plays</v>
      </c>
      <c r="S3739" s="4">
        <f t="shared" si="350"/>
        <v>42297.691006944442</v>
      </c>
      <c r="T3739" s="4">
        <f t="shared" si="351"/>
        <v>42320.290972222225</v>
      </c>
      <c r="U3739" s="5">
        <f>VLOOKUP(currency,Tables!$A$1:$C$14,3,FALSE)*pledged</f>
        <v>150</v>
      </c>
    </row>
    <row r="3740" spans="1:21" ht="28.8" x14ac:dyDescent="0.55000000000000004">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348"/>
        <v>0.18</v>
      </c>
      <c r="P3740" s="16">
        <f t="shared" si="349"/>
        <v>45</v>
      </c>
      <c r="Q3740" t="str">
        <f t="shared" si="352"/>
        <v>theater</v>
      </c>
      <c r="R3740" t="str">
        <f t="shared" si="353"/>
        <v>plays</v>
      </c>
      <c r="S3740" s="4">
        <f t="shared" si="350"/>
        <v>41813.938715277778</v>
      </c>
      <c r="T3740" s="4">
        <f t="shared" si="351"/>
        <v>41835.916666666664</v>
      </c>
      <c r="U3740" s="5">
        <f>VLOOKUP(currency,Tables!$A$1:$C$14,3,FALSE)*pledged</f>
        <v>356.40000000000003</v>
      </c>
    </row>
    <row r="3741" spans="1:21" ht="43.2" x14ac:dyDescent="0.55000000000000004">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16">
        <f t="shared" si="349"/>
        <v>100.625</v>
      </c>
      <c r="Q3741" t="str">
        <f t="shared" si="352"/>
        <v>theater</v>
      </c>
      <c r="R3741" t="str">
        <f t="shared" si="353"/>
        <v>plays</v>
      </c>
      <c r="S3741" s="4">
        <f t="shared" si="350"/>
        <v>42548.449861111112</v>
      </c>
      <c r="T3741" s="4">
        <f t="shared" si="351"/>
        <v>42568.449861111112</v>
      </c>
      <c r="U3741" s="5">
        <f>VLOOKUP(currency,Tables!$A$1:$C$14,3,FALSE)*pledged</f>
        <v>1062.6000000000001</v>
      </c>
    </row>
    <row r="3742" spans="1:21" ht="43.2" x14ac:dyDescent="0.55000000000000004">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16">
        <f t="shared" si="349"/>
        <v>25.571428571428573</v>
      </c>
      <c r="Q3742" t="str">
        <f t="shared" si="352"/>
        <v>theater</v>
      </c>
      <c r="R3742" t="str">
        <f t="shared" si="353"/>
        <v>plays</v>
      </c>
      <c r="S3742" s="4">
        <f t="shared" si="350"/>
        <v>41833.089756944442</v>
      </c>
      <c r="T3742" s="4">
        <f t="shared" si="351"/>
        <v>41863.079143518517</v>
      </c>
      <c r="U3742" s="5">
        <f>VLOOKUP(currency,Tables!$A$1:$C$14,3,FALSE)*pledged</f>
        <v>358</v>
      </c>
    </row>
    <row r="3743" spans="1:21" ht="43.2" x14ac:dyDescent="0.55000000000000004">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348"/>
        <v>0</v>
      </c>
      <c r="P3743" s="16">
        <f t="shared" si="349"/>
        <v>0</v>
      </c>
      <c r="Q3743" t="str">
        <f t="shared" si="352"/>
        <v>theater</v>
      </c>
      <c r="R3743" t="str">
        <f t="shared" si="353"/>
        <v>plays</v>
      </c>
      <c r="S3743" s="4">
        <f t="shared" si="350"/>
        <v>42325.920717592591</v>
      </c>
      <c r="T3743" s="4">
        <f t="shared" si="351"/>
        <v>42355.920717592591</v>
      </c>
      <c r="U3743" s="5">
        <f>VLOOKUP(currency,Tables!$A$1:$C$14,3,FALSE)*pledged</f>
        <v>0</v>
      </c>
    </row>
    <row r="3744" spans="1:21" ht="43.2" x14ac:dyDescent="0.55000000000000004">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348"/>
        <v>0.02</v>
      </c>
      <c r="P3744" s="16">
        <f t="shared" si="349"/>
        <v>25</v>
      </c>
      <c r="Q3744" t="str">
        <f t="shared" si="352"/>
        <v>theater</v>
      </c>
      <c r="R3744" t="str">
        <f t="shared" si="353"/>
        <v>plays</v>
      </c>
      <c r="S3744" s="4">
        <f t="shared" si="350"/>
        <v>41858.214629629627</v>
      </c>
      <c r="T3744" s="4">
        <f t="shared" si="351"/>
        <v>41888.214629629627</v>
      </c>
      <c r="U3744" s="5">
        <f>VLOOKUP(currency,Tables!$A$1:$C$14,3,FALSE)*pledged</f>
        <v>100</v>
      </c>
    </row>
    <row r="3745" spans="1:21" ht="28.8" x14ac:dyDescent="0.55000000000000004">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348"/>
        <v>0</v>
      </c>
      <c r="P3745" s="16">
        <f t="shared" si="349"/>
        <v>0</v>
      </c>
      <c r="Q3745" t="str">
        <f t="shared" si="352"/>
        <v>theater</v>
      </c>
      <c r="R3745" t="str">
        <f t="shared" si="353"/>
        <v>plays</v>
      </c>
      <c r="S3745" s="4">
        <f t="shared" si="350"/>
        <v>41793.710231481484</v>
      </c>
      <c r="T3745" s="4">
        <f t="shared" si="351"/>
        <v>41823.710231481484</v>
      </c>
      <c r="U3745" s="5">
        <f>VLOOKUP(currency,Tables!$A$1:$C$14,3,FALSE)*pledged</f>
        <v>0</v>
      </c>
    </row>
    <row r="3746" spans="1:21" ht="43.2" x14ac:dyDescent="0.55000000000000004">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348"/>
        <v>0</v>
      </c>
      <c r="P3746" s="16">
        <f t="shared" si="349"/>
        <v>0</v>
      </c>
      <c r="Q3746" t="str">
        <f t="shared" si="352"/>
        <v>theater</v>
      </c>
      <c r="R3746" t="str">
        <f t="shared" si="353"/>
        <v>plays</v>
      </c>
      <c r="S3746" s="4">
        <f t="shared" si="350"/>
        <v>41793.814259259263</v>
      </c>
      <c r="T3746" s="4">
        <f t="shared" si="351"/>
        <v>41825.165972222225</v>
      </c>
      <c r="U3746" s="5">
        <f>VLOOKUP(currency,Tables!$A$1:$C$14,3,FALSE)*pledged</f>
        <v>0</v>
      </c>
    </row>
    <row r="3747" spans="1:21" ht="43.2" x14ac:dyDescent="0.55000000000000004">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348"/>
        <v>0.1</v>
      </c>
      <c r="P3747" s="16">
        <f t="shared" si="349"/>
        <v>10</v>
      </c>
      <c r="Q3747" t="str">
        <f t="shared" si="352"/>
        <v>theater</v>
      </c>
      <c r="R3747" t="str">
        <f t="shared" si="353"/>
        <v>plays</v>
      </c>
      <c r="S3747" s="4">
        <f t="shared" si="350"/>
        <v>41831.697939814818</v>
      </c>
      <c r="T3747" s="4">
        <f t="shared" si="351"/>
        <v>41861.697939814818</v>
      </c>
      <c r="U3747" s="5">
        <f>VLOOKUP(currency,Tables!$A$1:$C$14,3,FALSE)*pledged</f>
        <v>10</v>
      </c>
    </row>
    <row r="3748" spans="1:21" x14ac:dyDescent="0.55000000000000004">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16">
        <f t="shared" si="349"/>
        <v>202</v>
      </c>
      <c r="Q3748" t="str">
        <f t="shared" si="352"/>
        <v>theater</v>
      </c>
      <c r="R3748" t="str">
        <f t="shared" si="353"/>
        <v>plays</v>
      </c>
      <c r="S3748" s="4">
        <f t="shared" si="350"/>
        <v>42621.389340277776</v>
      </c>
      <c r="T3748" s="4">
        <f t="shared" si="351"/>
        <v>42651.389340277776</v>
      </c>
      <c r="U3748" s="5">
        <f>VLOOKUP(currency,Tables!$A$1:$C$14,3,FALSE)*pledged</f>
        <v>202</v>
      </c>
    </row>
    <row r="3749" spans="1:21" ht="28.8" x14ac:dyDescent="0.55000000000000004">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348"/>
        <v>0.01</v>
      </c>
      <c r="P3749" s="16">
        <f t="shared" si="349"/>
        <v>25</v>
      </c>
      <c r="Q3749" t="str">
        <f t="shared" si="352"/>
        <v>theater</v>
      </c>
      <c r="R3749" t="str">
        <f t="shared" si="353"/>
        <v>plays</v>
      </c>
      <c r="S3749" s="4">
        <f t="shared" si="350"/>
        <v>42164.299722222218</v>
      </c>
      <c r="T3749" s="4">
        <f t="shared" si="351"/>
        <v>42190.957638888889</v>
      </c>
      <c r="U3749" s="5">
        <f>VLOOKUP(currency,Tables!$A$1:$C$14,3,FALSE)*pledged</f>
        <v>33</v>
      </c>
    </row>
    <row r="3750" spans="1:21" ht="43.2" x14ac:dyDescent="0.55000000000000004">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16">
        <f t="shared" si="349"/>
        <v>99.538461538461533</v>
      </c>
      <c r="Q3750" t="str">
        <f t="shared" si="352"/>
        <v>theater</v>
      </c>
      <c r="R3750" t="str">
        <f t="shared" si="353"/>
        <v>musical</v>
      </c>
      <c r="S3750" s="4">
        <f t="shared" si="350"/>
        <v>42395.706435185188</v>
      </c>
      <c r="T3750" s="4">
        <f t="shared" si="351"/>
        <v>42416.249305555553</v>
      </c>
      <c r="U3750" s="5">
        <f>VLOOKUP(currency,Tables!$A$1:$C$14,3,FALSE)*pledged</f>
        <v>5176</v>
      </c>
    </row>
    <row r="3751" spans="1:21" ht="43.2" x14ac:dyDescent="0.55000000000000004">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348"/>
        <v>1.05</v>
      </c>
      <c r="P3751" s="16">
        <f t="shared" si="349"/>
        <v>75</v>
      </c>
      <c r="Q3751" t="str">
        <f t="shared" si="352"/>
        <v>theater</v>
      </c>
      <c r="R3751" t="str">
        <f t="shared" si="353"/>
        <v>musical</v>
      </c>
      <c r="S3751" s="4">
        <f t="shared" si="350"/>
        <v>42458.127175925925</v>
      </c>
      <c r="T3751" s="4">
        <f t="shared" si="351"/>
        <v>42489.165972222225</v>
      </c>
      <c r="U3751" s="5">
        <f>VLOOKUP(currency,Tables!$A$1:$C$14,3,FALSE)*pledged</f>
        <v>525</v>
      </c>
    </row>
    <row r="3752" spans="1:21" ht="86.4" x14ac:dyDescent="0.55000000000000004">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16">
        <f t="shared" si="349"/>
        <v>215.25</v>
      </c>
      <c r="Q3752" t="str">
        <f t="shared" si="352"/>
        <v>theater</v>
      </c>
      <c r="R3752" t="str">
        <f t="shared" si="353"/>
        <v>musical</v>
      </c>
      <c r="S3752" s="4">
        <f t="shared" si="350"/>
        <v>42016.981574074074</v>
      </c>
      <c r="T3752" s="4">
        <f t="shared" si="351"/>
        <v>42045.332638888889</v>
      </c>
      <c r="U3752" s="5">
        <f>VLOOKUP(currency,Tables!$A$1:$C$14,3,FALSE)*pledged</f>
        <v>6027</v>
      </c>
    </row>
    <row r="3753" spans="1:21" ht="43.2" x14ac:dyDescent="0.55000000000000004">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16">
        <f t="shared" si="349"/>
        <v>120.54545454545455</v>
      </c>
      <c r="Q3753" t="str">
        <f t="shared" si="352"/>
        <v>theater</v>
      </c>
      <c r="R3753" t="str">
        <f t="shared" si="353"/>
        <v>musical</v>
      </c>
      <c r="S3753" s="4">
        <f t="shared" si="350"/>
        <v>42403.035567129627</v>
      </c>
      <c r="T3753" s="4">
        <f t="shared" si="351"/>
        <v>42462.993900462956</v>
      </c>
      <c r="U3753" s="5">
        <f>VLOOKUP(currency,Tables!$A$1:$C$14,3,FALSE)*pledged</f>
        <v>1326</v>
      </c>
    </row>
    <row r="3754" spans="1:21" ht="57.6" x14ac:dyDescent="0.55000000000000004">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16">
        <f t="shared" si="349"/>
        <v>37.666666666666664</v>
      </c>
      <c r="Q3754" t="str">
        <f t="shared" si="352"/>
        <v>theater</v>
      </c>
      <c r="R3754" t="str">
        <f t="shared" si="353"/>
        <v>musical</v>
      </c>
      <c r="S3754" s="4">
        <f t="shared" si="350"/>
        <v>42619.802488425921</v>
      </c>
      <c r="T3754" s="4">
        <f t="shared" si="351"/>
        <v>42659.875</v>
      </c>
      <c r="U3754" s="5">
        <f>VLOOKUP(currency,Tables!$A$1:$C$14,3,FALSE)*pledged</f>
        <v>745.80000000000007</v>
      </c>
    </row>
    <row r="3755" spans="1:21" ht="43.2" x14ac:dyDescent="0.55000000000000004">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16">
        <f t="shared" si="349"/>
        <v>172.23333333333332</v>
      </c>
      <c r="Q3755" t="str">
        <f t="shared" si="352"/>
        <v>theater</v>
      </c>
      <c r="R3755" t="str">
        <f t="shared" si="353"/>
        <v>musical</v>
      </c>
      <c r="S3755" s="4">
        <f t="shared" si="350"/>
        <v>42128.824074074073</v>
      </c>
      <c r="T3755" s="4">
        <f t="shared" si="351"/>
        <v>42158</v>
      </c>
      <c r="U3755" s="5">
        <f>VLOOKUP(currency,Tables!$A$1:$C$14,3,FALSE)*pledged</f>
        <v>5167</v>
      </c>
    </row>
    <row r="3756" spans="1:21" ht="43.2" x14ac:dyDescent="0.55000000000000004">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348"/>
        <v>1.2</v>
      </c>
      <c r="P3756" s="16">
        <f t="shared" si="349"/>
        <v>111.11111111111111</v>
      </c>
      <c r="Q3756" t="str">
        <f t="shared" si="352"/>
        <v>theater</v>
      </c>
      <c r="R3756" t="str">
        <f t="shared" si="353"/>
        <v>musical</v>
      </c>
      <c r="S3756" s="4">
        <f t="shared" si="350"/>
        <v>41808.881215277775</v>
      </c>
      <c r="T3756" s="4">
        <f t="shared" si="351"/>
        <v>41846.207638888889</v>
      </c>
      <c r="U3756" s="5">
        <f>VLOOKUP(currency,Tables!$A$1:$C$14,3,FALSE)*pledged</f>
        <v>3000</v>
      </c>
    </row>
    <row r="3757" spans="1:21" ht="43.2" x14ac:dyDescent="0.55000000000000004">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16">
        <f t="shared" si="349"/>
        <v>25.464285714285715</v>
      </c>
      <c r="Q3757" t="str">
        <f t="shared" si="352"/>
        <v>theater</v>
      </c>
      <c r="R3757" t="str">
        <f t="shared" si="353"/>
        <v>musical</v>
      </c>
      <c r="S3757" s="4">
        <f t="shared" si="350"/>
        <v>42445.866979166662</v>
      </c>
      <c r="T3757" s="4">
        <f t="shared" si="351"/>
        <v>42475.866979166662</v>
      </c>
      <c r="U3757" s="5">
        <f>VLOOKUP(currency,Tables!$A$1:$C$14,3,FALSE)*pledged</f>
        <v>941.16000000000008</v>
      </c>
    </row>
    <row r="3758" spans="1:21" ht="43.2" x14ac:dyDescent="0.55000000000000004">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16">
        <f t="shared" si="349"/>
        <v>267.64705882352939</v>
      </c>
      <c r="Q3758" t="str">
        <f t="shared" si="352"/>
        <v>theater</v>
      </c>
      <c r="R3758" t="str">
        <f t="shared" si="353"/>
        <v>musical</v>
      </c>
      <c r="S3758" s="4">
        <f t="shared" si="350"/>
        <v>41771.814791666664</v>
      </c>
      <c r="T3758" s="4">
        <f t="shared" si="351"/>
        <v>41801.814791666664</v>
      </c>
      <c r="U3758" s="5">
        <f>VLOOKUP(currency,Tables!$A$1:$C$14,3,FALSE)*pledged</f>
        <v>4550</v>
      </c>
    </row>
    <row r="3759" spans="1:21" ht="43.2" x14ac:dyDescent="0.55000000000000004">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16">
        <f t="shared" si="349"/>
        <v>75.959999999999994</v>
      </c>
      <c r="Q3759" t="str">
        <f t="shared" si="352"/>
        <v>theater</v>
      </c>
      <c r="R3759" t="str">
        <f t="shared" si="353"/>
        <v>musical</v>
      </c>
      <c r="S3759" s="4">
        <f t="shared" si="350"/>
        <v>41954.850868055553</v>
      </c>
      <c r="T3759" s="4">
        <f t="shared" si="351"/>
        <v>41974.850868055553</v>
      </c>
      <c r="U3759" s="5">
        <f>VLOOKUP(currency,Tables!$A$1:$C$14,3,FALSE)*pledged</f>
        <v>3798</v>
      </c>
    </row>
    <row r="3760" spans="1:21" ht="28.8" x14ac:dyDescent="0.55000000000000004">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16">
        <f t="shared" si="349"/>
        <v>59.03846153846154</v>
      </c>
      <c r="Q3760" t="str">
        <f t="shared" si="352"/>
        <v>theater</v>
      </c>
      <c r="R3760" t="str">
        <f t="shared" si="353"/>
        <v>musical</v>
      </c>
      <c r="S3760" s="4">
        <f t="shared" si="350"/>
        <v>41747.471504629626</v>
      </c>
      <c r="T3760" s="4">
        <f t="shared" si="351"/>
        <v>41778.208333333336</v>
      </c>
      <c r="U3760" s="5">
        <f>VLOOKUP(currency,Tables!$A$1:$C$14,3,FALSE)*pledged</f>
        <v>1535</v>
      </c>
    </row>
    <row r="3761" spans="1:21" ht="28.8" x14ac:dyDescent="0.55000000000000004">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16">
        <f t="shared" si="349"/>
        <v>50.111022727272733</v>
      </c>
      <c r="Q3761" t="str">
        <f t="shared" si="352"/>
        <v>theater</v>
      </c>
      <c r="R3761" t="str">
        <f t="shared" si="353"/>
        <v>musical</v>
      </c>
      <c r="S3761" s="4">
        <f t="shared" si="350"/>
        <v>42182.108252314814</v>
      </c>
      <c r="T3761" s="4">
        <f t="shared" si="351"/>
        <v>42242.108252314814</v>
      </c>
      <c r="U3761" s="5">
        <f>VLOOKUP(currency,Tables!$A$1:$C$14,3,FALSE)*pledged</f>
        <v>4409.7700000000004</v>
      </c>
    </row>
    <row r="3762" spans="1:21" ht="43.2" x14ac:dyDescent="0.55000000000000004">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16">
        <f t="shared" si="349"/>
        <v>55.502967032967035</v>
      </c>
      <c r="Q3762" t="str">
        <f t="shared" si="352"/>
        <v>theater</v>
      </c>
      <c r="R3762" t="str">
        <f t="shared" si="353"/>
        <v>musical</v>
      </c>
      <c r="S3762" s="4">
        <f t="shared" si="350"/>
        <v>41739.525300925925</v>
      </c>
      <c r="T3762" s="4">
        <f t="shared" si="351"/>
        <v>41764.525300925925</v>
      </c>
      <c r="U3762" s="5">
        <f>VLOOKUP(currency,Tables!$A$1:$C$14,3,FALSE)*pledged</f>
        <v>5050.7700000000004</v>
      </c>
    </row>
    <row r="3763" spans="1:21" ht="43.2" x14ac:dyDescent="0.55000000000000004">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348"/>
        <v>1</v>
      </c>
      <c r="P3763" s="16">
        <f t="shared" si="349"/>
        <v>166.66666666666666</v>
      </c>
      <c r="Q3763" t="str">
        <f t="shared" si="352"/>
        <v>theater</v>
      </c>
      <c r="R3763" t="str">
        <f t="shared" si="353"/>
        <v>musical</v>
      </c>
      <c r="S3763" s="4">
        <f t="shared" si="350"/>
        <v>42173.466863425929</v>
      </c>
      <c r="T3763" s="4">
        <f t="shared" si="351"/>
        <v>42226.958333333328</v>
      </c>
      <c r="U3763" s="5">
        <f>VLOOKUP(currency,Tables!$A$1:$C$14,3,FALSE)*pledged</f>
        <v>660</v>
      </c>
    </row>
    <row r="3764" spans="1:21" ht="43.2" x14ac:dyDescent="0.55000000000000004">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16">
        <f t="shared" si="349"/>
        <v>47.428571428571431</v>
      </c>
      <c r="Q3764" t="str">
        <f t="shared" si="352"/>
        <v>theater</v>
      </c>
      <c r="R3764" t="str">
        <f t="shared" si="353"/>
        <v>musical</v>
      </c>
      <c r="S3764" s="4">
        <f t="shared" si="350"/>
        <v>42193.813530092593</v>
      </c>
      <c r="T3764" s="4">
        <f t="shared" si="351"/>
        <v>42218.813530092593</v>
      </c>
      <c r="U3764" s="5">
        <f>VLOOKUP(currency,Tables!$A$1:$C$14,3,FALSE)*pledged</f>
        <v>1752.96</v>
      </c>
    </row>
    <row r="3765" spans="1:21" ht="28.8" x14ac:dyDescent="0.55000000000000004">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348"/>
        <v>1</v>
      </c>
      <c r="P3765" s="16">
        <f t="shared" si="349"/>
        <v>64.935064935064929</v>
      </c>
      <c r="Q3765" t="str">
        <f t="shared" si="352"/>
        <v>theater</v>
      </c>
      <c r="R3765" t="str">
        <f t="shared" si="353"/>
        <v>musical</v>
      </c>
      <c r="S3765" s="4">
        <f t="shared" si="350"/>
        <v>42065.750300925924</v>
      </c>
      <c r="T3765" s="4">
        <f t="shared" si="351"/>
        <v>42095.708634259259</v>
      </c>
      <c r="U3765" s="5">
        <f>VLOOKUP(currency,Tables!$A$1:$C$14,3,FALSE)*pledged</f>
        <v>5000</v>
      </c>
    </row>
    <row r="3766" spans="1:21" ht="43.2" x14ac:dyDescent="0.55000000000000004">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348"/>
        <v>1</v>
      </c>
      <c r="P3766" s="16">
        <f t="shared" si="349"/>
        <v>55.555555555555557</v>
      </c>
      <c r="Q3766" t="str">
        <f t="shared" si="352"/>
        <v>theater</v>
      </c>
      <c r="R3766" t="str">
        <f t="shared" si="353"/>
        <v>musical</v>
      </c>
      <c r="S3766" s="4">
        <f t="shared" si="350"/>
        <v>42499.842962962968</v>
      </c>
      <c r="T3766" s="4">
        <f t="shared" si="351"/>
        <v>42519.024999999994</v>
      </c>
      <c r="U3766" s="5">
        <f>VLOOKUP(currency,Tables!$A$1:$C$14,3,FALSE)*pledged</f>
        <v>1500</v>
      </c>
    </row>
    <row r="3767" spans="1:21" ht="43.2" x14ac:dyDescent="0.55000000000000004">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16">
        <f t="shared" si="349"/>
        <v>74.224299065420567</v>
      </c>
      <c r="Q3767" t="str">
        <f t="shared" si="352"/>
        <v>theater</v>
      </c>
      <c r="R3767" t="str">
        <f t="shared" si="353"/>
        <v>musical</v>
      </c>
      <c r="S3767" s="4">
        <f t="shared" si="350"/>
        <v>41820.776412037041</v>
      </c>
      <c r="T3767" s="4">
        <f t="shared" si="351"/>
        <v>41850.776412037041</v>
      </c>
      <c r="U3767" s="5">
        <f>VLOOKUP(currency,Tables!$A$1:$C$14,3,FALSE)*pledged</f>
        <v>7942</v>
      </c>
    </row>
    <row r="3768" spans="1:21" ht="28.8" x14ac:dyDescent="0.55000000000000004">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16">
        <f t="shared" si="349"/>
        <v>106.9271875</v>
      </c>
      <c r="Q3768" t="str">
        <f t="shared" si="352"/>
        <v>theater</v>
      </c>
      <c r="R3768" t="str">
        <f t="shared" si="353"/>
        <v>musical</v>
      </c>
      <c r="S3768" s="4">
        <f t="shared" si="350"/>
        <v>41788.167187500003</v>
      </c>
      <c r="T3768" s="4">
        <f t="shared" si="351"/>
        <v>41823.167187500003</v>
      </c>
      <c r="U3768" s="5">
        <f>VLOOKUP(currency,Tables!$A$1:$C$14,3,FALSE)*pledged</f>
        <v>10265.01</v>
      </c>
    </row>
    <row r="3769" spans="1:21" ht="43.2" x14ac:dyDescent="0.55000000000000004">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16">
        <f t="shared" si="349"/>
        <v>41.696428571428569</v>
      </c>
      <c r="Q3769" t="str">
        <f t="shared" si="352"/>
        <v>theater</v>
      </c>
      <c r="R3769" t="str">
        <f t="shared" si="353"/>
        <v>musical</v>
      </c>
      <c r="S3769" s="4">
        <f t="shared" si="350"/>
        <v>42050.019641203704</v>
      </c>
      <c r="T3769" s="4">
        <f t="shared" si="351"/>
        <v>42064.207638888889</v>
      </c>
      <c r="U3769" s="5">
        <f>VLOOKUP(currency,Tables!$A$1:$C$14,3,FALSE)*pledged</f>
        <v>2335</v>
      </c>
    </row>
    <row r="3770" spans="1:21" ht="43.2" x14ac:dyDescent="0.55000000000000004">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16">
        <f t="shared" si="349"/>
        <v>74.243275862068955</v>
      </c>
      <c r="Q3770" t="str">
        <f t="shared" si="352"/>
        <v>theater</v>
      </c>
      <c r="R3770" t="str">
        <f t="shared" si="353"/>
        <v>musical</v>
      </c>
      <c r="S3770" s="4">
        <f t="shared" si="350"/>
        <v>41772.727893518517</v>
      </c>
      <c r="T3770" s="4">
        <f t="shared" si="351"/>
        <v>41802.727893518517</v>
      </c>
      <c r="U3770" s="5">
        <f>VLOOKUP(currency,Tables!$A$1:$C$14,3,FALSE)*pledged</f>
        <v>4306.1099999999997</v>
      </c>
    </row>
    <row r="3771" spans="1:21" ht="43.2" x14ac:dyDescent="0.55000000000000004">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348"/>
        <v>1</v>
      </c>
      <c r="P3771" s="16">
        <f t="shared" si="349"/>
        <v>73.333333333333329</v>
      </c>
      <c r="Q3771" t="str">
        <f t="shared" si="352"/>
        <v>theater</v>
      </c>
      <c r="R3771" t="str">
        <f t="shared" si="353"/>
        <v>musical</v>
      </c>
      <c r="S3771" s="4">
        <f t="shared" si="350"/>
        <v>42445.598136574074</v>
      </c>
      <c r="T3771" s="4">
        <f t="shared" si="351"/>
        <v>42475.598136574074</v>
      </c>
      <c r="U3771" s="5">
        <f>VLOOKUP(currency,Tables!$A$1:$C$14,3,FALSE)*pledged</f>
        <v>1100</v>
      </c>
    </row>
    <row r="3772" spans="1:21" ht="43.2" x14ac:dyDescent="0.55000000000000004">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348"/>
        <v>1</v>
      </c>
      <c r="P3772" s="16">
        <f t="shared" si="349"/>
        <v>100</v>
      </c>
      <c r="Q3772" t="str">
        <f t="shared" si="352"/>
        <v>theater</v>
      </c>
      <c r="R3772" t="str">
        <f t="shared" si="353"/>
        <v>musical</v>
      </c>
      <c r="S3772" s="4">
        <f t="shared" si="350"/>
        <v>42138.930671296301</v>
      </c>
      <c r="T3772" s="4">
        <f t="shared" si="351"/>
        <v>42168.930671296301</v>
      </c>
      <c r="U3772" s="5">
        <f>VLOOKUP(currency,Tables!$A$1:$C$14,3,FALSE)*pledged</f>
        <v>2640</v>
      </c>
    </row>
    <row r="3773" spans="1:21" ht="28.8" x14ac:dyDescent="0.55000000000000004">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348"/>
        <v>1.46</v>
      </c>
      <c r="P3773" s="16">
        <f t="shared" si="349"/>
        <v>38.421052631578945</v>
      </c>
      <c r="Q3773" t="str">
        <f t="shared" si="352"/>
        <v>theater</v>
      </c>
      <c r="R3773" t="str">
        <f t="shared" si="353"/>
        <v>musical</v>
      </c>
      <c r="S3773" s="4">
        <f t="shared" si="350"/>
        <v>42493.857083333336</v>
      </c>
      <c r="T3773" s="4">
        <f t="shared" si="351"/>
        <v>42508</v>
      </c>
      <c r="U3773" s="5">
        <f>VLOOKUP(currency,Tables!$A$1:$C$14,3,FALSE)*pledged</f>
        <v>1460</v>
      </c>
    </row>
    <row r="3774" spans="1:21" ht="43.2" x14ac:dyDescent="0.55000000000000004">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16">
        <f t="shared" si="349"/>
        <v>166.96969696969697</v>
      </c>
      <c r="Q3774" t="str">
        <f t="shared" si="352"/>
        <v>theater</v>
      </c>
      <c r="R3774" t="str">
        <f t="shared" si="353"/>
        <v>musical</v>
      </c>
      <c r="S3774" s="4">
        <f t="shared" si="350"/>
        <v>42682.616967592592</v>
      </c>
      <c r="T3774" s="4">
        <f t="shared" si="351"/>
        <v>42703.25</v>
      </c>
      <c r="U3774" s="5">
        <f>VLOOKUP(currency,Tables!$A$1:$C$14,3,FALSE)*pledged</f>
        <v>5510</v>
      </c>
    </row>
    <row r="3775" spans="1:21" ht="28.8" x14ac:dyDescent="0.55000000000000004">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16">
        <f t="shared" si="349"/>
        <v>94.912280701754383</v>
      </c>
      <c r="Q3775" t="str">
        <f t="shared" si="352"/>
        <v>theater</v>
      </c>
      <c r="R3775" t="str">
        <f t="shared" si="353"/>
        <v>musical</v>
      </c>
      <c r="S3775" s="4">
        <f t="shared" si="350"/>
        <v>42656.005173611105</v>
      </c>
      <c r="T3775" s="4">
        <f t="shared" si="351"/>
        <v>42689.088888888888</v>
      </c>
      <c r="U3775" s="5">
        <f>VLOOKUP(currency,Tables!$A$1:$C$14,3,FALSE)*pledged</f>
        <v>5410</v>
      </c>
    </row>
    <row r="3776" spans="1:21" ht="43.2" x14ac:dyDescent="0.55000000000000004">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348"/>
        <v>1</v>
      </c>
      <c r="P3776" s="16">
        <f t="shared" si="349"/>
        <v>100</v>
      </c>
      <c r="Q3776" t="str">
        <f t="shared" si="352"/>
        <v>theater</v>
      </c>
      <c r="R3776" t="str">
        <f t="shared" si="353"/>
        <v>musical</v>
      </c>
      <c r="S3776" s="4">
        <f t="shared" si="350"/>
        <v>42087.792303240742</v>
      </c>
      <c r="T3776" s="4">
        <f t="shared" si="351"/>
        <v>42103.792303240742</v>
      </c>
      <c r="U3776" s="5">
        <f>VLOOKUP(currency,Tables!$A$1:$C$14,3,FALSE)*pledged</f>
        <v>1900</v>
      </c>
    </row>
    <row r="3777" spans="1:21" ht="43.2" x14ac:dyDescent="0.55000000000000004">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16">
        <f t="shared" si="349"/>
        <v>143.21428571428572</v>
      </c>
      <c r="Q3777" t="str">
        <f t="shared" si="352"/>
        <v>theater</v>
      </c>
      <c r="R3777" t="str">
        <f t="shared" si="353"/>
        <v>musical</v>
      </c>
      <c r="S3777" s="4">
        <f t="shared" si="350"/>
        <v>42075.942627314813</v>
      </c>
      <c r="T3777" s="4">
        <f t="shared" si="351"/>
        <v>42103.166666666672</v>
      </c>
      <c r="U3777" s="5">
        <f>VLOOKUP(currency,Tables!$A$1:$C$14,3,FALSE)*pledged</f>
        <v>2005</v>
      </c>
    </row>
    <row r="3778" spans="1:21" ht="57.6" x14ac:dyDescent="0.55000000000000004">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ref="O3778:O3841" si="354">pledged/goal</f>
        <v>1.0671250000000001</v>
      </c>
      <c r="P3778" s="16">
        <f t="shared" ref="P3778:P3841" si="355">IF(pledged=0,0,pledged/backers_count)</f>
        <v>90.819148936170208</v>
      </c>
      <c r="Q3778" t="str">
        <f t="shared" si="352"/>
        <v>theater</v>
      </c>
      <c r="R3778" t="str">
        <f t="shared" si="353"/>
        <v>musical</v>
      </c>
      <c r="S3778" s="4">
        <f t="shared" ref="S3778:S3841" si="356">(((Unix_launched_date/60)/60)/24)+DATE(1970,1,1)</f>
        <v>41814.367800925924</v>
      </c>
      <c r="T3778" s="4">
        <f t="shared" ref="T3778:T3841" si="357">(((Unix_deadline/60)/60)/24)+DATE(1970,1,1)</f>
        <v>41852.041666666664</v>
      </c>
      <c r="U3778" s="5">
        <f>VLOOKUP(currency,Tables!$A$1:$C$14,3,FALSE)*pledged</f>
        <v>8537</v>
      </c>
    </row>
    <row r="3779" spans="1:21" ht="43.2" x14ac:dyDescent="0.55000000000000004">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si="354"/>
        <v>1.4319999999999999</v>
      </c>
      <c r="P3779" s="16">
        <f t="shared" si="355"/>
        <v>48.542372881355931</v>
      </c>
      <c r="Q3779" t="str">
        <f t="shared" ref="Q3779:Q3842" si="358">LEFT(N3779,FIND("/",N3779,1)-1)</f>
        <v>theater</v>
      </c>
      <c r="R3779" t="str">
        <f t="shared" ref="R3779:R3842" si="359">RIGHT(N3779,(LEN(N3779)-FIND("/",N3779,1)))</f>
        <v>musical</v>
      </c>
      <c r="S3779" s="4">
        <f t="shared" si="356"/>
        <v>41887.111354166671</v>
      </c>
      <c r="T3779" s="4">
        <f t="shared" si="357"/>
        <v>41909.166666666664</v>
      </c>
      <c r="U3779" s="5">
        <f>VLOOKUP(currency,Tables!$A$1:$C$14,3,FALSE)*pledged</f>
        <v>2864</v>
      </c>
    </row>
    <row r="3780" spans="1:21" ht="28.8" x14ac:dyDescent="0.55000000000000004">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16">
        <f t="shared" si="355"/>
        <v>70.027777777777771</v>
      </c>
      <c r="Q3780" t="str">
        <f t="shared" si="358"/>
        <v>theater</v>
      </c>
      <c r="R3780" t="str">
        <f t="shared" si="359"/>
        <v>musical</v>
      </c>
      <c r="S3780" s="4">
        <f t="shared" si="356"/>
        <v>41989.819212962961</v>
      </c>
      <c r="T3780" s="4">
        <f t="shared" si="357"/>
        <v>42049.819212962961</v>
      </c>
      <c r="U3780" s="5">
        <f>VLOOKUP(currency,Tables!$A$1:$C$14,3,FALSE)*pledged</f>
        <v>2521</v>
      </c>
    </row>
    <row r="3781" spans="1:21" ht="28.8" x14ac:dyDescent="0.55000000000000004">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16">
        <f t="shared" si="355"/>
        <v>135.62608695652173</v>
      </c>
      <c r="Q3781" t="str">
        <f t="shared" si="358"/>
        <v>theater</v>
      </c>
      <c r="R3781" t="str">
        <f t="shared" si="359"/>
        <v>musical</v>
      </c>
      <c r="S3781" s="4">
        <f t="shared" si="356"/>
        <v>42425.735416666663</v>
      </c>
      <c r="T3781" s="4">
        <f t="shared" si="357"/>
        <v>42455.693750000006</v>
      </c>
      <c r="U3781" s="5">
        <f>VLOOKUP(currency,Tables!$A$1:$C$14,3,FALSE)*pledged</f>
        <v>15597</v>
      </c>
    </row>
    <row r="3782" spans="1:21" ht="43.2" x14ac:dyDescent="0.55000000000000004">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354"/>
        <v>1.2</v>
      </c>
      <c r="P3782" s="16">
        <f t="shared" si="355"/>
        <v>100</v>
      </c>
      <c r="Q3782" t="str">
        <f t="shared" si="358"/>
        <v>theater</v>
      </c>
      <c r="R3782" t="str">
        <f t="shared" si="359"/>
        <v>musical</v>
      </c>
      <c r="S3782" s="4">
        <f t="shared" si="356"/>
        <v>42166.219733796301</v>
      </c>
      <c r="T3782" s="4">
        <f t="shared" si="357"/>
        <v>42198.837499999994</v>
      </c>
      <c r="U3782" s="5">
        <f>VLOOKUP(currency,Tables!$A$1:$C$14,3,FALSE)*pledged</f>
        <v>3000</v>
      </c>
    </row>
    <row r="3783" spans="1:21" ht="43.2" x14ac:dyDescent="0.55000000000000004">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16">
        <f t="shared" si="355"/>
        <v>94.90384615384616</v>
      </c>
      <c r="Q3783" t="str">
        <f t="shared" si="358"/>
        <v>theater</v>
      </c>
      <c r="R3783" t="str">
        <f t="shared" si="359"/>
        <v>musical</v>
      </c>
      <c r="S3783" s="4">
        <f t="shared" si="356"/>
        <v>41865.882928240739</v>
      </c>
      <c r="T3783" s="4">
        <f t="shared" si="357"/>
        <v>41890.882928240739</v>
      </c>
      <c r="U3783" s="5">
        <f>VLOOKUP(currency,Tables!$A$1:$C$14,3,FALSE)*pledged</f>
        <v>4935</v>
      </c>
    </row>
    <row r="3784" spans="1:21" ht="43.2" x14ac:dyDescent="0.55000000000000004">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16">
        <f t="shared" si="355"/>
        <v>75.370370370370367</v>
      </c>
      <c r="Q3784" t="str">
        <f t="shared" si="358"/>
        <v>theater</v>
      </c>
      <c r="R3784" t="str">
        <f t="shared" si="359"/>
        <v>musical</v>
      </c>
      <c r="S3784" s="4">
        <f t="shared" si="356"/>
        <v>42546.862233796302</v>
      </c>
      <c r="T3784" s="4">
        <f t="shared" si="357"/>
        <v>42575.958333333328</v>
      </c>
      <c r="U3784" s="5">
        <f>VLOOKUP(currency,Tables!$A$1:$C$14,3,FALSE)*pledged</f>
        <v>2686.2000000000003</v>
      </c>
    </row>
    <row r="3785" spans="1:21" ht="43.2" x14ac:dyDescent="0.55000000000000004">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16">
        <f t="shared" si="355"/>
        <v>64.458333333333329</v>
      </c>
      <c r="Q3785" t="str">
        <f t="shared" si="358"/>
        <v>theater</v>
      </c>
      <c r="R3785" t="str">
        <f t="shared" si="359"/>
        <v>musical</v>
      </c>
      <c r="S3785" s="4">
        <f t="shared" si="356"/>
        <v>42420.140277777777</v>
      </c>
      <c r="T3785" s="4">
        <f t="shared" si="357"/>
        <v>42444.666666666672</v>
      </c>
      <c r="U3785" s="5">
        <f>VLOOKUP(currency,Tables!$A$1:$C$14,3,FALSE)*pledged</f>
        <v>1547</v>
      </c>
    </row>
    <row r="3786" spans="1:21" ht="43.2" x14ac:dyDescent="0.55000000000000004">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16">
        <f t="shared" si="355"/>
        <v>115</v>
      </c>
      <c r="Q3786" t="str">
        <f t="shared" si="358"/>
        <v>theater</v>
      </c>
      <c r="R3786" t="str">
        <f t="shared" si="359"/>
        <v>musical</v>
      </c>
      <c r="S3786" s="4">
        <f t="shared" si="356"/>
        <v>42531.980694444443</v>
      </c>
      <c r="T3786" s="4">
        <f t="shared" si="357"/>
        <v>42561.980694444443</v>
      </c>
      <c r="U3786" s="5">
        <f>VLOOKUP(currency,Tables!$A$1:$C$14,3,FALSE)*pledged</f>
        <v>874</v>
      </c>
    </row>
    <row r="3787" spans="1:21" ht="43.2" x14ac:dyDescent="0.55000000000000004">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16">
        <f t="shared" si="355"/>
        <v>100.5</v>
      </c>
      <c r="Q3787" t="str">
        <f t="shared" si="358"/>
        <v>theater</v>
      </c>
      <c r="R3787" t="str">
        <f t="shared" si="359"/>
        <v>musical</v>
      </c>
      <c r="S3787" s="4">
        <f t="shared" si="356"/>
        <v>42548.63853009259</v>
      </c>
      <c r="T3787" s="4">
        <f t="shared" si="357"/>
        <v>42584.418749999997</v>
      </c>
      <c r="U3787" s="5">
        <f>VLOOKUP(currency,Tables!$A$1:$C$14,3,FALSE)*pledged</f>
        <v>3979.8</v>
      </c>
    </row>
    <row r="3788" spans="1:21" ht="43.2" x14ac:dyDescent="0.55000000000000004">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16">
        <f t="shared" si="355"/>
        <v>93.774647887323937</v>
      </c>
      <c r="Q3788" t="str">
        <f t="shared" si="358"/>
        <v>theater</v>
      </c>
      <c r="R3788" t="str">
        <f t="shared" si="359"/>
        <v>musical</v>
      </c>
      <c r="S3788" s="4">
        <f t="shared" si="356"/>
        <v>42487.037905092591</v>
      </c>
      <c r="T3788" s="4">
        <f t="shared" si="357"/>
        <v>42517.037905092591</v>
      </c>
      <c r="U3788" s="5">
        <f>VLOOKUP(currency,Tables!$A$1:$C$14,3,FALSE)*pledged</f>
        <v>6658</v>
      </c>
    </row>
    <row r="3789" spans="1:21" ht="43.2" x14ac:dyDescent="0.55000000000000004">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16">
        <f t="shared" si="355"/>
        <v>35.1</v>
      </c>
      <c r="Q3789" t="str">
        <f t="shared" si="358"/>
        <v>theater</v>
      </c>
      <c r="R3789" t="str">
        <f t="shared" si="359"/>
        <v>musical</v>
      </c>
      <c r="S3789" s="4">
        <f t="shared" si="356"/>
        <v>42167.534791666665</v>
      </c>
      <c r="T3789" s="4">
        <f t="shared" si="357"/>
        <v>42196.165972222225</v>
      </c>
      <c r="U3789" s="5">
        <f>VLOOKUP(currency,Tables!$A$1:$C$14,3,FALSE)*pledged</f>
        <v>351</v>
      </c>
    </row>
    <row r="3790" spans="1:21" ht="72" x14ac:dyDescent="0.55000000000000004">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16">
        <f t="shared" si="355"/>
        <v>500</v>
      </c>
      <c r="Q3790" t="str">
        <f t="shared" si="358"/>
        <v>theater</v>
      </c>
      <c r="R3790" t="str">
        <f t="shared" si="359"/>
        <v>musical</v>
      </c>
      <c r="S3790" s="4">
        <f t="shared" si="356"/>
        <v>42333.695821759262</v>
      </c>
      <c r="T3790" s="4">
        <f t="shared" si="357"/>
        <v>42361.679166666669</v>
      </c>
      <c r="U3790" s="5">
        <f>VLOOKUP(currency,Tables!$A$1:$C$14,3,FALSE)*pledged</f>
        <v>500</v>
      </c>
    </row>
    <row r="3791" spans="1:21" ht="43.2" x14ac:dyDescent="0.55000000000000004">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16">
        <f t="shared" si="355"/>
        <v>29</v>
      </c>
      <c r="Q3791" t="str">
        <f t="shared" si="358"/>
        <v>theater</v>
      </c>
      <c r="R3791" t="str">
        <f t="shared" si="359"/>
        <v>musical</v>
      </c>
      <c r="S3791" s="4">
        <f t="shared" si="356"/>
        <v>42138.798819444448</v>
      </c>
      <c r="T3791" s="4">
        <f t="shared" si="357"/>
        <v>42170.798819444448</v>
      </c>
      <c r="U3791" s="5">
        <f>VLOOKUP(currency,Tables!$A$1:$C$14,3,FALSE)*pledged</f>
        <v>153.12</v>
      </c>
    </row>
    <row r="3792" spans="1:21" ht="43.2" x14ac:dyDescent="0.55000000000000004">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354"/>
        <v>0</v>
      </c>
      <c r="P3792" s="16">
        <f t="shared" si="355"/>
        <v>0</v>
      </c>
      <c r="Q3792" t="str">
        <f t="shared" si="358"/>
        <v>theater</v>
      </c>
      <c r="R3792" t="str">
        <f t="shared" si="359"/>
        <v>musical</v>
      </c>
      <c r="S3792" s="4">
        <f t="shared" si="356"/>
        <v>42666.666932870372</v>
      </c>
      <c r="T3792" s="4">
        <f t="shared" si="357"/>
        <v>42696.708599537036</v>
      </c>
      <c r="U3792" s="5">
        <f>VLOOKUP(currency,Tables!$A$1:$C$14,3,FALSE)*pledged</f>
        <v>0</v>
      </c>
    </row>
    <row r="3793" spans="1:21" ht="28.8" x14ac:dyDescent="0.55000000000000004">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354"/>
        <v>0</v>
      </c>
      <c r="P3793" s="16">
        <f t="shared" si="355"/>
        <v>0</v>
      </c>
      <c r="Q3793" t="str">
        <f t="shared" si="358"/>
        <v>theater</v>
      </c>
      <c r="R3793" t="str">
        <f t="shared" si="359"/>
        <v>musical</v>
      </c>
      <c r="S3793" s="4">
        <f t="shared" si="356"/>
        <v>41766.692037037035</v>
      </c>
      <c r="T3793" s="4">
        <f t="shared" si="357"/>
        <v>41826.692037037035</v>
      </c>
      <c r="U3793" s="5">
        <f>VLOOKUP(currency,Tables!$A$1:$C$14,3,FALSE)*pledged</f>
        <v>0</v>
      </c>
    </row>
    <row r="3794" spans="1:21" ht="28.8" x14ac:dyDescent="0.55000000000000004">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354"/>
        <v>2.8E-3</v>
      </c>
      <c r="P3794" s="16">
        <f t="shared" si="355"/>
        <v>17.5</v>
      </c>
      <c r="Q3794" t="str">
        <f t="shared" si="358"/>
        <v>theater</v>
      </c>
      <c r="R3794" t="str">
        <f t="shared" si="359"/>
        <v>musical</v>
      </c>
      <c r="S3794" s="4">
        <f t="shared" si="356"/>
        <v>42170.447013888886</v>
      </c>
      <c r="T3794" s="4">
        <f t="shared" si="357"/>
        <v>42200.447013888886</v>
      </c>
      <c r="U3794" s="5">
        <f>VLOOKUP(currency,Tables!$A$1:$C$14,3,FALSE)*pledged</f>
        <v>35</v>
      </c>
    </row>
    <row r="3795" spans="1:21" ht="43.2" x14ac:dyDescent="0.55000000000000004">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16">
        <f t="shared" si="355"/>
        <v>174</v>
      </c>
      <c r="Q3795" t="str">
        <f t="shared" si="358"/>
        <v>theater</v>
      </c>
      <c r="R3795" t="str">
        <f t="shared" si="359"/>
        <v>musical</v>
      </c>
      <c r="S3795" s="4">
        <f t="shared" si="356"/>
        <v>41968.938993055555</v>
      </c>
      <c r="T3795" s="4">
        <f t="shared" si="357"/>
        <v>41989.938993055555</v>
      </c>
      <c r="U3795" s="5">
        <f>VLOOKUP(currency,Tables!$A$1:$C$14,3,FALSE)*pledged</f>
        <v>4176</v>
      </c>
    </row>
    <row r="3796" spans="1:21" ht="43.2" x14ac:dyDescent="0.55000000000000004">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354"/>
        <v>0.01</v>
      </c>
      <c r="P3796" s="16">
        <f t="shared" si="355"/>
        <v>50</v>
      </c>
      <c r="Q3796" t="str">
        <f t="shared" si="358"/>
        <v>theater</v>
      </c>
      <c r="R3796" t="str">
        <f t="shared" si="359"/>
        <v>musical</v>
      </c>
      <c r="S3796" s="4">
        <f t="shared" si="356"/>
        <v>42132.58048611111</v>
      </c>
      <c r="T3796" s="4">
        <f t="shared" si="357"/>
        <v>42162.58048611111</v>
      </c>
      <c r="U3796" s="5">
        <f>VLOOKUP(currency,Tables!$A$1:$C$14,3,FALSE)*pledged</f>
        <v>66</v>
      </c>
    </row>
    <row r="3797" spans="1:21" ht="43.2" x14ac:dyDescent="0.55000000000000004">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16">
        <f t="shared" si="355"/>
        <v>5</v>
      </c>
      <c r="Q3797" t="str">
        <f t="shared" si="358"/>
        <v>theater</v>
      </c>
      <c r="R3797" t="str">
        <f t="shared" si="359"/>
        <v>musical</v>
      </c>
      <c r="S3797" s="4">
        <f t="shared" si="356"/>
        <v>42201.436226851853</v>
      </c>
      <c r="T3797" s="4">
        <f t="shared" si="357"/>
        <v>42244.9375</v>
      </c>
      <c r="U3797" s="5">
        <f>VLOOKUP(currency,Tables!$A$1:$C$14,3,FALSE)*pledged</f>
        <v>13.200000000000001</v>
      </c>
    </row>
    <row r="3798" spans="1:21" ht="43.2" x14ac:dyDescent="0.55000000000000004">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16">
        <f t="shared" si="355"/>
        <v>1</v>
      </c>
      <c r="Q3798" t="str">
        <f t="shared" si="358"/>
        <v>theater</v>
      </c>
      <c r="R3798" t="str">
        <f t="shared" si="359"/>
        <v>musical</v>
      </c>
      <c r="S3798" s="4">
        <f t="shared" si="356"/>
        <v>42689.029583333337</v>
      </c>
      <c r="T3798" s="4">
        <f t="shared" si="357"/>
        <v>42749.029583333337</v>
      </c>
      <c r="U3798" s="5">
        <f>VLOOKUP(currency,Tables!$A$1:$C$14,3,FALSE)*pledged</f>
        <v>1</v>
      </c>
    </row>
    <row r="3799" spans="1:21" ht="43.2" x14ac:dyDescent="0.55000000000000004">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16">
        <f t="shared" si="355"/>
        <v>145.40540540540542</v>
      </c>
      <c r="Q3799" t="str">
        <f t="shared" si="358"/>
        <v>theater</v>
      </c>
      <c r="R3799" t="str">
        <f t="shared" si="359"/>
        <v>musical</v>
      </c>
      <c r="S3799" s="4">
        <f t="shared" si="356"/>
        <v>42084.881539351853</v>
      </c>
      <c r="T3799" s="4">
        <f t="shared" si="357"/>
        <v>42114.881539351853</v>
      </c>
      <c r="U3799" s="5">
        <f>VLOOKUP(currency,Tables!$A$1:$C$14,3,FALSE)*pledged</f>
        <v>5380</v>
      </c>
    </row>
    <row r="3800" spans="1:21" ht="43.2" x14ac:dyDescent="0.55000000000000004">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16">
        <f t="shared" si="355"/>
        <v>205</v>
      </c>
      <c r="Q3800" t="str">
        <f t="shared" si="358"/>
        <v>theater</v>
      </c>
      <c r="R3800" t="str">
        <f t="shared" si="359"/>
        <v>musical</v>
      </c>
      <c r="S3800" s="4">
        <f t="shared" si="356"/>
        <v>41831.722777777781</v>
      </c>
      <c r="T3800" s="4">
        <f t="shared" si="357"/>
        <v>41861.722777777781</v>
      </c>
      <c r="U3800" s="5">
        <f>VLOOKUP(currency,Tables!$A$1:$C$14,3,FALSE)*pledged</f>
        <v>1025</v>
      </c>
    </row>
    <row r="3801" spans="1:21" ht="28.8" x14ac:dyDescent="0.55000000000000004">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16">
        <f t="shared" si="355"/>
        <v>100.5</v>
      </c>
      <c r="Q3801" t="str">
        <f t="shared" si="358"/>
        <v>theater</v>
      </c>
      <c r="R3801" t="str">
        <f t="shared" si="359"/>
        <v>musical</v>
      </c>
      <c r="S3801" s="4">
        <f t="shared" si="356"/>
        <v>42410.93105324074</v>
      </c>
      <c r="T3801" s="4">
        <f t="shared" si="357"/>
        <v>42440.93105324074</v>
      </c>
      <c r="U3801" s="5">
        <f>VLOOKUP(currency,Tables!$A$1:$C$14,3,FALSE)*pledged</f>
        <v>402</v>
      </c>
    </row>
    <row r="3802" spans="1:21" ht="43.2" x14ac:dyDescent="0.55000000000000004">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16">
        <f t="shared" si="355"/>
        <v>55.0625</v>
      </c>
      <c r="Q3802" t="str">
        <f t="shared" si="358"/>
        <v>theater</v>
      </c>
      <c r="R3802" t="str">
        <f t="shared" si="359"/>
        <v>musical</v>
      </c>
      <c r="S3802" s="4">
        <f t="shared" si="356"/>
        <v>41982.737071759257</v>
      </c>
      <c r="T3802" s="4">
        <f t="shared" si="357"/>
        <v>42015.207638888889</v>
      </c>
      <c r="U3802" s="5">
        <f>VLOOKUP(currency,Tables!$A$1:$C$14,3,FALSE)*pledged</f>
        <v>881</v>
      </c>
    </row>
    <row r="3803" spans="1:21" ht="43.2" x14ac:dyDescent="0.55000000000000004">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16">
        <f t="shared" si="355"/>
        <v>47.333333333333336</v>
      </c>
      <c r="Q3803" t="str">
        <f t="shared" si="358"/>
        <v>theater</v>
      </c>
      <c r="R3803" t="str">
        <f t="shared" si="359"/>
        <v>musical</v>
      </c>
      <c r="S3803" s="4">
        <f t="shared" si="356"/>
        <v>41975.676111111112</v>
      </c>
      <c r="T3803" s="4">
        <f t="shared" si="357"/>
        <v>42006.676111111112</v>
      </c>
      <c r="U3803" s="5">
        <f>VLOOKUP(currency,Tables!$A$1:$C$14,3,FALSE)*pledged</f>
        <v>426</v>
      </c>
    </row>
    <row r="3804" spans="1:21" ht="43.2" x14ac:dyDescent="0.55000000000000004">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354"/>
        <v>0</v>
      </c>
      <c r="P3804" s="16">
        <f t="shared" si="355"/>
        <v>0</v>
      </c>
      <c r="Q3804" t="str">
        <f t="shared" si="358"/>
        <v>theater</v>
      </c>
      <c r="R3804" t="str">
        <f t="shared" si="359"/>
        <v>musical</v>
      </c>
      <c r="S3804" s="4">
        <f t="shared" si="356"/>
        <v>42269.126226851848</v>
      </c>
      <c r="T3804" s="4">
        <f t="shared" si="357"/>
        <v>42299.126226851848</v>
      </c>
      <c r="U3804" s="5">
        <f>VLOOKUP(currency,Tables!$A$1:$C$14,3,FALSE)*pledged</f>
        <v>0</v>
      </c>
    </row>
    <row r="3805" spans="1:21" ht="28.8" x14ac:dyDescent="0.55000000000000004">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16">
        <f t="shared" si="355"/>
        <v>58.95</v>
      </c>
      <c r="Q3805" t="str">
        <f t="shared" si="358"/>
        <v>theater</v>
      </c>
      <c r="R3805" t="str">
        <f t="shared" si="359"/>
        <v>musical</v>
      </c>
      <c r="S3805" s="4">
        <f t="shared" si="356"/>
        <v>42403.971851851849</v>
      </c>
      <c r="T3805" s="4">
        <f t="shared" si="357"/>
        <v>42433.971851851849</v>
      </c>
      <c r="U3805" s="5">
        <f>VLOOKUP(currency,Tables!$A$1:$C$14,3,FALSE)*pledged</f>
        <v>2358</v>
      </c>
    </row>
    <row r="3806" spans="1:21" ht="43.2" x14ac:dyDescent="0.55000000000000004">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354"/>
        <v>0</v>
      </c>
      <c r="P3806" s="16">
        <f t="shared" si="355"/>
        <v>0</v>
      </c>
      <c r="Q3806" t="str">
        <f t="shared" si="358"/>
        <v>theater</v>
      </c>
      <c r="R3806" t="str">
        <f t="shared" si="359"/>
        <v>musical</v>
      </c>
      <c r="S3806" s="4">
        <f t="shared" si="356"/>
        <v>42527.00953703704</v>
      </c>
      <c r="T3806" s="4">
        <f t="shared" si="357"/>
        <v>42582.291666666672</v>
      </c>
      <c r="U3806" s="5">
        <f>VLOOKUP(currency,Tables!$A$1:$C$14,3,FALSE)*pledged</f>
        <v>0</v>
      </c>
    </row>
    <row r="3807" spans="1:21" ht="43.2" x14ac:dyDescent="0.55000000000000004">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16">
        <f t="shared" si="355"/>
        <v>1.5</v>
      </c>
      <c r="Q3807" t="str">
        <f t="shared" si="358"/>
        <v>theater</v>
      </c>
      <c r="R3807" t="str">
        <f t="shared" si="359"/>
        <v>musical</v>
      </c>
      <c r="S3807" s="4">
        <f t="shared" si="356"/>
        <v>41849.887037037035</v>
      </c>
      <c r="T3807" s="4">
        <f t="shared" si="357"/>
        <v>41909.887037037035</v>
      </c>
      <c r="U3807" s="5">
        <f>VLOOKUP(currency,Tables!$A$1:$C$14,3,FALSE)*pledged</f>
        <v>3</v>
      </c>
    </row>
    <row r="3808" spans="1:21" ht="43.2" x14ac:dyDescent="0.55000000000000004">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16">
        <f t="shared" si="355"/>
        <v>5</v>
      </c>
      <c r="Q3808" t="str">
        <f t="shared" si="358"/>
        <v>theater</v>
      </c>
      <c r="R3808" t="str">
        <f t="shared" si="359"/>
        <v>musical</v>
      </c>
      <c r="S3808" s="4">
        <f t="shared" si="356"/>
        <v>41799.259039351848</v>
      </c>
      <c r="T3808" s="4">
        <f t="shared" si="357"/>
        <v>41819.259039351848</v>
      </c>
      <c r="U3808" s="5">
        <f>VLOOKUP(currency,Tables!$A$1:$C$14,3,FALSE)*pledged</f>
        <v>3.65</v>
      </c>
    </row>
    <row r="3809" spans="1:21" ht="43.2" x14ac:dyDescent="0.55000000000000004">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16">
        <f t="shared" si="355"/>
        <v>50.555555555555557</v>
      </c>
      <c r="Q3809" t="str">
        <f t="shared" si="358"/>
        <v>theater</v>
      </c>
      <c r="R3809" t="str">
        <f t="shared" si="359"/>
        <v>musical</v>
      </c>
      <c r="S3809" s="4">
        <f t="shared" si="356"/>
        <v>42090.909016203703</v>
      </c>
      <c r="T3809" s="4">
        <f t="shared" si="357"/>
        <v>42097.909016203703</v>
      </c>
      <c r="U3809" s="5">
        <f>VLOOKUP(currency,Tables!$A$1:$C$14,3,FALSE)*pledged</f>
        <v>455</v>
      </c>
    </row>
    <row r="3810" spans="1:21" ht="43.2" x14ac:dyDescent="0.55000000000000004">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354"/>
        <v>1</v>
      </c>
      <c r="P3810" s="16">
        <f t="shared" si="355"/>
        <v>41.666666666666664</v>
      </c>
      <c r="Q3810" t="str">
        <f t="shared" si="358"/>
        <v>theater</v>
      </c>
      <c r="R3810" t="str">
        <f t="shared" si="359"/>
        <v>plays</v>
      </c>
      <c r="S3810" s="4">
        <f t="shared" si="356"/>
        <v>42059.453923611116</v>
      </c>
      <c r="T3810" s="4">
        <f t="shared" si="357"/>
        <v>42119.412256944444</v>
      </c>
      <c r="U3810" s="5">
        <f>VLOOKUP(currency,Tables!$A$1:$C$14,3,FALSE)*pledged</f>
        <v>1320</v>
      </c>
    </row>
    <row r="3811" spans="1:21" ht="43.2" x14ac:dyDescent="0.55000000000000004">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16">
        <f t="shared" si="355"/>
        <v>53.289473684210527</v>
      </c>
      <c r="Q3811" t="str">
        <f t="shared" si="358"/>
        <v>theater</v>
      </c>
      <c r="R3811" t="str">
        <f t="shared" si="359"/>
        <v>plays</v>
      </c>
      <c r="S3811" s="4">
        <f t="shared" si="356"/>
        <v>41800.526701388888</v>
      </c>
      <c r="T3811" s="4">
        <f t="shared" si="357"/>
        <v>41850.958333333336</v>
      </c>
      <c r="U3811" s="5">
        <f>VLOOKUP(currency,Tables!$A$1:$C$14,3,FALSE)*pledged</f>
        <v>2673</v>
      </c>
    </row>
    <row r="3812" spans="1:21" ht="43.2" x14ac:dyDescent="0.55000000000000004">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16">
        <f t="shared" si="355"/>
        <v>70.230769230769226</v>
      </c>
      <c r="Q3812" t="str">
        <f t="shared" si="358"/>
        <v>theater</v>
      </c>
      <c r="R3812" t="str">
        <f t="shared" si="359"/>
        <v>plays</v>
      </c>
      <c r="S3812" s="4">
        <f t="shared" si="356"/>
        <v>42054.849050925928</v>
      </c>
      <c r="T3812" s="4">
        <f t="shared" si="357"/>
        <v>42084.807384259257</v>
      </c>
      <c r="U3812" s="5">
        <f>VLOOKUP(currency,Tables!$A$1:$C$14,3,FALSE)*pledged</f>
        <v>1826</v>
      </c>
    </row>
    <row r="3813" spans="1:21" ht="43.2" x14ac:dyDescent="0.55000000000000004">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354"/>
        <v>3.3</v>
      </c>
      <c r="P3813" s="16">
        <f t="shared" si="355"/>
        <v>43.421052631578945</v>
      </c>
      <c r="Q3813" t="str">
        <f t="shared" si="358"/>
        <v>theater</v>
      </c>
      <c r="R3813" t="str">
        <f t="shared" si="359"/>
        <v>plays</v>
      </c>
      <c r="S3813" s="4">
        <f t="shared" si="356"/>
        <v>42487.62700231481</v>
      </c>
      <c r="T3813" s="4">
        <f t="shared" si="357"/>
        <v>42521.458333333328</v>
      </c>
      <c r="U3813" s="5">
        <f>VLOOKUP(currency,Tables!$A$1:$C$14,3,FALSE)*pledged</f>
        <v>1089</v>
      </c>
    </row>
    <row r="3814" spans="1:21" ht="43.2" x14ac:dyDescent="0.55000000000000004">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16">
        <f t="shared" si="355"/>
        <v>199.18181818181819</v>
      </c>
      <c r="Q3814" t="str">
        <f t="shared" si="358"/>
        <v>theater</v>
      </c>
      <c r="R3814" t="str">
        <f t="shared" si="359"/>
        <v>plays</v>
      </c>
      <c r="S3814" s="4">
        <f t="shared" si="356"/>
        <v>42109.751250000001</v>
      </c>
      <c r="T3814" s="4">
        <f t="shared" si="357"/>
        <v>42156.165972222225</v>
      </c>
      <c r="U3814" s="5">
        <f>VLOOKUP(currency,Tables!$A$1:$C$14,3,FALSE)*pledged</f>
        <v>1665.16</v>
      </c>
    </row>
    <row r="3815" spans="1:21" ht="43.2" x14ac:dyDescent="0.55000000000000004">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16">
        <f t="shared" si="355"/>
        <v>78.518148148148143</v>
      </c>
      <c r="Q3815" t="str">
        <f t="shared" si="358"/>
        <v>theater</v>
      </c>
      <c r="R3815" t="str">
        <f t="shared" si="359"/>
        <v>plays</v>
      </c>
      <c r="S3815" s="4">
        <f t="shared" si="356"/>
        <v>42497.275706018518</v>
      </c>
      <c r="T3815" s="4">
        <f t="shared" si="357"/>
        <v>42535.904861111107</v>
      </c>
      <c r="U3815" s="5">
        <f>VLOOKUP(currency,Tables!$A$1:$C$14,3,FALSE)*pledged</f>
        <v>2119.9899999999998</v>
      </c>
    </row>
    <row r="3816" spans="1:21" ht="43.2" x14ac:dyDescent="0.55000000000000004">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16">
        <f t="shared" si="355"/>
        <v>61.823529411764703</v>
      </c>
      <c r="Q3816" t="str">
        <f t="shared" si="358"/>
        <v>theater</v>
      </c>
      <c r="R3816" t="str">
        <f t="shared" si="359"/>
        <v>plays</v>
      </c>
      <c r="S3816" s="4">
        <f t="shared" si="356"/>
        <v>42058.904074074075</v>
      </c>
      <c r="T3816" s="4">
        <f t="shared" si="357"/>
        <v>42095.165972222225</v>
      </c>
      <c r="U3816" s="5">
        <f>VLOOKUP(currency,Tables!$A$1:$C$14,3,FALSE)*pledged</f>
        <v>2102</v>
      </c>
    </row>
    <row r="3817" spans="1:21" ht="28.8" x14ac:dyDescent="0.55000000000000004">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16">
        <f t="shared" si="355"/>
        <v>50.000500000000002</v>
      </c>
      <c r="Q3817" t="str">
        <f t="shared" si="358"/>
        <v>theater</v>
      </c>
      <c r="R3817" t="str">
        <f t="shared" si="359"/>
        <v>plays</v>
      </c>
      <c r="S3817" s="4">
        <f t="shared" si="356"/>
        <v>42207.259918981479</v>
      </c>
      <c r="T3817" s="4">
        <f t="shared" si="357"/>
        <v>42236.958333333328</v>
      </c>
      <c r="U3817" s="5">
        <f>VLOOKUP(currency,Tables!$A$1:$C$14,3,FALSE)*pledged</f>
        <v>1320.0132000000001</v>
      </c>
    </row>
    <row r="3818" spans="1:21" ht="57.6" x14ac:dyDescent="0.55000000000000004">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16">
        <f t="shared" si="355"/>
        <v>48.339729729729726</v>
      </c>
      <c r="Q3818" t="str">
        <f t="shared" si="358"/>
        <v>theater</v>
      </c>
      <c r="R3818" t="str">
        <f t="shared" si="359"/>
        <v>plays</v>
      </c>
      <c r="S3818" s="4">
        <f t="shared" si="356"/>
        <v>41807.690081018518</v>
      </c>
      <c r="T3818" s="4">
        <f t="shared" si="357"/>
        <v>41837.690081018518</v>
      </c>
      <c r="U3818" s="5">
        <f>VLOOKUP(currency,Tables!$A$1:$C$14,3,FALSE)*pledged</f>
        <v>1788.57</v>
      </c>
    </row>
    <row r="3819" spans="1:21" ht="43.2" x14ac:dyDescent="0.55000000000000004">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16">
        <f t="shared" si="355"/>
        <v>107.25</v>
      </c>
      <c r="Q3819" t="str">
        <f t="shared" si="358"/>
        <v>theater</v>
      </c>
      <c r="R3819" t="str">
        <f t="shared" si="359"/>
        <v>plays</v>
      </c>
      <c r="S3819" s="4">
        <f t="shared" si="356"/>
        <v>42284.69694444444</v>
      </c>
      <c r="T3819" s="4">
        <f t="shared" si="357"/>
        <v>42301.165972222225</v>
      </c>
      <c r="U3819" s="5">
        <f>VLOOKUP(currency,Tables!$A$1:$C$14,3,FALSE)*pledged</f>
        <v>2145</v>
      </c>
    </row>
    <row r="3820" spans="1:21" ht="43.2" x14ac:dyDescent="0.55000000000000004">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16">
        <f t="shared" si="355"/>
        <v>57</v>
      </c>
      <c r="Q3820" t="str">
        <f t="shared" si="358"/>
        <v>theater</v>
      </c>
      <c r="R3820" t="str">
        <f t="shared" si="359"/>
        <v>plays</v>
      </c>
      <c r="S3820" s="4">
        <f t="shared" si="356"/>
        <v>42045.84238425926</v>
      </c>
      <c r="T3820" s="4">
        <f t="shared" si="357"/>
        <v>42075.800717592589</v>
      </c>
      <c r="U3820" s="5">
        <f>VLOOKUP(currency,Tables!$A$1:$C$14,3,FALSE)*pledged</f>
        <v>570</v>
      </c>
    </row>
    <row r="3821" spans="1:21" ht="43.2" x14ac:dyDescent="0.55000000000000004">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16">
        <f t="shared" si="355"/>
        <v>40.92307692307692</v>
      </c>
      <c r="Q3821" t="str">
        <f t="shared" si="358"/>
        <v>theater</v>
      </c>
      <c r="R3821" t="str">
        <f t="shared" si="359"/>
        <v>plays</v>
      </c>
      <c r="S3821" s="4">
        <f t="shared" si="356"/>
        <v>42184.209537037037</v>
      </c>
      <c r="T3821" s="4">
        <f t="shared" si="357"/>
        <v>42202.876388888893</v>
      </c>
      <c r="U3821" s="5">
        <f>VLOOKUP(currency,Tables!$A$1:$C$14,3,FALSE)*pledged</f>
        <v>1064</v>
      </c>
    </row>
    <row r="3822" spans="1:21" ht="43.2" x14ac:dyDescent="0.55000000000000004">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16">
        <f t="shared" si="355"/>
        <v>21.5</v>
      </c>
      <c r="Q3822" t="str">
        <f t="shared" si="358"/>
        <v>theater</v>
      </c>
      <c r="R3822" t="str">
        <f t="shared" si="359"/>
        <v>plays</v>
      </c>
      <c r="S3822" s="4">
        <f t="shared" si="356"/>
        <v>42160.651817129634</v>
      </c>
      <c r="T3822" s="4">
        <f t="shared" si="357"/>
        <v>42190.651817129634</v>
      </c>
      <c r="U3822" s="5">
        <f>VLOOKUP(currency,Tables!$A$1:$C$14,3,FALSE)*pledged</f>
        <v>567.6</v>
      </c>
    </row>
    <row r="3823" spans="1:21" ht="43.2" x14ac:dyDescent="0.55000000000000004">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16">
        <f t="shared" si="355"/>
        <v>79.543478260869563</v>
      </c>
      <c r="Q3823" t="str">
        <f t="shared" si="358"/>
        <v>theater</v>
      </c>
      <c r="R3823" t="str">
        <f t="shared" si="359"/>
        <v>plays</v>
      </c>
      <c r="S3823" s="4">
        <f t="shared" si="356"/>
        <v>42341.180636574078</v>
      </c>
      <c r="T3823" s="4">
        <f t="shared" si="357"/>
        <v>42373.180636574078</v>
      </c>
      <c r="U3823" s="5">
        <f>VLOOKUP(currency,Tables!$A$1:$C$14,3,FALSE)*pledged</f>
        <v>3659</v>
      </c>
    </row>
    <row r="3824" spans="1:21" ht="57.6" x14ac:dyDescent="0.55000000000000004">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16">
        <f t="shared" si="355"/>
        <v>72.381578947368425</v>
      </c>
      <c r="Q3824" t="str">
        <f t="shared" si="358"/>
        <v>theater</v>
      </c>
      <c r="R3824" t="str">
        <f t="shared" si="359"/>
        <v>plays</v>
      </c>
      <c r="S3824" s="4">
        <f t="shared" si="356"/>
        <v>42329.838159722218</v>
      </c>
      <c r="T3824" s="4">
        <f t="shared" si="357"/>
        <v>42388.957638888889</v>
      </c>
      <c r="U3824" s="5">
        <f>VLOOKUP(currency,Tables!$A$1:$C$14,3,FALSE)*pledged</f>
        <v>6491.1799999999994</v>
      </c>
    </row>
    <row r="3825" spans="1:21" ht="43.2" x14ac:dyDescent="0.55000000000000004">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354"/>
        <v>1.06</v>
      </c>
      <c r="P3825" s="16">
        <f t="shared" si="355"/>
        <v>64.634146341463421</v>
      </c>
      <c r="Q3825" t="str">
        <f t="shared" si="358"/>
        <v>theater</v>
      </c>
      <c r="R3825" t="str">
        <f t="shared" si="359"/>
        <v>plays</v>
      </c>
      <c r="S3825" s="4">
        <f t="shared" si="356"/>
        <v>42170.910231481481</v>
      </c>
      <c r="T3825" s="4">
        <f t="shared" si="357"/>
        <v>42205.165972222225</v>
      </c>
      <c r="U3825" s="5">
        <f>VLOOKUP(currency,Tables!$A$1:$C$14,3,FALSE)*pledged</f>
        <v>2650</v>
      </c>
    </row>
    <row r="3826" spans="1:21" ht="43.2" x14ac:dyDescent="0.55000000000000004">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354"/>
        <v>1.08</v>
      </c>
      <c r="P3826" s="16">
        <f t="shared" si="355"/>
        <v>38.571428571428569</v>
      </c>
      <c r="Q3826" t="str">
        <f t="shared" si="358"/>
        <v>theater</v>
      </c>
      <c r="R3826" t="str">
        <f t="shared" si="359"/>
        <v>plays</v>
      </c>
      <c r="S3826" s="4">
        <f t="shared" si="356"/>
        <v>42571.626192129625</v>
      </c>
      <c r="T3826" s="4">
        <f t="shared" si="357"/>
        <v>42583.570138888885</v>
      </c>
      <c r="U3826" s="5">
        <f>VLOOKUP(currency,Tables!$A$1:$C$14,3,FALSE)*pledged</f>
        <v>356.40000000000003</v>
      </c>
    </row>
    <row r="3827" spans="1:21" ht="43.2" x14ac:dyDescent="0.55000000000000004">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16">
        <f t="shared" si="355"/>
        <v>107.57142857142857</v>
      </c>
      <c r="Q3827" t="str">
        <f t="shared" si="358"/>
        <v>theater</v>
      </c>
      <c r="R3827" t="str">
        <f t="shared" si="359"/>
        <v>plays</v>
      </c>
      <c r="S3827" s="4">
        <f t="shared" si="356"/>
        <v>42151.069606481484</v>
      </c>
      <c r="T3827" s="4">
        <f t="shared" si="357"/>
        <v>42172.069606481484</v>
      </c>
      <c r="U3827" s="5">
        <f>VLOOKUP(currency,Tables!$A$1:$C$14,3,FALSE)*pledged</f>
        <v>5271</v>
      </c>
    </row>
    <row r="3828" spans="1:21" ht="28.8" x14ac:dyDescent="0.55000000000000004">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16">
        <f t="shared" si="355"/>
        <v>27.5</v>
      </c>
      <c r="Q3828" t="str">
        <f t="shared" si="358"/>
        <v>theater</v>
      </c>
      <c r="R3828" t="str">
        <f t="shared" si="359"/>
        <v>plays</v>
      </c>
      <c r="S3828" s="4">
        <f t="shared" si="356"/>
        <v>42101.423541666663</v>
      </c>
      <c r="T3828" s="4">
        <f t="shared" si="357"/>
        <v>42131.423541666663</v>
      </c>
      <c r="U3828" s="5">
        <f>VLOOKUP(currency,Tables!$A$1:$C$14,3,FALSE)*pledged</f>
        <v>943.80000000000007</v>
      </c>
    </row>
    <row r="3829" spans="1:21" ht="57.6" x14ac:dyDescent="0.55000000000000004">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16">
        <f t="shared" si="355"/>
        <v>70.461538461538467</v>
      </c>
      <c r="Q3829" t="str">
        <f t="shared" si="358"/>
        <v>theater</v>
      </c>
      <c r="R3829" t="str">
        <f t="shared" si="359"/>
        <v>plays</v>
      </c>
      <c r="S3829" s="4">
        <f t="shared" si="356"/>
        <v>42034.928252314814</v>
      </c>
      <c r="T3829" s="4">
        <f t="shared" si="357"/>
        <v>42090</v>
      </c>
      <c r="U3829" s="5">
        <f>VLOOKUP(currency,Tables!$A$1:$C$14,3,FALSE)*pledged</f>
        <v>6045.6</v>
      </c>
    </row>
    <row r="3830" spans="1:21" ht="43.2" x14ac:dyDescent="0.55000000000000004">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354"/>
        <v>1</v>
      </c>
      <c r="P3830" s="16">
        <f t="shared" si="355"/>
        <v>178.57142857142858</v>
      </c>
      <c r="Q3830" t="str">
        <f t="shared" si="358"/>
        <v>theater</v>
      </c>
      <c r="R3830" t="str">
        <f t="shared" si="359"/>
        <v>plays</v>
      </c>
      <c r="S3830" s="4">
        <f t="shared" si="356"/>
        <v>41944.527627314819</v>
      </c>
      <c r="T3830" s="4">
        <f t="shared" si="357"/>
        <v>42004.569293981483</v>
      </c>
      <c r="U3830" s="5">
        <f>VLOOKUP(currency,Tables!$A$1:$C$14,3,FALSE)*pledged</f>
        <v>5000</v>
      </c>
    </row>
    <row r="3831" spans="1:21" ht="43.2" x14ac:dyDescent="0.55000000000000004">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354"/>
        <v>1.002</v>
      </c>
      <c r="P3831" s="16">
        <f t="shared" si="355"/>
        <v>62.625</v>
      </c>
      <c r="Q3831" t="str">
        <f t="shared" si="358"/>
        <v>theater</v>
      </c>
      <c r="R3831" t="str">
        <f t="shared" si="359"/>
        <v>plays</v>
      </c>
      <c r="S3831" s="4">
        <f t="shared" si="356"/>
        <v>42593.865405092598</v>
      </c>
      <c r="T3831" s="4">
        <f t="shared" si="357"/>
        <v>42613.865405092598</v>
      </c>
      <c r="U3831" s="5">
        <f>VLOOKUP(currency,Tables!$A$1:$C$14,3,FALSE)*pledged</f>
        <v>501</v>
      </c>
    </row>
    <row r="3832" spans="1:21" ht="43.2" x14ac:dyDescent="0.55000000000000004">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354"/>
        <v>2.25</v>
      </c>
      <c r="P3832" s="16">
        <f t="shared" si="355"/>
        <v>75</v>
      </c>
      <c r="Q3832" t="str">
        <f t="shared" si="358"/>
        <v>theater</v>
      </c>
      <c r="R3832" t="str">
        <f t="shared" si="359"/>
        <v>plays</v>
      </c>
      <c r="S3832" s="4">
        <f t="shared" si="356"/>
        <v>42503.740868055553</v>
      </c>
      <c r="T3832" s="4">
        <f t="shared" si="357"/>
        <v>42517.740868055553</v>
      </c>
      <c r="U3832" s="5">
        <f>VLOOKUP(currency,Tables!$A$1:$C$14,3,FALSE)*pledged</f>
        <v>225</v>
      </c>
    </row>
    <row r="3833" spans="1:21" ht="43.2" x14ac:dyDescent="0.55000000000000004">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16">
        <f t="shared" si="355"/>
        <v>58.901111111111113</v>
      </c>
      <c r="Q3833" t="str">
        <f t="shared" si="358"/>
        <v>theater</v>
      </c>
      <c r="R3833" t="str">
        <f t="shared" si="359"/>
        <v>plays</v>
      </c>
      <c r="S3833" s="4">
        <f t="shared" si="356"/>
        <v>41927.848900462966</v>
      </c>
      <c r="T3833" s="4">
        <f t="shared" si="357"/>
        <v>41948.890567129631</v>
      </c>
      <c r="U3833" s="5">
        <f>VLOOKUP(currency,Tables!$A$1:$C$14,3,FALSE)*pledged</f>
        <v>530.11</v>
      </c>
    </row>
    <row r="3834" spans="1:21" ht="43.2" x14ac:dyDescent="0.55000000000000004">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16">
        <f t="shared" si="355"/>
        <v>139.55555555555554</v>
      </c>
      <c r="Q3834" t="str">
        <f t="shared" si="358"/>
        <v>theater</v>
      </c>
      <c r="R3834" t="str">
        <f t="shared" si="359"/>
        <v>plays</v>
      </c>
      <c r="S3834" s="4">
        <f t="shared" si="356"/>
        <v>42375.114988425921</v>
      </c>
      <c r="T3834" s="4">
        <f t="shared" si="357"/>
        <v>42420.114988425921</v>
      </c>
      <c r="U3834" s="5">
        <f>VLOOKUP(currency,Tables!$A$1:$C$14,3,FALSE)*pledged</f>
        <v>1256</v>
      </c>
    </row>
    <row r="3835" spans="1:21" ht="43.2" x14ac:dyDescent="0.55000000000000004">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16">
        <f t="shared" si="355"/>
        <v>70</v>
      </c>
      <c r="Q3835" t="str">
        <f t="shared" si="358"/>
        <v>theater</v>
      </c>
      <c r="R3835" t="str">
        <f t="shared" si="359"/>
        <v>plays</v>
      </c>
      <c r="S3835" s="4">
        <f t="shared" si="356"/>
        <v>41963.872361111105</v>
      </c>
      <c r="T3835" s="4">
        <f t="shared" si="357"/>
        <v>41974.797916666663</v>
      </c>
      <c r="U3835" s="5">
        <f>VLOOKUP(currency,Tables!$A$1:$C$14,3,FALSE)*pledged</f>
        <v>1064</v>
      </c>
    </row>
    <row r="3836" spans="1:21" ht="43.2" x14ac:dyDescent="0.55000000000000004">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16">
        <f t="shared" si="355"/>
        <v>57.385964912280699</v>
      </c>
      <c r="Q3836" t="str">
        <f t="shared" si="358"/>
        <v>theater</v>
      </c>
      <c r="R3836" t="str">
        <f t="shared" si="359"/>
        <v>plays</v>
      </c>
      <c r="S3836" s="4">
        <f t="shared" si="356"/>
        <v>42143.445219907408</v>
      </c>
      <c r="T3836" s="4">
        <f t="shared" si="357"/>
        <v>42173.445219907408</v>
      </c>
      <c r="U3836" s="5">
        <f>VLOOKUP(currency,Tables!$A$1:$C$14,3,FALSE)*pledged</f>
        <v>4317.72</v>
      </c>
    </row>
    <row r="3837" spans="1:21" ht="43.2" x14ac:dyDescent="0.55000000000000004">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354"/>
        <v>1.6</v>
      </c>
      <c r="P3837" s="16">
        <f t="shared" si="355"/>
        <v>40</v>
      </c>
      <c r="Q3837" t="str">
        <f t="shared" si="358"/>
        <v>theater</v>
      </c>
      <c r="R3837" t="str">
        <f t="shared" si="359"/>
        <v>plays</v>
      </c>
      <c r="S3837" s="4">
        <f t="shared" si="356"/>
        <v>42460.94222222222</v>
      </c>
      <c r="T3837" s="4">
        <f t="shared" si="357"/>
        <v>42481.94222222222</v>
      </c>
      <c r="U3837" s="5">
        <f>VLOOKUP(currency,Tables!$A$1:$C$14,3,FALSE)*pledged</f>
        <v>422.40000000000003</v>
      </c>
    </row>
    <row r="3838" spans="1:21" ht="43.2" x14ac:dyDescent="0.55000000000000004">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354"/>
        <v>1.125</v>
      </c>
      <c r="P3838" s="16">
        <f t="shared" si="355"/>
        <v>64.285714285714292</v>
      </c>
      <c r="Q3838" t="str">
        <f t="shared" si="358"/>
        <v>theater</v>
      </c>
      <c r="R3838" t="str">
        <f t="shared" si="359"/>
        <v>plays</v>
      </c>
      <c r="S3838" s="4">
        <f t="shared" si="356"/>
        <v>42553.926527777774</v>
      </c>
      <c r="T3838" s="4">
        <f t="shared" si="357"/>
        <v>42585.172916666663</v>
      </c>
      <c r="U3838" s="5">
        <f>VLOOKUP(currency,Tables!$A$1:$C$14,3,FALSE)*pledged</f>
        <v>900</v>
      </c>
    </row>
    <row r="3839" spans="1:21" ht="28.8" x14ac:dyDescent="0.55000000000000004">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16">
        <f t="shared" si="355"/>
        <v>120.11764705882354</v>
      </c>
      <c r="Q3839" t="str">
        <f t="shared" si="358"/>
        <v>theater</v>
      </c>
      <c r="R3839" t="str">
        <f t="shared" si="359"/>
        <v>plays</v>
      </c>
      <c r="S3839" s="4">
        <f t="shared" si="356"/>
        <v>42152.765717592592</v>
      </c>
      <c r="T3839" s="4">
        <f t="shared" si="357"/>
        <v>42188.765717592592</v>
      </c>
      <c r="U3839" s="5">
        <f>VLOOKUP(currency,Tables!$A$1:$C$14,3,FALSE)*pledged</f>
        <v>2695.44</v>
      </c>
    </row>
    <row r="3840" spans="1:21" ht="57.6" x14ac:dyDescent="0.55000000000000004">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16">
        <f t="shared" si="355"/>
        <v>1008.24</v>
      </c>
      <c r="Q3840" t="str">
        <f t="shared" si="358"/>
        <v>theater</v>
      </c>
      <c r="R3840" t="str">
        <f t="shared" si="359"/>
        <v>plays</v>
      </c>
      <c r="S3840" s="4">
        <f t="shared" si="356"/>
        <v>42116.710752314815</v>
      </c>
      <c r="T3840" s="4">
        <f t="shared" si="357"/>
        <v>42146.710752314815</v>
      </c>
      <c r="U3840" s="5">
        <f>VLOOKUP(currency,Tables!$A$1:$C$14,3,FALSE)*pledged</f>
        <v>11090.64</v>
      </c>
    </row>
    <row r="3841" spans="1:21" ht="43.2" x14ac:dyDescent="0.55000000000000004">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16">
        <f t="shared" si="355"/>
        <v>63.28125</v>
      </c>
      <c r="Q3841" t="str">
        <f t="shared" si="358"/>
        <v>theater</v>
      </c>
      <c r="R3841" t="str">
        <f t="shared" si="359"/>
        <v>plays</v>
      </c>
      <c r="S3841" s="4">
        <f t="shared" si="356"/>
        <v>42155.142638888887</v>
      </c>
      <c r="T3841" s="4">
        <f t="shared" si="357"/>
        <v>42215.142638888887</v>
      </c>
      <c r="U3841" s="5">
        <f>VLOOKUP(currency,Tables!$A$1:$C$14,3,FALSE)*pledged</f>
        <v>2025</v>
      </c>
    </row>
    <row r="3842" spans="1:21" ht="43.2" x14ac:dyDescent="0.55000000000000004">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ref="O3842:O3905" si="360">pledged/goal</f>
        <v>65</v>
      </c>
      <c r="P3842" s="16">
        <f t="shared" ref="P3842:P3905" si="361">IF(pledged=0,0,pledged/backers_count)</f>
        <v>21.666666666666668</v>
      </c>
      <c r="Q3842" t="str">
        <f t="shared" si="358"/>
        <v>theater</v>
      </c>
      <c r="R3842" t="str">
        <f t="shared" si="359"/>
        <v>plays</v>
      </c>
      <c r="S3842" s="4">
        <f t="shared" ref="S3842:S3905" si="362">(((Unix_launched_date/60)/60)/24)+DATE(1970,1,1)</f>
        <v>42432.701724537037</v>
      </c>
      <c r="T3842" s="4">
        <f t="shared" ref="T3842:T3905" si="363">(((Unix_deadline/60)/60)/24)+DATE(1970,1,1)</f>
        <v>42457.660057870366</v>
      </c>
      <c r="U3842" s="5">
        <f>VLOOKUP(currency,Tables!$A$1:$C$14,3,FALSE)*pledged</f>
        <v>85.8</v>
      </c>
    </row>
    <row r="3843" spans="1:21" ht="43.2" x14ac:dyDescent="0.55000000000000004">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si="360"/>
        <v>8.72E-2</v>
      </c>
      <c r="P3843" s="16">
        <f t="shared" si="361"/>
        <v>25.647058823529413</v>
      </c>
      <c r="Q3843" t="str">
        <f t="shared" ref="Q3843:Q3906" si="364">LEFT(N3843,FIND("/",N3843,1)-1)</f>
        <v>theater</v>
      </c>
      <c r="R3843" t="str">
        <f t="shared" ref="R3843:R3906" si="365">RIGHT(N3843,(LEN(N3843)-FIND("/",N3843,1)))</f>
        <v>plays</v>
      </c>
      <c r="S3843" s="4">
        <f t="shared" si="362"/>
        <v>41780.785729166666</v>
      </c>
      <c r="T3843" s="4">
        <f t="shared" si="363"/>
        <v>41840.785729166666</v>
      </c>
      <c r="U3843" s="5">
        <f>VLOOKUP(currency,Tables!$A$1:$C$14,3,FALSE)*pledged</f>
        <v>872</v>
      </c>
    </row>
    <row r="3844" spans="1:21" ht="43.2" x14ac:dyDescent="0.55000000000000004">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16">
        <f t="shared" si="361"/>
        <v>47.695652173913047</v>
      </c>
      <c r="Q3844" t="str">
        <f t="shared" si="364"/>
        <v>theater</v>
      </c>
      <c r="R3844" t="str">
        <f t="shared" si="365"/>
        <v>plays</v>
      </c>
      <c r="S3844" s="4">
        <f t="shared" si="362"/>
        <v>41740.493657407409</v>
      </c>
      <c r="T3844" s="4">
        <f t="shared" si="363"/>
        <v>41770.493657407409</v>
      </c>
      <c r="U3844" s="5">
        <f>VLOOKUP(currency,Tables!$A$1:$C$14,3,FALSE)*pledged</f>
        <v>1448.04</v>
      </c>
    </row>
    <row r="3845" spans="1:21" ht="43.2" x14ac:dyDescent="0.55000000000000004">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16">
        <f t="shared" si="361"/>
        <v>56.05263157894737</v>
      </c>
      <c r="Q3845" t="str">
        <f t="shared" si="364"/>
        <v>theater</v>
      </c>
      <c r="R3845" t="str">
        <f t="shared" si="365"/>
        <v>plays</v>
      </c>
      <c r="S3845" s="4">
        <f t="shared" si="362"/>
        <v>41766.072500000002</v>
      </c>
      <c r="T3845" s="4">
        <f t="shared" si="363"/>
        <v>41791.072500000002</v>
      </c>
      <c r="U3845" s="5">
        <f>VLOOKUP(currency,Tables!$A$1:$C$14,3,FALSE)*pledged</f>
        <v>1065</v>
      </c>
    </row>
    <row r="3846" spans="1:21" ht="43.2" x14ac:dyDescent="0.55000000000000004">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16">
        <f t="shared" si="361"/>
        <v>81.319999999999993</v>
      </c>
      <c r="Q3846" t="str">
        <f t="shared" si="364"/>
        <v>theater</v>
      </c>
      <c r="R3846" t="str">
        <f t="shared" si="365"/>
        <v>plays</v>
      </c>
      <c r="S3846" s="4">
        <f t="shared" si="362"/>
        <v>41766.617291666669</v>
      </c>
      <c r="T3846" s="4">
        <f t="shared" si="363"/>
        <v>41793.290972222225</v>
      </c>
      <c r="U3846" s="5">
        <f>VLOOKUP(currency,Tables!$A$1:$C$14,3,FALSE)*pledged</f>
        <v>4066</v>
      </c>
    </row>
    <row r="3847" spans="1:21" ht="57.6" x14ac:dyDescent="0.55000000000000004">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16">
        <f t="shared" si="361"/>
        <v>70.166666666666671</v>
      </c>
      <c r="Q3847" t="str">
        <f t="shared" si="364"/>
        <v>theater</v>
      </c>
      <c r="R3847" t="str">
        <f t="shared" si="365"/>
        <v>plays</v>
      </c>
      <c r="S3847" s="4">
        <f t="shared" si="362"/>
        <v>42248.627013888887</v>
      </c>
      <c r="T3847" s="4">
        <f t="shared" si="363"/>
        <v>42278.627013888887</v>
      </c>
      <c r="U3847" s="5">
        <f>VLOOKUP(currency,Tables!$A$1:$C$14,3,FALSE)*pledged</f>
        <v>842</v>
      </c>
    </row>
    <row r="3848" spans="1:21" ht="43.2" x14ac:dyDescent="0.55000000000000004">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360"/>
        <v>2.7E-2</v>
      </c>
      <c r="P3848" s="16">
        <f t="shared" si="361"/>
        <v>23.625</v>
      </c>
      <c r="Q3848" t="str">
        <f t="shared" si="364"/>
        <v>theater</v>
      </c>
      <c r="R3848" t="str">
        <f t="shared" si="365"/>
        <v>plays</v>
      </c>
      <c r="S3848" s="4">
        <f t="shared" si="362"/>
        <v>41885.221550925926</v>
      </c>
      <c r="T3848" s="4">
        <f t="shared" si="363"/>
        <v>41916.290972222225</v>
      </c>
      <c r="U3848" s="5">
        <f>VLOOKUP(currency,Tables!$A$1:$C$14,3,FALSE)*pledged</f>
        <v>189</v>
      </c>
    </row>
    <row r="3849" spans="1:21" ht="43.2" x14ac:dyDescent="0.55000000000000004">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16">
        <f t="shared" si="361"/>
        <v>188.55555555555554</v>
      </c>
      <c r="Q3849" t="str">
        <f t="shared" si="364"/>
        <v>theater</v>
      </c>
      <c r="R3849" t="str">
        <f t="shared" si="365"/>
        <v>plays</v>
      </c>
      <c r="S3849" s="4">
        <f t="shared" si="362"/>
        <v>42159.224432870367</v>
      </c>
      <c r="T3849" s="4">
        <f t="shared" si="363"/>
        <v>42204.224432870367</v>
      </c>
      <c r="U3849" s="5">
        <f>VLOOKUP(currency,Tables!$A$1:$C$14,3,FALSE)*pledged</f>
        <v>1697</v>
      </c>
    </row>
    <row r="3850" spans="1:21" ht="43.2" x14ac:dyDescent="0.55000000000000004">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16">
        <f t="shared" si="361"/>
        <v>49.511627906976742</v>
      </c>
      <c r="Q3850" t="str">
        <f t="shared" si="364"/>
        <v>theater</v>
      </c>
      <c r="R3850" t="str">
        <f t="shared" si="365"/>
        <v>plays</v>
      </c>
      <c r="S3850" s="4">
        <f t="shared" si="362"/>
        <v>42265.817002314812</v>
      </c>
      <c r="T3850" s="4">
        <f t="shared" si="363"/>
        <v>42295.817002314812</v>
      </c>
      <c r="U3850" s="5">
        <f>VLOOKUP(currency,Tables!$A$1:$C$14,3,FALSE)*pledged</f>
        <v>2129</v>
      </c>
    </row>
    <row r="3851" spans="1:21" ht="43.2" x14ac:dyDescent="0.55000000000000004">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16">
        <f t="shared" si="361"/>
        <v>75.464285714285708</v>
      </c>
      <c r="Q3851" t="str">
        <f t="shared" si="364"/>
        <v>theater</v>
      </c>
      <c r="R3851" t="str">
        <f t="shared" si="365"/>
        <v>plays</v>
      </c>
      <c r="S3851" s="4">
        <f t="shared" si="362"/>
        <v>42136.767175925925</v>
      </c>
      <c r="T3851" s="4">
        <f t="shared" si="363"/>
        <v>42166.767175925925</v>
      </c>
      <c r="U3851" s="5">
        <f>VLOOKUP(currency,Tables!$A$1:$C$14,3,FALSE)*pledged</f>
        <v>2493.3399999999997</v>
      </c>
    </row>
    <row r="3852" spans="1:21" ht="28.8" x14ac:dyDescent="0.55000000000000004">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16">
        <f t="shared" si="361"/>
        <v>9.5</v>
      </c>
      <c r="Q3852" t="str">
        <f t="shared" si="364"/>
        <v>theater</v>
      </c>
      <c r="R3852" t="str">
        <f t="shared" si="365"/>
        <v>plays</v>
      </c>
      <c r="S3852" s="4">
        <f t="shared" si="362"/>
        <v>41975.124340277776</v>
      </c>
      <c r="T3852" s="4">
        <f t="shared" si="363"/>
        <v>42005.124340277776</v>
      </c>
      <c r="U3852" s="5">
        <f>VLOOKUP(currency,Tables!$A$1:$C$14,3,FALSE)*pledged</f>
        <v>38</v>
      </c>
    </row>
    <row r="3853" spans="1:21" ht="43.2" x14ac:dyDescent="0.55000000000000004">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16">
        <f t="shared" si="361"/>
        <v>35.5</v>
      </c>
      <c r="Q3853" t="str">
        <f t="shared" si="364"/>
        <v>theater</v>
      </c>
      <c r="R3853" t="str">
        <f t="shared" si="365"/>
        <v>plays</v>
      </c>
      <c r="S3853" s="4">
        <f t="shared" si="362"/>
        <v>42172.439571759256</v>
      </c>
      <c r="T3853" s="4">
        <f t="shared" si="363"/>
        <v>42202.439571759256</v>
      </c>
      <c r="U3853" s="5">
        <f>VLOOKUP(currency,Tables!$A$1:$C$14,3,FALSE)*pledged</f>
        <v>1124.6400000000001</v>
      </c>
    </row>
    <row r="3854" spans="1:21" ht="43.2" x14ac:dyDescent="0.55000000000000004">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360"/>
        <v>2E-3</v>
      </c>
      <c r="P3854" s="16">
        <f t="shared" si="361"/>
        <v>10</v>
      </c>
      <c r="Q3854" t="str">
        <f t="shared" si="364"/>
        <v>theater</v>
      </c>
      <c r="R3854" t="str">
        <f t="shared" si="365"/>
        <v>plays</v>
      </c>
      <c r="S3854" s="4">
        <f t="shared" si="362"/>
        <v>42065.190694444449</v>
      </c>
      <c r="T3854" s="4">
        <f t="shared" si="363"/>
        <v>42090.149027777778</v>
      </c>
      <c r="U3854" s="5">
        <f>VLOOKUP(currency,Tables!$A$1:$C$14,3,FALSE)*pledged</f>
        <v>20</v>
      </c>
    </row>
    <row r="3855" spans="1:21" ht="28.8" x14ac:dyDescent="0.55000000000000004">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16">
        <f t="shared" si="361"/>
        <v>13</v>
      </c>
      <c r="Q3855" t="str">
        <f t="shared" si="364"/>
        <v>theater</v>
      </c>
      <c r="R3855" t="str">
        <f t="shared" si="365"/>
        <v>plays</v>
      </c>
      <c r="S3855" s="4">
        <f t="shared" si="362"/>
        <v>41848.84002314815</v>
      </c>
      <c r="T3855" s="4">
        <f t="shared" si="363"/>
        <v>41883.84002314815</v>
      </c>
      <c r="U3855" s="5">
        <f>VLOOKUP(currency,Tables!$A$1:$C$14,3,FALSE)*pledged</f>
        <v>26</v>
      </c>
    </row>
    <row r="3856" spans="1:21" ht="28.8" x14ac:dyDescent="0.55000000000000004">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16">
        <f t="shared" si="361"/>
        <v>89.4</v>
      </c>
      <c r="Q3856" t="str">
        <f t="shared" si="364"/>
        <v>theater</v>
      </c>
      <c r="R3856" t="str">
        <f t="shared" si="365"/>
        <v>plays</v>
      </c>
      <c r="S3856" s="4">
        <f t="shared" si="362"/>
        <v>42103.884930555556</v>
      </c>
      <c r="T3856" s="4">
        <f t="shared" si="363"/>
        <v>42133.884930555556</v>
      </c>
      <c r="U3856" s="5">
        <f>VLOOKUP(currency,Tables!$A$1:$C$14,3,FALSE)*pledged</f>
        <v>1788</v>
      </c>
    </row>
    <row r="3857" spans="1:21" ht="43.2" x14ac:dyDescent="0.55000000000000004">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16">
        <f t="shared" si="361"/>
        <v>25</v>
      </c>
      <c r="Q3857" t="str">
        <f t="shared" si="364"/>
        <v>theater</v>
      </c>
      <c r="R3857" t="str">
        <f t="shared" si="365"/>
        <v>plays</v>
      </c>
      <c r="S3857" s="4">
        <f t="shared" si="362"/>
        <v>42059.970729166671</v>
      </c>
      <c r="T3857" s="4">
        <f t="shared" si="363"/>
        <v>42089.929062499999</v>
      </c>
      <c r="U3857" s="5">
        <f>VLOOKUP(currency,Tables!$A$1:$C$14,3,FALSE)*pledged</f>
        <v>25</v>
      </c>
    </row>
    <row r="3858" spans="1:21" ht="43.2" x14ac:dyDescent="0.55000000000000004">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16">
        <f t="shared" si="361"/>
        <v>1</v>
      </c>
      <c r="Q3858" t="str">
        <f t="shared" si="364"/>
        <v>theater</v>
      </c>
      <c r="R3858" t="str">
        <f t="shared" si="365"/>
        <v>plays</v>
      </c>
      <c r="S3858" s="4">
        <f t="shared" si="362"/>
        <v>42041.743090277778</v>
      </c>
      <c r="T3858" s="4">
        <f t="shared" si="363"/>
        <v>42071.701423611114</v>
      </c>
      <c r="U3858" s="5">
        <f>VLOOKUP(currency,Tables!$A$1:$C$14,3,FALSE)*pledged</f>
        <v>1</v>
      </c>
    </row>
    <row r="3859" spans="1:21" ht="43.2" x14ac:dyDescent="0.55000000000000004">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16">
        <f t="shared" si="361"/>
        <v>65</v>
      </c>
      <c r="Q3859" t="str">
        <f t="shared" si="364"/>
        <v>theater</v>
      </c>
      <c r="R3859" t="str">
        <f t="shared" si="365"/>
        <v>plays</v>
      </c>
      <c r="S3859" s="4">
        <f t="shared" si="362"/>
        <v>41829.73715277778</v>
      </c>
      <c r="T3859" s="4">
        <f t="shared" si="363"/>
        <v>41852.716666666667</v>
      </c>
      <c r="U3859" s="5">
        <f>VLOOKUP(currency,Tables!$A$1:$C$14,3,FALSE)*pledged</f>
        <v>260</v>
      </c>
    </row>
    <row r="3860" spans="1:21" ht="43.2" x14ac:dyDescent="0.55000000000000004">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360"/>
        <v>0.02</v>
      </c>
      <c r="P3860" s="16">
        <f t="shared" si="361"/>
        <v>10</v>
      </c>
      <c r="Q3860" t="str">
        <f t="shared" si="364"/>
        <v>theater</v>
      </c>
      <c r="R3860" t="str">
        <f t="shared" si="365"/>
        <v>plays</v>
      </c>
      <c r="S3860" s="4">
        <f t="shared" si="362"/>
        <v>42128.431064814817</v>
      </c>
      <c r="T3860" s="4">
        <f t="shared" si="363"/>
        <v>42146.875</v>
      </c>
      <c r="U3860" s="5">
        <f>VLOOKUP(currency,Tables!$A$1:$C$14,3,FALSE)*pledged</f>
        <v>13.200000000000001</v>
      </c>
    </row>
    <row r="3861" spans="1:21" ht="43.2" x14ac:dyDescent="0.55000000000000004">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16">
        <f t="shared" si="361"/>
        <v>1</v>
      </c>
      <c r="Q3861" t="str">
        <f t="shared" si="364"/>
        <v>theater</v>
      </c>
      <c r="R3861" t="str">
        <f t="shared" si="365"/>
        <v>plays</v>
      </c>
      <c r="S3861" s="4">
        <f t="shared" si="362"/>
        <v>41789.893599537041</v>
      </c>
      <c r="T3861" s="4">
        <f t="shared" si="363"/>
        <v>41815.875</v>
      </c>
      <c r="U3861" s="5">
        <f>VLOOKUP(currency,Tables!$A$1:$C$14,3,FALSE)*pledged</f>
        <v>1</v>
      </c>
    </row>
    <row r="3862" spans="1:21" ht="43.2" x14ac:dyDescent="0.55000000000000004">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16">
        <f t="shared" si="361"/>
        <v>81.538461538461533</v>
      </c>
      <c r="Q3862" t="str">
        <f t="shared" si="364"/>
        <v>theater</v>
      </c>
      <c r="R3862" t="str">
        <f t="shared" si="365"/>
        <v>plays</v>
      </c>
      <c r="S3862" s="4">
        <f t="shared" si="362"/>
        <v>41833.660995370366</v>
      </c>
      <c r="T3862" s="4">
        <f t="shared" si="363"/>
        <v>41863.660995370366</v>
      </c>
      <c r="U3862" s="5">
        <f>VLOOKUP(currency,Tables!$A$1:$C$14,3,FALSE)*pledged</f>
        <v>1060</v>
      </c>
    </row>
    <row r="3863" spans="1:21" x14ac:dyDescent="0.55000000000000004">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360"/>
        <v>0.05</v>
      </c>
      <c r="P3863" s="16">
        <f t="shared" si="361"/>
        <v>100</v>
      </c>
      <c r="Q3863" t="str">
        <f t="shared" si="364"/>
        <v>theater</v>
      </c>
      <c r="R3863" t="str">
        <f t="shared" si="365"/>
        <v>plays</v>
      </c>
      <c r="S3863" s="4">
        <f t="shared" si="362"/>
        <v>41914.590011574073</v>
      </c>
      <c r="T3863" s="4">
        <f t="shared" si="363"/>
        <v>41955.907638888893</v>
      </c>
      <c r="U3863" s="5">
        <f>VLOOKUP(currency,Tables!$A$1:$C$14,3,FALSE)*pledged</f>
        <v>100</v>
      </c>
    </row>
    <row r="3864" spans="1:21" ht="28.8" x14ac:dyDescent="0.55000000000000004">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16">
        <f t="shared" si="361"/>
        <v>1</v>
      </c>
      <c r="Q3864" t="str">
        <f t="shared" si="364"/>
        <v>theater</v>
      </c>
      <c r="R3864" t="str">
        <f t="shared" si="365"/>
        <v>plays</v>
      </c>
      <c r="S3864" s="4">
        <f t="shared" si="362"/>
        <v>42611.261064814811</v>
      </c>
      <c r="T3864" s="4">
        <f t="shared" si="363"/>
        <v>42625.707638888889</v>
      </c>
      <c r="U3864" s="5">
        <f>VLOOKUP(currency,Tables!$A$1:$C$14,3,FALSE)*pledged</f>
        <v>1</v>
      </c>
    </row>
    <row r="3865" spans="1:21" ht="43.2" x14ac:dyDescent="0.55000000000000004">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360"/>
        <v>0</v>
      </c>
      <c r="P3865" s="16">
        <f t="shared" si="361"/>
        <v>0</v>
      </c>
      <c r="Q3865" t="str">
        <f t="shared" si="364"/>
        <v>theater</v>
      </c>
      <c r="R3865" t="str">
        <f t="shared" si="365"/>
        <v>plays</v>
      </c>
      <c r="S3865" s="4">
        <f t="shared" si="362"/>
        <v>42253.633159722223</v>
      </c>
      <c r="T3865" s="4">
        <f t="shared" si="363"/>
        <v>42313.674826388888</v>
      </c>
      <c r="U3865" s="5">
        <f>VLOOKUP(currency,Tables!$A$1:$C$14,3,FALSE)*pledged</f>
        <v>0</v>
      </c>
    </row>
    <row r="3866" spans="1:21" ht="43.2" x14ac:dyDescent="0.55000000000000004">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360"/>
        <v>1.2E-2</v>
      </c>
      <c r="P3866" s="16">
        <f t="shared" si="361"/>
        <v>20</v>
      </c>
      <c r="Q3866" t="str">
        <f t="shared" si="364"/>
        <v>theater</v>
      </c>
      <c r="R3866" t="str">
        <f t="shared" si="365"/>
        <v>plays</v>
      </c>
      <c r="S3866" s="4">
        <f t="shared" si="362"/>
        <v>42295.891828703709</v>
      </c>
      <c r="T3866" s="4">
        <f t="shared" si="363"/>
        <v>42325.933495370366</v>
      </c>
      <c r="U3866" s="5">
        <f>VLOOKUP(currency,Tables!$A$1:$C$14,3,FALSE)*pledged</f>
        <v>60</v>
      </c>
    </row>
    <row r="3867" spans="1:21" ht="43.2" x14ac:dyDescent="0.55000000000000004">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16">
        <f t="shared" si="361"/>
        <v>46.428571428571431</v>
      </c>
      <c r="Q3867" t="str">
        <f t="shared" si="364"/>
        <v>theater</v>
      </c>
      <c r="R3867" t="str">
        <f t="shared" si="365"/>
        <v>plays</v>
      </c>
      <c r="S3867" s="4">
        <f t="shared" si="362"/>
        <v>41841.651597222226</v>
      </c>
      <c r="T3867" s="4">
        <f t="shared" si="363"/>
        <v>41881.229166666664</v>
      </c>
      <c r="U3867" s="5">
        <f>VLOOKUP(currency,Tables!$A$1:$C$14,3,FALSE)*pledged</f>
        <v>494</v>
      </c>
    </row>
    <row r="3868" spans="1:21" ht="28.8" x14ac:dyDescent="0.55000000000000004">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16">
        <f t="shared" si="361"/>
        <v>5.5</v>
      </c>
      <c r="Q3868" t="str">
        <f t="shared" si="364"/>
        <v>theater</v>
      </c>
      <c r="R3868" t="str">
        <f t="shared" si="365"/>
        <v>plays</v>
      </c>
      <c r="S3868" s="4">
        <f t="shared" si="362"/>
        <v>42402.947002314817</v>
      </c>
      <c r="T3868" s="4">
        <f t="shared" si="363"/>
        <v>42452.145138888889</v>
      </c>
      <c r="U3868" s="5">
        <f>VLOOKUP(currency,Tables!$A$1:$C$14,3,FALSE)*pledged</f>
        <v>11</v>
      </c>
    </row>
    <row r="3869" spans="1:21" ht="43.2" x14ac:dyDescent="0.55000000000000004">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360"/>
        <v>0.1255</v>
      </c>
      <c r="P3869" s="16">
        <f t="shared" si="361"/>
        <v>50.2</v>
      </c>
      <c r="Q3869" t="str">
        <f t="shared" si="364"/>
        <v>theater</v>
      </c>
      <c r="R3869" t="str">
        <f t="shared" si="365"/>
        <v>plays</v>
      </c>
      <c r="S3869" s="4">
        <f t="shared" si="362"/>
        <v>42509.814108796301</v>
      </c>
      <c r="T3869" s="4">
        <f t="shared" si="363"/>
        <v>42539.814108796301</v>
      </c>
      <c r="U3869" s="5">
        <f>VLOOKUP(currency,Tables!$A$1:$C$14,3,FALSE)*pledged</f>
        <v>251</v>
      </c>
    </row>
    <row r="3870" spans="1:21" x14ac:dyDescent="0.55000000000000004">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360"/>
        <v>2E-3</v>
      </c>
      <c r="P3870" s="16">
        <f t="shared" si="361"/>
        <v>10</v>
      </c>
      <c r="Q3870" t="str">
        <f t="shared" si="364"/>
        <v>theater</v>
      </c>
      <c r="R3870" t="str">
        <f t="shared" si="365"/>
        <v>musical</v>
      </c>
      <c r="S3870" s="4">
        <f t="shared" si="362"/>
        <v>41865.659780092588</v>
      </c>
      <c r="T3870" s="4">
        <f t="shared" si="363"/>
        <v>41890.659780092588</v>
      </c>
      <c r="U3870" s="5">
        <f>VLOOKUP(currency,Tables!$A$1:$C$14,3,FALSE)*pledged</f>
        <v>13.200000000000001</v>
      </c>
    </row>
    <row r="3871" spans="1:21" ht="28.8" x14ac:dyDescent="0.55000000000000004">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16">
        <f t="shared" si="361"/>
        <v>30.133333333333333</v>
      </c>
      <c r="Q3871" t="str">
        <f t="shared" si="364"/>
        <v>theater</v>
      </c>
      <c r="R3871" t="str">
        <f t="shared" si="365"/>
        <v>musical</v>
      </c>
      <c r="S3871" s="4">
        <f t="shared" si="362"/>
        <v>42047.724444444444</v>
      </c>
      <c r="T3871" s="4">
        <f t="shared" si="363"/>
        <v>42077.132638888885</v>
      </c>
      <c r="U3871" s="5">
        <f>VLOOKUP(currency,Tables!$A$1:$C$14,3,FALSE)*pledged</f>
        <v>452</v>
      </c>
    </row>
    <row r="3872" spans="1:21" ht="43.2" x14ac:dyDescent="0.55000000000000004">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16">
        <f t="shared" si="361"/>
        <v>150</v>
      </c>
      <c r="Q3872" t="str">
        <f t="shared" si="364"/>
        <v>theater</v>
      </c>
      <c r="R3872" t="str">
        <f t="shared" si="365"/>
        <v>musical</v>
      </c>
      <c r="S3872" s="4">
        <f t="shared" si="362"/>
        <v>41793.17219907407</v>
      </c>
      <c r="T3872" s="4">
        <f t="shared" si="363"/>
        <v>41823.17219907407</v>
      </c>
      <c r="U3872" s="5">
        <f>VLOOKUP(currency,Tables!$A$1:$C$14,3,FALSE)*pledged</f>
        <v>1500</v>
      </c>
    </row>
    <row r="3873" spans="1:21" ht="28.8" x14ac:dyDescent="0.55000000000000004">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16">
        <f t="shared" si="361"/>
        <v>13.333333333333334</v>
      </c>
      <c r="Q3873" t="str">
        <f t="shared" si="364"/>
        <v>theater</v>
      </c>
      <c r="R3873" t="str">
        <f t="shared" si="365"/>
        <v>musical</v>
      </c>
      <c r="S3873" s="4">
        <f t="shared" si="362"/>
        <v>42763.780671296292</v>
      </c>
      <c r="T3873" s="4">
        <f t="shared" si="363"/>
        <v>42823.739004629635</v>
      </c>
      <c r="U3873" s="5">
        <f>VLOOKUP(currency,Tables!$A$1:$C$14,3,FALSE)*pledged</f>
        <v>40</v>
      </c>
    </row>
    <row r="3874" spans="1:21" ht="43.2" x14ac:dyDescent="0.55000000000000004">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360"/>
        <v>0</v>
      </c>
      <c r="P3874" s="16">
        <f t="shared" si="361"/>
        <v>0</v>
      </c>
      <c r="Q3874" t="str">
        <f t="shared" si="364"/>
        <v>theater</v>
      </c>
      <c r="R3874" t="str">
        <f t="shared" si="365"/>
        <v>musical</v>
      </c>
      <c r="S3874" s="4">
        <f t="shared" si="362"/>
        <v>42180.145787037036</v>
      </c>
      <c r="T3874" s="4">
        <f t="shared" si="363"/>
        <v>42230.145787037036</v>
      </c>
      <c r="U3874" s="5">
        <f>VLOOKUP(currency,Tables!$A$1:$C$14,3,FALSE)*pledged</f>
        <v>0</v>
      </c>
    </row>
    <row r="3875" spans="1:21" ht="43.2" x14ac:dyDescent="0.55000000000000004">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360"/>
        <v>0</v>
      </c>
      <c r="P3875" s="16">
        <f t="shared" si="361"/>
        <v>0</v>
      </c>
      <c r="Q3875" t="str">
        <f t="shared" si="364"/>
        <v>theater</v>
      </c>
      <c r="R3875" t="str">
        <f t="shared" si="365"/>
        <v>musical</v>
      </c>
      <c r="S3875" s="4">
        <f t="shared" si="362"/>
        <v>42255.696006944447</v>
      </c>
      <c r="T3875" s="4">
        <f t="shared" si="363"/>
        <v>42285.696006944447</v>
      </c>
      <c r="U3875" s="5">
        <f>VLOOKUP(currency,Tables!$A$1:$C$14,3,FALSE)*pledged</f>
        <v>0</v>
      </c>
    </row>
    <row r="3876" spans="1:21" ht="43.2" x14ac:dyDescent="0.55000000000000004">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360"/>
        <v>0</v>
      </c>
      <c r="P3876" s="16">
        <f t="shared" si="361"/>
        <v>0</v>
      </c>
      <c r="Q3876" t="str">
        <f t="shared" si="364"/>
        <v>theater</v>
      </c>
      <c r="R3876" t="str">
        <f t="shared" si="365"/>
        <v>musical</v>
      </c>
      <c r="S3876" s="4">
        <f t="shared" si="362"/>
        <v>42007.016458333332</v>
      </c>
      <c r="T3876" s="4">
        <f t="shared" si="363"/>
        <v>42028.041666666672</v>
      </c>
      <c r="U3876" s="5">
        <f>VLOOKUP(currency,Tables!$A$1:$C$14,3,FALSE)*pledged</f>
        <v>0</v>
      </c>
    </row>
    <row r="3877" spans="1:21" ht="43.2" x14ac:dyDescent="0.55000000000000004">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360"/>
        <v>0</v>
      </c>
      <c r="P3877" s="16">
        <f t="shared" si="361"/>
        <v>0</v>
      </c>
      <c r="Q3877" t="str">
        <f t="shared" si="364"/>
        <v>theater</v>
      </c>
      <c r="R3877" t="str">
        <f t="shared" si="365"/>
        <v>musical</v>
      </c>
      <c r="S3877" s="4">
        <f t="shared" si="362"/>
        <v>42615.346817129626</v>
      </c>
      <c r="T3877" s="4">
        <f t="shared" si="363"/>
        <v>42616.416666666672</v>
      </c>
      <c r="U3877" s="5">
        <f>VLOOKUP(currency,Tables!$A$1:$C$14,3,FALSE)*pledged</f>
        <v>0</v>
      </c>
    </row>
    <row r="3878" spans="1:21" ht="43.2" x14ac:dyDescent="0.55000000000000004">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16">
        <f t="shared" si="361"/>
        <v>44.760869565217391</v>
      </c>
      <c r="Q3878" t="str">
        <f t="shared" si="364"/>
        <v>theater</v>
      </c>
      <c r="R3878" t="str">
        <f t="shared" si="365"/>
        <v>musical</v>
      </c>
      <c r="S3878" s="4">
        <f t="shared" si="362"/>
        <v>42372.624166666668</v>
      </c>
      <c r="T3878" s="4">
        <f t="shared" si="363"/>
        <v>42402.624166666668</v>
      </c>
      <c r="U3878" s="5">
        <f>VLOOKUP(currency,Tables!$A$1:$C$14,3,FALSE)*pledged</f>
        <v>2717.88</v>
      </c>
    </row>
    <row r="3879" spans="1:21" ht="43.2" x14ac:dyDescent="0.55000000000000004">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16">
        <f t="shared" si="361"/>
        <v>88.642857142857139</v>
      </c>
      <c r="Q3879" t="str">
        <f t="shared" si="364"/>
        <v>theater</v>
      </c>
      <c r="R3879" t="str">
        <f t="shared" si="365"/>
        <v>musical</v>
      </c>
      <c r="S3879" s="4">
        <f t="shared" si="362"/>
        <v>42682.67768518519</v>
      </c>
      <c r="T3879" s="4">
        <f t="shared" si="363"/>
        <v>42712.67768518519</v>
      </c>
      <c r="U3879" s="5">
        <f>VLOOKUP(currency,Tables!$A$1:$C$14,3,FALSE)*pledged</f>
        <v>1241</v>
      </c>
    </row>
    <row r="3880" spans="1:21" ht="43.2" x14ac:dyDescent="0.55000000000000004">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16">
        <f t="shared" si="361"/>
        <v>10</v>
      </c>
      <c r="Q3880" t="str">
        <f t="shared" si="364"/>
        <v>theater</v>
      </c>
      <c r="R3880" t="str">
        <f t="shared" si="365"/>
        <v>musical</v>
      </c>
      <c r="S3880" s="4">
        <f t="shared" si="362"/>
        <v>42154.818819444445</v>
      </c>
      <c r="T3880" s="4">
        <f t="shared" si="363"/>
        <v>42185.165972222225</v>
      </c>
      <c r="U3880" s="5">
        <f>VLOOKUP(currency,Tables!$A$1:$C$14,3,FALSE)*pledged</f>
        <v>10</v>
      </c>
    </row>
    <row r="3881" spans="1:21" ht="43.2" x14ac:dyDescent="0.55000000000000004">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360"/>
        <v>0</v>
      </c>
      <c r="P3881" s="16">
        <f t="shared" si="361"/>
        <v>0</v>
      </c>
      <c r="Q3881" t="str">
        <f t="shared" si="364"/>
        <v>theater</v>
      </c>
      <c r="R3881" t="str">
        <f t="shared" si="365"/>
        <v>musical</v>
      </c>
      <c r="S3881" s="4">
        <f t="shared" si="362"/>
        <v>41999.861064814817</v>
      </c>
      <c r="T3881" s="4">
        <f t="shared" si="363"/>
        <v>42029.861064814817</v>
      </c>
      <c r="U3881" s="5">
        <f>VLOOKUP(currency,Tables!$A$1:$C$14,3,FALSE)*pledged</f>
        <v>0</v>
      </c>
    </row>
    <row r="3882" spans="1:21" ht="43.2" x14ac:dyDescent="0.55000000000000004">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16">
        <f t="shared" si="361"/>
        <v>57.647058823529413</v>
      </c>
      <c r="Q3882" t="str">
        <f t="shared" si="364"/>
        <v>theater</v>
      </c>
      <c r="R3882" t="str">
        <f t="shared" si="365"/>
        <v>musical</v>
      </c>
      <c r="S3882" s="4">
        <f t="shared" si="362"/>
        <v>41815.815046296295</v>
      </c>
      <c r="T3882" s="4">
        <f t="shared" si="363"/>
        <v>41850.958333333336</v>
      </c>
      <c r="U3882" s="5">
        <f>VLOOKUP(currency,Tables!$A$1:$C$14,3,FALSE)*pledged</f>
        <v>1293.6000000000001</v>
      </c>
    </row>
    <row r="3883" spans="1:21" ht="28.8" x14ac:dyDescent="0.55000000000000004">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360"/>
        <v>0.05</v>
      </c>
      <c r="P3883" s="16">
        <f t="shared" si="361"/>
        <v>25</v>
      </c>
      <c r="Q3883" t="str">
        <f t="shared" si="364"/>
        <v>theater</v>
      </c>
      <c r="R3883" t="str">
        <f t="shared" si="365"/>
        <v>musical</v>
      </c>
      <c r="S3883" s="4">
        <f t="shared" si="362"/>
        <v>42756.018506944441</v>
      </c>
      <c r="T3883" s="4">
        <f t="shared" si="363"/>
        <v>42786.018506944441</v>
      </c>
      <c r="U3883" s="5">
        <f>VLOOKUP(currency,Tables!$A$1:$C$14,3,FALSE)*pledged</f>
        <v>25</v>
      </c>
    </row>
    <row r="3884" spans="1:21" ht="43.2" x14ac:dyDescent="0.55000000000000004">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360"/>
        <v>0</v>
      </c>
      <c r="P3884" s="16">
        <f t="shared" si="361"/>
        <v>0</v>
      </c>
      <c r="Q3884" t="str">
        <f t="shared" si="364"/>
        <v>theater</v>
      </c>
      <c r="R3884" t="str">
        <f t="shared" si="365"/>
        <v>musical</v>
      </c>
      <c r="S3884" s="4">
        <f t="shared" si="362"/>
        <v>42373.983449074076</v>
      </c>
      <c r="T3884" s="4">
        <f t="shared" si="363"/>
        <v>42400.960416666669</v>
      </c>
      <c r="U3884" s="5">
        <f>VLOOKUP(currency,Tables!$A$1:$C$14,3,FALSE)*pledged</f>
        <v>0</v>
      </c>
    </row>
    <row r="3885" spans="1:21" ht="57.6" x14ac:dyDescent="0.55000000000000004">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360"/>
        <v>0</v>
      </c>
      <c r="P3885" s="16">
        <f t="shared" si="361"/>
        <v>0</v>
      </c>
      <c r="Q3885" t="str">
        <f t="shared" si="364"/>
        <v>theater</v>
      </c>
      <c r="R3885" t="str">
        <f t="shared" si="365"/>
        <v>musical</v>
      </c>
      <c r="S3885" s="4">
        <f t="shared" si="362"/>
        <v>41854.602650462963</v>
      </c>
      <c r="T3885" s="4">
        <f t="shared" si="363"/>
        <v>41884.602650462963</v>
      </c>
      <c r="U3885" s="5">
        <f>VLOOKUP(currency,Tables!$A$1:$C$14,3,FALSE)*pledged</f>
        <v>0</v>
      </c>
    </row>
    <row r="3886" spans="1:21" ht="43.2" x14ac:dyDescent="0.55000000000000004">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360"/>
        <v>0</v>
      </c>
      <c r="P3886" s="16">
        <f t="shared" si="361"/>
        <v>0</v>
      </c>
      <c r="Q3886" t="str">
        <f t="shared" si="364"/>
        <v>theater</v>
      </c>
      <c r="R3886" t="str">
        <f t="shared" si="365"/>
        <v>musical</v>
      </c>
      <c r="S3886" s="4">
        <f t="shared" si="362"/>
        <v>42065.791574074072</v>
      </c>
      <c r="T3886" s="4">
        <f t="shared" si="363"/>
        <v>42090.749907407408</v>
      </c>
      <c r="U3886" s="5">
        <f>VLOOKUP(currency,Tables!$A$1:$C$14,3,FALSE)*pledged</f>
        <v>0</v>
      </c>
    </row>
    <row r="3887" spans="1:21" ht="43.2" x14ac:dyDescent="0.55000000000000004">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360"/>
        <v>0</v>
      </c>
      <c r="P3887" s="16">
        <f t="shared" si="361"/>
        <v>0</v>
      </c>
      <c r="Q3887" t="str">
        <f t="shared" si="364"/>
        <v>theater</v>
      </c>
      <c r="R3887" t="str">
        <f t="shared" si="365"/>
        <v>musical</v>
      </c>
      <c r="S3887" s="4">
        <f t="shared" si="362"/>
        <v>42469.951284722221</v>
      </c>
      <c r="T3887" s="4">
        <f t="shared" si="363"/>
        <v>42499.951284722221</v>
      </c>
      <c r="U3887" s="5">
        <f>VLOOKUP(currency,Tables!$A$1:$C$14,3,FALSE)*pledged</f>
        <v>0</v>
      </c>
    </row>
    <row r="3888" spans="1:21" x14ac:dyDescent="0.55000000000000004">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360"/>
        <v>0</v>
      </c>
      <c r="P3888" s="16">
        <f t="shared" si="361"/>
        <v>0</v>
      </c>
      <c r="Q3888" t="str">
        <f t="shared" si="364"/>
        <v>theater</v>
      </c>
      <c r="R3888" t="str">
        <f t="shared" si="365"/>
        <v>musical</v>
      </c>
      <c r="S3888" s="4">
        <f t="shared" si="362"/>
        <v>41954.228032407409</v>
      </c>
      <c r="T3888" s="4">
        <f t="shared" si="363"/>
        <v>41984.228032407409</v>
      </c>
      <c r="U3888" s="5">
        <f>VLOOKUP(currency,Tables!$A$1:$C$14,3,FALSE)*pledged</f>
        <v>0</v>
      </c>
    </row>
    <row r="3889" spans="1:21" ht="43.2" x14ac:dyDescent="0.55000000000000004">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16">
        <f t="shared" si="361"/>
        <v>17.5</v>
      </c>
      <c r="Q3889" t="str">
        <f t="shared" si="364"/>
        <v>theater</v>
      </c>
      <c r="R3889" t="str">
        <f t="shared" si="365"/>
        <v>musical</v>
      </c>
      <c r="S3889" s="4">
        <f t="shared" si="362"/>
        <v>42079.857974537037</v>
      </c>
      <c r="T3889" s="4">
        <f t="shared" si="363"/>
        <v>42125.916666666672</v>
      </c>
      <c r="U3889" s="5">
        <f>VLOOKUP(currency,Tables!$A$1:$C$14,3,FALSE)*pledged</f>
        <v>35</v>
      </c>
    </row>
    <row r="3890" spans="1:21" ht="43.2" x14ac:dyDescent="0.55000000000000004">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16">
        <f t="shared" si="361"/>
        <v>38.714285714285715</v>
      </c>
      <c r="Q3890" t="str">
        <f t="shared" si="364"/>
        <v>theater</v>
      </c>
      <c r="R3890" t="str">
        <f t="shared" si="365"/>
        <v>plays</v>
      </c>
      <c r="S3890" s="4">
        <f t="shared" si="362"/>
        <v>42762.545810185184</v>
      </c>
      <c r="T3890" s="4">
        <f t="shared" si="363"/>
        <v>42792.545810185184</v>
      </c>
      <c r="U3890" s="5">
        <f>VLOOKUP(currency,Tables!$A$1:$C$14,3,FALSE)*pledged</f>
        <v>715.44</v>
      </c>
    </row>
    <row r="3891" spans="1:21" ht="43.2" x14ac:dyDescent="0.55000000000000004">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16">
        <f t="shared" si="361"/>
        <v>13.111111111111111</v>
      </c>
      <c r="Q3891" t="str">
        <f t="shared" si="364"/>
        <v>theater</v>
      </c>
      <c r="R3891" t="str">
        <f t="shared" si="365"/>
        <v>plays</v>
      </c>
      <c r="S3891" s="4">
        <f t="shared" si="362"/>
        <v>41977.004976851851</v>
      </c>
      <c r="T3891" s="4">
        <f t="shared" si="363"/>
        <v>42008.976388888885</v>
      </c>
      <c r="U3891" s="5">
        <f>VLOOKUP(currency,Tables!$A$1:$C$14,3,FALSE)*pledged</f>
        <v>118</v>
      </c>
    </row>
    <row r="3892" spans="1:21" ht="43.2" x14ac:dyDescent="0.55000000000000004">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16">
        <f t="shared" si="361"/>
        <v>315.5</v>
      </c>
      <c r="Q3892" t="str">
        <f t="shared" si="364"/>
        <v>theater</v>
      </c>
      <c r="R3892" t="str">
        <f t="shared" si="365"/>
        <v>plays</v>
      </c>
      <c r="S3892" s="4">
        <f t="shared" si="362"/>
        <v>42171.758611111116</v>
      </c>
      <c r="T3892" s="4">
        <f t="shared" si="363"/>
        <v>42231.758611111116</v>
      </c>
      <c r="U3892" s="5">
        <f>VLOOKUP(currency,Tables!$A$1:$C$14,3,FALSE)*pledged</f>
        <v>2524</v>
      </c>
    </row>
    <row r="3893" spans="1:21" ht="28.8" x14ac:dyDescent="0.55000000000000004">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16">
        <f t="shared" si="361"/>
        <v>37.142857142857146</v>
      </c>
      <c r="Q3893" t="str">
        <f t="shared" si="364"/>
        <v>theater</v>
      </c>
      <c r="R3893" t="str">
        <f t="shared" si="365"/>
        <v>plays</v>
      </c>
      <c r="S3893" s="4">
        <f t="shared" si="362"/>
        <v>42056.1324537037</v>
      </c>
      <c r="T3893" s="4">
        <f t="shared" si="363"/>
        <v>42086.207638888889</v>
      </c>
      <c r="U3893" s="5">
        <f>VLOOKUP(currency,Tables!$A$1:$C$14,3,FALSE)*pledged</f>
        <v>260</v>
      </c>
    </row>
    <row r="3894" spans="1:21" ht="43.2" x14ac:dyDescent="0.55000000000000004">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360"/>
        <v>0</v>
      </c>
      <c r="P3894" s="16">
        <f t="shared" si="361"/>
        <v>0</v>
      </c>
      <c r="Q3894" t="str">
        <f t="shared" si="364"/>
        <v>theater</v>
      </c>
      <c r="R3894" t="str">
        <f t="shared" si="365"/>
        <v>plays</v>
      </c>
      <c r="S3894" s="4">
        <f t="shared" si="362"/>
        <v>41867.652280092596</v>
      </c>
      <c r="T3894" s="4">
        <f t="shared" si="363"/>
        <v>41875.291666666664</v>
      </c>
      <c r="U3894" s="5">
        <f>VLOOKUP(currency,Tables!$A$1:$C$14,3,FALSE)*pledged</f>
        <v>0</v>
      </c>
    </row>
    <row r="3895" spans="1:21" ht="43.2" x14ac:dyDescent="0.55000000000000004">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16">
        <f t="shared" si="361"/>
        <v>128.27380952380952</v>
      </c>
      <c r="Q3895" t="str">
        <f t="shared" si="364"/>
        <v>theater</v>
      </c>
      <c r="R3895" t="str">
        <f t="shared" si="365"/>
        <v>plays</v>
      </c>
      <c r="S3895" s="4">
        <f t="shared" si="362"/>
        <v>41779.657870370371</v>
      </c>
      <c r="T3895" s="4">
        <f t="shared" si="363"/>
        <v>41821.25</v>
      </c>
      <c r="U3895" s="5">
        <f>VLOOKUP(currency,Tables!$A$1:$C$14,3,FALSE)*pledged</f>
        <v>10775</v>
      </c>
    </row>
    <row r="3896" spans="1:21" ht="43.2" x14ac:dyDescent="0.55000000000000004">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16">
        <f t="shared" si="361"/>
        <v>47.272727272727273</v>
      </c>
      <c r="Q3896" t="str">
        <f t="shared" si="364"/>
        <v>theater</v>
      </c>
      <c r="R3896" t="str">
        <f t="shared" si="365"/>
        <v>plays</v>
      </c>
      <c r="S3896" s="4">
        <f t="shared" si="362"/>
        <v>42679.958472222221</v>
      </c>
      <c r="T3896" s="4">
        <f t="shared" si="363"/>
        <v>42710.207638888889</v>
      </c>
      <c r="U3896" s="5">
        <f>VLOOKUP(currency,Tables!$A$1:$C$14,3,FALSE)*pledged</f>
        <v>520</v>
      </c>
    </row>
    <row r="3897" spans="1:21" ht="43.2" x14ac:dyDescent="0.55000000000000004">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360"/>
        <v>0.05</v>
      </c>
      <c r="P3897" s="16">
        <f t="shared" si="361"/>
        <v>50</v>
      </c>
      <c r="Q3897" t="str">
        <f t="shared" si="364"/>
        <v>theater</v>
      </c>
      <c r="R3897" t="str">
        <f t="shared" si="365"/>
        <v>plays</v>
      </c>
      <c r="S3897" s="4">
        <f t="shared" si="362"/>
        <v>42032.250208333338</v>
      </c>
      <c r="T3897" s="4">
        <f t="shared" si="363"/>
        <v>42063.250208333338</v>
      </c>
      <c r="U3897" s="5">
        <f>VLOOKUP(currency,Tables!$A$1:$C$14,3,FALSE)*pledged</f>
        <v>50</v>
      </c>
    </row>
    <row r="3898" spans="1:21" ht="43.2" x14ac:dyDescent="0.55000000000000004">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16">
        <f t="shared" si="361"/>
        <v>42.5</v>
      </c>
      <c r="Q3898" t="str">
        <f t="shared" si="364"/>
        <v>theater</v>
      </c>
      <c r="R3898" t="str">
        <f t="shared" si="365"/>
        <v>plays</v>
      </c>
      <c r="S3898" s="4">
        <f t="shared" si="362"/>
        <v>41793.191875000004</v>
      </c>
      <c r="T3898" s="4">
        <f t="shared" si="363"/>
        <v>41807.191875000004</v>
      </c>
      <c r="U3898" s="5">
        <f>VLOOKUP(currency,Tables!$A$1:$C$14,3,FALSE)*pledged</f>
        <v>170</v>
      </c>
    </row>
    <row r="3899" spans="1:21" ht="43.2" x14ac:dyDescent="0.55000000000000004">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16">
        <f t="shared" si="361"/>
        <v>44</v>
      </c>
      <c r="Q3899" t="str">
        <f t="shared" si="364"/>
        <v>theater</v>
      </c>
      <c r="R3899" t="str">
        <f t="shared" si="365"/>
        <v>plays</v>
      </c>
      <c r="S3899" s="4">
        <f t="shared" si="362"/>
        <v>41982.87364583333</v>
      </c>
      <c r="T3899" s="4">
        <f t="shared" si="363"/>
        <v>42012.87364583333</v>
      </c>
      <c r="U3899" s="5">
        <f>VLOOKUP(currency,Tables!$A$1:$C$14,3,FALSE)*pledged</f>
        <v>294.8</v>
      </c>
    </row>
    <row r="3900" spans="1:21" ht="57.6" x14ac:dyDescent="0.55000000000000004">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16">
        <f t="shared" si="361"/>
        <v>50.875</v>
      </c>
      <c r="Q3900" t="str">
        <f t="shared" si="364"/>
        <v>theater</v>
      </c>
      <c r="R3900" t="str">
        <f t="shared" si="365"/>
        <v>plays</v>
      </c>
      <c r="S3900" s="4">
        <f t="shared" si="362"/>
        <v>42193.482291666667</v>
      </c>
      <c r="T3900" s="4">
        <f t="shared" si="363"/>
        <v>42233.666666666672</v>
      </c>
      <c r="U3900" s="5">
        <f>VLOOKUP(currency,Tables!$A$1:$C$14,3,FALSE)*pledged</f>
        <v>1074.48</v>
      </c>
    </row>
    <row r="3901" spans="1:21" ht="43.2" x14ac:dyDescent="0.55000000000000004">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16">
        <f t="shared" si="361"/>
        <v>62.5</v>
      </c>
      <c r="Q3901" t="str">
        <f t="shared" si="364"/>
        <v>theater</v>
      </c>
      <c r="R3901" t="str">
        <f t="shared" si="365"/>
        <v>plays</v>
      </c>
      <c r="S3901" s="4">
        <f t="shared" si="362"/>
        <v>41843.775011574071</v>
      </c>
      <c r="T3901" s="4">
        <f t="shared" si="363"/>
        <v>41863.775011574071</v>
      </c>
      <c r="U3901" s="5">
        <f>VLOOKUP(currency,Tables!$A$1:$C$14,3,FALSE)*pledged</f>
        <v>125</v>
      </c>
    </row>
    <row r="3902" spans="1:21" ht="28.8" x14ac:dyDescent="0.55000000000000004">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16">
        <f t="shared" si="361"/>
        <v>27</v>
      </c>
      <c r="Q3902" t="str">
        <f t="shared" si="364"/>
        <v>theater</v>
      </c>
      <c r="R3902" t="str">
        <f t="shared" si="365"/>
        <v>plays</v>
      </c>
      <c r="S3902" s="4">
        <f t="shared" si="362"/>
        <v>42136.092488425929</v>
      </c>
      <c r="T3902" s="4">
        <f t="shared" si="363"/>
        <v>42166.092488425929</v>
      </c>
      <c r="U3902" s="5">
        <f>VLOOKUP(currency,Tables!$A$1:$C$14,3,FALSE)*pledged</f>
        <v>135</v>
      </c>
    </row>
    <row r="3903" spans="1:21" ht="43.2" x14ac:dyDescent="0.55000000000000004">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16">
        <f t="shared" si="361"/>
        <v>25</v>
      </c>
      <c r="Q3903" t="str">
        <f t="shared" si="364"/>
        <v>theater</v>
      </c>
      <c r="R3903" t="str">
        <f t="shared" si="365"/>
        <v>plays</v>
      </c>
      <c r="S3903" s="4">
        <f t="shared" si="362"/>
        <v>42317.826377314821</v>
      </c>
      <c r="T3903" s="4">
        <f t="shared" si="363"/>
        <v>42357.826377314821</v>
      </c>
      <c r="U3903" s="5">
        <f>VLOOKUP(currency,Tables!$A$1:$C$14,3,FALSE)*pledged</f>
        <v>25</v>
      </c>
    </row>
    <row r="3904" spans="1:21" ht="43.2" x14ac:dyDescent="0.55000000000000004">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16">
        <f t="shared" si="361"/>
        <v>47.258064516129032</v>
      </c>
      <c r="Q3904" t="str">
        <f t="shared" si="364"/>
        <v>theater</v>
      </c>
      <c r="R3904" t="str">
        <f t="shared" si="365"/>
        <v>plays</v>
      </c>
      <c r="S3904" s="4">
        <f t="shared" si="362"/>
        <v>42663.468078703707</v>
      </c>
      <c r="T3904" s="4">
        <f t="shared" si="363"/>
        <v>42688.509745370371</v>
      </c>
      <c r="U3904" s="5">
        <f>VLOOKUP(currency,Tables!$A$1:$C$14,3,FALSE)*pledged</f>
        <v>1933.8000000000002</v>
      </c>
    </row>
    <row r="3905" spans="1:21" ht="43.2" x14ac:dyDescent="0.55000000000000004">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360"/>
        <v>0</v>
      </c>
      <c r="P3905" s="16">
        <f t="shared" si="361"/>
        <v>0</v>
      </c>
      <c r="Q3905" t="str">
        <f t="shared" si="364"/>
        <v>theater</v>
      </c>
      <c r="R3905" t="str">
        <f t="shared" si="365"/>
        <v>plays</v>
      </c>
      <c r="S3905" s="4">
        <f t="shared" si="362"/>
        <v>42186.01116898148</v>
      </c>
      <c r="T3905" s="4">
        <f t="shared" si="363"/>
        <v>42230.818055555559</v>
      </c>
      <c r="U3905" s="5">
        <f>VLOOKUP(currency,Tables!$A$1:$C$14,3,FALSE)*pledged</f>
        <v>0</v>
      </c>
    </row>
    <row r="3906" spans="1:21" x14ac:dyDescent="0.55000000000000004">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ref="O3906:O3969" si="366">pledged/goal</f>
        <v>2.9999999999999997E-4</v>
      </c>
      <c r="P3906" s="16">
        <f t="shared" ref="P3906:P3969" si="367">IF(pledged=0,0,pledged/backers_count)</f>
        <v>1.5</v>
      </c>
      <c r="Q3906" t="str">
        <f t="shared" si="364"/>
        <v>theater</v>
      </c>
      <c r="R3906" t="str">
        <f t="shared" si="365"/>
        <v>plays</v>
      </c>
      <c r="S3906" s="4">
        <f t="shared" ref="S3906:S3969" si="368">(((Unix_launched_date/60)/60)/24)+DATE(1970,1,1)</f>
        <v>42095.229166666672</v>
      </c>
      <c r="T3906" s="4">
        <f t="shared" ref="T3906:T3969" si="369">(((Unix_deadline/60)/60)/24)+DATE(1970,1,1)</f>
        <v>42109.211111111115</v>
      </c>
      <c r="U3906" s="5">
        <f>VLOOKUP(currency,Tables!$A$1:$C$14,3,FALSE)*pledged</f>
        <v>3</v>
      </c>
    </row>
    <row r="3907" spans="1:21" ht="43.2" x14ac:dyDescent="0.55000000000000004">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si="366"/>
        <v>0.11533333333333333</v>
      </c>
      <c r="P3907" s="16">
        <f t="shared" si="367"/>
        <v>24.714285714285715</v>
      </c>
      <c r="Q3907" t="str">
        <f t="shared" ref="Q3907:Q3970" si="370">LEFT(N3907,FIND("/",N3907,1)-1)</f>
        <v>theater</v>
      </c>
      <c r="R3907" t="str">
        <f t="shared" ref="R3907:R3970" si="371">RIGHT(N3907,(LEN(N3907)-FIND("/",N3907,1)))</f>
        <v>plays</v>
      </c>
      <c r="S3907" s="4">
        <f t="shared" si="368"/>
        <v>42124.623877314814</v>
      </c>
      <c r="T3907" s="4">
        <f t="shared" si="369"/>
        <v>42166.958333333328</v>
      </c>
      <c r="U3907" s="5">
        <f>VLOOKUP(currency,Tables!$A$1:$C$14,3,FALSE)*pledged</f>
        <v>228.36</v>
      </c>
    </row>
    <row r="3908" spans="1:21" ht="43.2" x14ac:dyDescent="0.55000000000000004">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16">
        <f t="shared" si="367"/>
        <v>63.125</v>
      </c>
      <c r="Q3908" t="str">
        <f t="shared" si="370"/>
        <v>theater</v>
      </c>
      <c r="R3908" t="str">
        <f t="shared" si="371"/>
        <v>plays</v>
      </c>
      <c r="S3908" s="4">
        <f t="shared" si="368"/>
        <v>42143.917743055557</v>
      </c>
      <c r="T3908" s="4">
        <f t="shared" si="369"/>
        <v>42181.559027777781</v>
      </c>
      <c r="U3908" s="5">
        <f>VLOOKUP(currency,Tables!$A$1:$C$14,3,FALSE)*pledged</f>
        <v>1333.2</v>
      </c>
    </row>
    <row r="3909" spans="1:21" ht="28.8" x14ac:dyDescent="0.55000000000000004">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366"/>
        <v>0.153</v>
      </c>
      <c r="P3909" s="16">
        <f t="shared" si="367"/>
        <v>38.25</v>
      </c>
      <c r="Q3909" t="str">
        <f t="shared" si="370"/>
        <v>theater</v>
      </c>
      <c r="R3909" t="str">
        <f t="shared" si="371"/>
        <v>plays</v>
      </c>
      <c r="S3909" s="4">
        <f t="shared" si="368"/>
        <v>41906.819513888891</v>
      </c>
      <c r="T3909" s="4">
        <f t="shared" si="369"/>
        <v>41938.838888888888</v>
      </c>
      <c r="U3909" s="5">
        <f>VLOOKUP(currency,Tables!$A$1:$C$14,3,FALSE)*pledged</f>
        <v>153</v>
      </c>
    </row>
    <row r="3910" spans="1:21" ht="43.2" x14ac:dyDescent="0.55000000000000004">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16">
        <f t="shared" si="367"/>
        <v>16.25</v>
      </c>
      <c r="Q3910" t="str">
        <f t="shared" si="370"/>
        <v>theater</v>
      </c>
      <c r="R3910" t="str">
        <f t="shared" si="371"/>
        <v>plays</v>
      </c>
      <c r="S3910" s="4">
        <f t="shared" si="368"/>
        <v>41834.135370370372</v>
      </c>
      <c r="T3910" s="4">
        <f t="shared" si="369"/>
        <v>41849.135370370372</v>
      </c>
      <c r="U3910" s="5">
        <f>VLOOKUP(currency,Tables!$A$1:$C$14,3,FALSE)*pledged</f>
        <v>65</v>
      </c>
    </row>
    <row r="3911" spans="1:21" ht="43.2" x14ac:dyDescent="0.55000000000000004">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16">
        <f t="shared" si="367"/>
        <v>33.75</v>
      </c>
      <c r="Q3911" t="str">
        <f t="shared" si="370"/>
        <v>theater</v>
      </c>
      <c r="R3911" t="str">
        <f t="shared" si="371"/>
        <v>plays</v>
      </c>
      <c r="S3911" s="4">
        <f t="shared" si="368"/>
        <v>41863.359282407408</v>
      </c>
      <c r="T3911" s="4">
        <f t="shared" si="369"/>
        <v>41893.359282407408</v>
      </c>
      <c r="U3911" s="5">
        <f>VLOOKUP(currency,Tables!$A$1:$C$14,3,FALSE)*pledged</f>
        <v>135</v>
      </c>
    </row>
    <row r="3912" spans="1:21" ht="43.2" x14ac:dyDescent="0.55000000000000004">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16">
        <f t="shared" si="367"/>
        <v>61.666666666666664</v>
      </c>
      <c r="Q3912" t="str">
        <f t="shared" si="370"/>
        <v>theater</v>
      </c>
      <c r="R3912" t="str">
        <f t="shared" si="371"/>
        <v>plays</v>
      </c>
      <c r="S3912" s="4">
        <f t="shared" si="368"/>
        <v>42224.756909722222</v>
      </c>
      <c r="T3912" s="4">
        <f t="shared" si="369"/>
        <v>42254.756909722222</v>
      </c>
      <c r="U3912" s="5">
        <f>VLOOKUP(currency,Tables!$A$1:$C$14,3,FALSE)*pledged</f>
        <v>185</v>
      </c>
    </row>
    <row r="3913" spans="1:21" ht="43.2" x14ac:dyDescent="0.55000000000000004">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16">
        <f t="shared" si="367"/>
        <v>83.138888888888886</v>
      </c>
      <c r="Q3913" t="str">
        <f t="shared" si="370"/>
        <v>theater</v>
      </c>
      <c r="R3913" t="str">
        <f t="shared" si="371"/>
        <v>plays</v>
      </c>
      <c r="S3913" s="4">
        <f t="shared" si="368"/>
        <v>41939.8122337963</v>
      </c>
      <c r="T3913" s="4">
        <f t="shared" si="369"/>
        <v>41969.853900462964</v>
      </c>
      <c r="U3913" s="5">
        <f>VLOOKUP(currency,Tables!$A$1:$C$14,3,FALSE)*pledged</f>
        <v>2993</v>
      </c>
    </row>
    <row r="3914" spans="1:21" ht="43.2" x14ac:dyDescent="0.55000000000000004">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16">
        <f t="shared" si="367"/>
        <v>1</v>
      </c>
      <c r="Q3914" t="str">
        <f t="shared" si="370"/>
        <v>theater</v>
      </c>
      <c r="R3914" t="str">
        <f t="shared" si="371"/>
        <v>plays</v>
      </c>
      <c r="S3914" s="4">
        <f t="shared" si="368"/>
        <v>42059.270023148143</v>
      </c>
      <c r="T3914" s="4">
        <f t="shared" si="369"/>
        <v>42119.190972222219</v>
      </c>
      <c r="U3914" s="5">
        <f>VLOOKUP(currency,Tables!$A$1:$C$14,3,FALSE)*pledged</f>
        <v>1</v>
      </c>
    </row>
    <row r="3915" spans="1:21" ht="43.2" x14ac:dyDescent="0.55000000000000004">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366"/>
        <v>0.1</v>
      </c>
      <c r="P3915" s="16">
        <f t="shared" si="367"/>
        <v>142.85714285714286</v>
      </c>
      <c r="Q3915" t="str">
        <f t="shared" si="370"/>
        <v>theater</v>
      </c>
      <c r="R3915" t="str">
        <f t="shared" si="371"/>
        <v>plays</v>
      </c>
      <c r="S3915" s="4">
        <f t="shared" si="368"/>
        <v>42308.211215277777</v>
      </c>
      <c r="T3915" s="4">
        <f t="shared" si="369"/>
        <v>42338.252881944441</v>
      </c>
      <c r="U3915" s="5">
        <f>VLOOKUP(currency,Tables!$A$1:$C$14,3,FALSE)*pledged</f>
        <v>1000</v>
      </c>
    </row>
    <row r="3916" spans="1:21" ht="43.2" x14ac:dyDescent="0.55000000000000004">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16">
        <f t="shared" si="367"/>
        <v>33.666666666666664</v>
      </c>
      <c r="Q3916" t="str">
        <f t="shared" si="370"/>
        <v>theater</v>
      </c>
      <c r="R3916" t="str">
        <f t="shared" si="371"/>
        <v>plays</v>
      </c>
      <c r="S3916" s="4">
        <f t="shared" si="368"/>
        <v>42114.818935185183</v>
      </c>
      <c r="T3916" s="4">
        <f t="shared" si="369"/>
        <v>42134.957638888889</v>
      </c>
      <c r="U3916" s="5">
        <f>VLOOKUP(currency,Tables!$A$1:$C$14,3,FALSE)*pledged</f>
        <v>1199.8800000000001</v>
      </c>
    </row>
    <row r="3917" spans="1:21" ht="43.2" x14ac:dyDescent="0.55000000000000004">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16">
        <f t="shared" si="367"/>
        <v>5</v>
      </c>
      <c r="Q3917" t="str">
        <f t="shared" si="370"/>
        <v>theater</v>
      </c>
      <c r="R3917" t="str">
        <f t="shared" si="371"/>
        <v>plays</v>
      </c>
      <c r="S3917" s="4">
        <f t="shared" si="368"/>
        <v>42492.98505787037</v>
      </c>
      <c r="T3917" s="4">
        <f t="shared" si="369"/>
        <v>42522.98505787037</v>
      </c>
      <c r="U3917" s="5">
        <f>VLOOKUP(currency,Tables!$A$1:$C$14,3,FALSE)*pledged</f>
        <v>6.6000000000000005</v>
      </c>
    </row>
    <row r="3918" spans="1:21" ht="43.2" x14ac:dyDescent="0.55000000000000004">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366"/>
        <v>0</v>
      </c>
      <c r="P3918" s="16">
        <f t="shared" si="367"/>
        <v>0</v>
      </c>
      <c r="Q3918" t="str">
        <f t="shared" si="370"/>
        <v>theater</v>
      </c>
      <c r="R3918" t="str">
        <f t="shared" si="371"/>
        <v>plays</v>
      </c>
      <c r="S3918" s="4">
        <f t="shared" si="368"/>
        <v>42494.471666666665</v>
      </c>
      <c r="T3918" s="4">
        <f t="shared" si="369"/>
        <v>42524.471666666665</v>
      </c>
      <c r="U3918" s="5">
        <f>VLOOKUP(currency,Tables!$A$1:$C$14,3,FALSE)*pledged</f>
        <v>0</v>
      </c>
    </row>
    <row r="3919" spans="1:21" ht="43.2" x14ac:dyDescent="0.55000000000000004">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16">
        <f t="shared" si="367"/>
        <v>10</v>
      </c>
      <c r="Q3919" t="str">
        <f t="shared" si="370"/>
        <v>theater</v>
      </c>
      <c r="R3919" t="str">
        <f t="shared" si="371"/>
        <v>plays</v>
      </c>
      <c r="S3919" s="4">
        <f t="shared" si="368"/>
        <v>41863.527326388888</v>
      </c>
      <c r="T3919" s="4">
        <f t="shared" si="369"/>
        <v>41893.527326388888</v>
      </c>
      <c r="U3919" s="5">
        <f>VLOOKUP(currency,Tables!$A$1:$C$14,3,FALSE)*pledged</f>
        <v>13.200000000000001</v>
      </c>
    </row>
    <row r="3920" spans="1:21" ht="43.2" x14ac:dyDescent="0.55000000000000004">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366"/>
        <v>2E-3</v>
      </c>
      <c r="P3920" s="16">
        <f t="shared" si="367"/>
        <v>40</v>
      </c>
      <c r="Q3920" t="str">
        <f t="shared" si="370"/>
        <v>theater</v>
      </c>
      <c r="R3920" t="str">
        <f t="shared" si="371"/>
        <v>plays</v>
      </c>
      <c r="S3920" s="4">
        <f t="shared" si="368"/>
        <v>41843.664618055554</v>
      </c>
      <c r="T3920" s="4">
        <f t="shared" si="369"/>
        <v>41855.666666666664</v>
      </c>
      <c r="U3920" s="5">
        <f>VLOOKUP(currency,Tables!$A$1:$C$14,3,FALSE)*pledged</f>
        <v>158.4</v>
      </c>
    </row>
    <row r="3921" spans="1:21" ht="43.2" x14ac:dyDescent="0.55000000000000004">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16">
        <f t="shared" si="367"/>
        <v>30</v>
      </c>
      <c r="Q3921" t="str">
        <f t="shared" si="370"/>
        <v>theater</v>
      </c>
      <c r="R3921" t="str">
        <f t="shared" si="371"/>
        <v>plays</v>
      </c>
      <c r="S3921" s="4">
        <f t="shared" si="368"/>
        <v>42358.684872685189</v>
      </c>
      <c r="T3921" s="4">
        <f t="shared" si="369"/>
        <v>42387</v>
      </c>
      <c r="U3921" s="5">
        <f>VLOOKUP(currency,Tables!$A$1:$C$14,3,FALSE)*pledged</f>
        <v>118.80000000000001</v>
      </c>
    </row>
    <row r="3922" spans="1:21" ht="43.2" x14ac:dyDescent="0.55000000000000004">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16">
        <f t="shared" si="367"/>
        <v>45</v>
      </c>
      <c r="Q3922" t="str">
        <f t="shared" si="370"/>
        <v>theater</v>
      </c>
      <c r="R3922" t="str">
        <f t="shared" si="371"/>
        <v>plays</v>
      </c>
      <c r="S3922" s="4">
        <f t="shared" si="368"/>
        <v>42657.38726851852</v>
      </c>
      <c r="T3922" s="4">
        <f t="shared" si="369"/>
        <v>42687.428935185191</v>
      </c>
      <c r="U3922" s="5">
        <f>VLOOKUP(currency,Tables!$A$1:$C$14,3,FALSE)*pledged</f>
        <v>178.20000000000002</v>
      </c>
    </row>
    <row r="3923" spans="1:21" ht="43.2" x14ac:dyDescent="0.55000000000000004">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366"/>
        <v>0</v>
      </c>
      <c r="P3923" s="16">
        <f t="shared" si="367"/>
        <v>0</v>
      </c>
      <c r="Q3923" t="str">
        <f t="shared" si="370"/>
        <v>theater</v>
      </c>
      <c r="R3923" t="str">
        <f t="shared" si="371"/>
        <v>plays</v>
      </c>
      <c r="S3923" s="4">
        <f t="shared" si="368"/>
        <v>41926.542303240742</v>
      </c>
      <c r="T3923" s="4">
        <f t="shared" si="369"/>
        <v>41938.75</v>
      </c>
      <c r="U3923" s="5">
        <f>VLOOKUP(currency,Tables!$A$1:$C$14,3,FALSE)*pledged</f>
        <v>0</v>
      </c>
    </row>
    <row r="3924" spans="1:21" ht="43.2" x14ac:dyDescent="0.55000000000000004">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16">
        <f t="shared" si="367"/>
        <v>10.166666666666666</v>
      </c>
      <c r="Q3924" t="str">
        <f t="shared" si="370"/>
        <v>theater</v>
      </c>
      <c r="R3924" t="str">
        <f t="shared" si="371"/>
        <v>plays</v>
      </c>
      <c r="S3924" s="4">
        <f t="shared" si="368"/>
        <v>42020.768634259264</v>
      </c>
      <c r="T3924" s="4">
        <f t="shared" si="369"/>
        <v>42065.958333333328</v>
      </c>
      <c r="U3924" s="5">
        <f>VLOOKUP(currency,Tables!$A$1:$C$14,3,FALSE)*pledged</f>
        <v>61</v>
      </c>
    </row>
    <row r="3925" spans="1:21" ht="43.2" x14ac:dyDescent="0.55000000000000004">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16">
        <f t="shared" si="367"/>
        <v>81.411764705882348</v>
      </c>
      <c r="Q3925" t="str">
        <f t="shared" si="370"/>
        <v>theater</v>
      </c>
      <c r="R3925" t="str">
        <f t="shared" si="371"/>
        <v>plays</v>
      </c>
      <c r="S3925" s="4">
        <f t="shared" si="368"/>
        <v>42075.979988425926</v>
      </c>
      <c r="T3925" s="4">
        <f t="shared" si="369"/>
        <v>42103.979988425926</v>
      </c>
      <c r="U3925" s="5">
        <f>VLOOKUP(currency,Tables!$A$1:$C$14,3,FALSE)*pledged</f>
        <v>1826.88</v>
      </c>
    </row>
    <row r="3926" spans="1:21" ht="43.2" x14ac:dyDescent="0.55000000000000004">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16">
        <f t="shared" si="367"/>
        <v>57.25</v>
      </c>
      <c r="Q3926" t="str">
        <f t="shared" si="370"/>
        <v>theater</v>
      </c>
      <c r="R3926" t="str">
        <f t="shared" si="371"/>
        <v>plays</v>
      </c>
      <c r="S3926" s="4">
        <f t="shared" si="368"/>
        <v>41786.959745370368</v>
      </c>
      <c r="T3926" s="4">
        <f t="shared" si="369"/>
        <v>41816.959745370368</v>
      </c>
      <c r="U3926" s="5">
        <f>VLOOKUP(currency,Tables!$A$1:$C$14,3,FALSE)*pledged</f>
        <v>2290</v>
      </c>
    </row>
    <row r="3927" spans="1:21" ht="43.2" x14ac:dyDescent="0.55000000000000004">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366"/>
        <v>0.1</v>
      </c>
      <c r="P3927" s="16">
        <f t="shared" si="367"/>
        <v>5</v>
      </c>
      <c r="Q3927" t="str">
        <f t="shared" si="370"/>
        <v>theater</v>
      </c>
      <c r="R3927" t="str">
        <f t="shared" si="371"/>
        <v>plays</v>
      </c>
      <c r="S3927" s="4">
        <f t="shared" si="368"/>
        <v>41820.870821759258</v>
      </c>
      <c r="T3927" s="4">
        <f t="shared" si="369"/>
        <v>41850.870821759258</v>
      </c>
      <c r="U3927" s="5">
        <f>VLOOKUP(currency,Tables!$A$1:$C$14,3,FALSE)*pledged</f>
        <v>15</v>
      </c>
    </row>
    <row r="3928" spans="1:21" ht="28.8" x14ac:dyDescent="0.55000000000000004">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16">
        <f t="shared" si="367"/>
        <v>15</v>
      </c>
      <c r="Q3928" t="str">
        <f t="shared" si="370"/>
        <v>theater</v>
      </c>
      <c r="R3928" t="str">
        <f t="shared" si="371"/>
        <v>plays</v>
      </c>
      <c r="S3928" s="4">
        <f t="shared" si="368"/>
        <v>41970.085046296299</v>
      </c>
      <c r="T3928" s="4">
        <f t="shared" si="369"/>
        <v>42000.085046296299</v>
      </c>
      <c r="U3928" s="5">
        <f>VLOOKUP(currency,Tables!$A$1:$C$14,3,FALSE)*pledged</f>
        <v>10.95</v>
      </c>
    </row>
    <row r="3929" spans="1:21" ht="43.2" x14ac:dyDescent="0.55000000000000004">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366"/>
        <v>0.01</v>
      </c>
      <c r="P3929" s="16">
        <f t="shared" si="367"/>
        <v>12.5</v>
      </c>
      <c r="Q3929" t="str">
        <f t="shared" si="370"/>
        <v>theater</v>
      </c>
      <c r="R3929" t="str">
        <f t="shared" si="371"/>
        <v>plays</v>
      </c>
      <c r="S3929" s="4">
        <f t="shared" si="368"/>
        <v>41830.267407407409</v>
      </c>
      <c r="T3929" s="4">
        <f t="shared" si="369"/>
        <v>41860.267407407409</v>
      </c>
      <c r="U3929" s="5">
        <f>VLOOKUP(currency,Tables!$A$1:$C$14,3,FALSE)*pledged</f>
        <v>33</v>
      </c>
    </row>
    <row r="3930" spans="1:21" ht="43.2" x14ac:dyDescent="0.55000000000000004">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16">
        <f t="shared" si="367"/>
        <v>93</v>
      </c>
      <c r="Q3930" t="str">
        <f t="shared" si="370"/>
        <v>theater</v>
      </c>
      <c r="R3930" t="str">
        <f t="shared" si="371"/>
        <v>plays</v>
      </c>
      <c r="S3930" s="4">
        <f t="shared" si="368"/>
        <v>42265.683182870373</v>
      </c>
      <c r="T3930" s="4">
        <f t="shared" si="369"/>
        <v>42293.207638888889</v>
      </c>
      <c r="U3930" s="5">
        <f>VLOOKUP(currency,Tables!$A$1:$C$14,3,FALSE)*pledged</f>
        <v>651</v>
      </c>
    </row>
    <row r="3931" spans="1:21" ht="43.2" x14ac:dyDescent="0.55000000000000004">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16">
        <f t="shared" si="367"/>
        <v>32.357142857142854</v>
      </c>
      <c r="Q3931" t="str">
        <f t="shared" si="370"/>
        <v>theater</v>
      </c>
      <c r="R3931" t="str">
        <f t="shared" si="371"/>
        <v>plays</v>
      </c>
      <c r="S3931" s="4">
        <f t="shared" si="368"/>
        <v>42601.827141203699</v>
      </c>
      <c r="T3931" s="4">
        <f t="shared" si="369"/>
        <v>42631.827141203699</v>
      </c>
      <c r="U3931" s="5">
        <f>VLOOKUP(currency,Tables!$A$1:$C$14,3,FALSE)*pledged</f>
        <v>453</v>
      </c>
    </row>
    <row r="3932" spans="1:21" ht="43.2" x14ac:dyDescent="0.55000000000000004">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366"/>
        <v>0</v>
      </c>
      <c r="P3932" s="16">
        <f t="shared" si="367"/>
        <v>0</v>
      </c>
      <c r="Q3932" t="str">
        <f t="shared" si="370"/>
        <v>theater</v>
      </c>
      <c r="R3932" t="str">
        <f t="shared" si="371"/>
        <v>plays</v>
      </c>
      <c r="S3932" s="4">
        <f t="shared" si="368"/>
        <v>42433.338749999995</v>
      </c>
      <c r="T3932" s="4">
        <f t="shared" si="369"/>
        <v>42461.25</v>
      </c>
      <c r="U3932" s="5">
        <f>VLOOKUP(currency,Tables!$A$1:$C$14,3,FALSE)*pledged</f>
        <v>0</v>
      </c>
    </row>
    <row r="3933" spans="1:21" ht="43.2" x14ac:dyDescent="0.55000000000000004">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366"/>
        <v>0</v>
      </c>
      <c r="P3933" s="16">
        <f t="shared" si="367"/>
        <v>0</v>
      </c>
      <c r="Q3933" t="str">
        <f t="shared" si="370"/>
        <v>theater</v>
      </c>
      <c r="R3933" t="str">
        <f t="shared" si="371"/>
        <v>plays</v>
      </c>
      <c r="S3933" s="4">
        <f t="shared" si="368"/>
        <v>42228.151701388888</v>
      </c>
      <c r="T3933" s="4">
        <f t="shared" si="369"/>
        <v>42253.151701388888</v>
      </c>
      <c r="U3933" s="5">
        <f>VLOOKUP(currency,Tables!$A$1:$C$14,3,FALSE)*pledged</f>
        <v>0</v>
      </c>
    </row>
    <row r="3934" spans="1:21" ht="43.2" x14ac:dyDescent="0.55000000000000004">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16">
        <f t="shared" si="367"/>
        <v>1</v>
      </c>
      <c r="Q3934" t="str">
        <f t="shared" si="370"/>
        <v>theater</v>
      </c>
      <c r="R3934" t="str">
        <f t="shared" si="371"/>
        <v>plays</v>
      </c>
      <c r="S3934" s="4">
        <f t="shared" si="368"/>
        <v>42415.168564814812</v>
      </c>
      <c r="T3934" s="4">
        <f t="shared" si="369"/>
        <v>42445.126898148148</v>
      </c>
      <c r="U3934" s="5">
        <f>VLOOKUP(currency,Tables!$A$1:$C$14,3,FALSE)*pledged</f>
        <v>1</v>
      </c>
    </row>
    <row r="3935" spans="1:21" ht="43.2" x14ac:dyDescent="0.55000000000000004">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16">
        <f t="shared" si="367"/>
        <v>91.833333333333329</v>
      </c>
      <c r="Q3935" t="str">
        <f t="shared" si="370"/>
        <v>theater</v>
      </c>
      <c r="R3935" t="str">
        <f t="shared" si="371"/>
        <v>plays</v>
      </c>
      <c r="S3935" s="4">
        <f t="shared" si="368"/>
        <v>42538.968310185184</v>
      </c>
      <c r="T3935" s="4">
        <f t="shared" si="369"/>
        <v>42568.029861111107</v>
      </c>
      <c r="U3935" s="5">
        <f>VLOOKUP(currency,Tables!$A$1:$C$14,3,FALSE)*pledged</f>
        <v>1102</v>
      </c>
    </row>
    <row r="3936" spans="1:21" ht="43.2" x14ac:dyDescent="0.55000000000000004">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366"/>
        <v>0.11</v>
      </c>
      <c r="P3936" s="16">
        <f t="shared" si="367"/>
        <v>45.833333333333336</v>
      </c>
      <c r="Q3936" t="str">
        <f t="shared" si="370"/>
        <v>theater</v>
      </c>
      <c r="R3936" t="str">
        <f t="shared" si="371"/>
        <v>plays</v>
      </c>
      <c r="S3936" s="4">
        <f t="shared" si="368"/>
        <v>42233.671747685185</v>
      </c>
      <c r="T3936" s="4">
        <f t="shared" si="369"/>
        <v>42278.541666666672</v>
      </c>
      <c r="U3936" s="5">
        <f>VLOOKUP(currency,Tables!$A$1:$C$14,3,FALSE)*pledged</f>
        <v>550</v>
      </c>
    </row>
    <row r="3937" spans="1:21" ht="57.6" x14ac:dyDescent="0.55000000000000004">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16">
        <f t="shared" si="367"/>
        <v>57.173913043478258</v>
      </c>
      <c r="Q3937" t="str">
        <f t="shared" si="370"/>
        <v>theater</v>
      </c>
      <c r="R3937" t="str">
        <f t="shared" si="371"/>
        <v>plays</v>
      </c>
      <c r="S3937" s="4">
        <f t="shared" si="368"/>
        <v>42221.656782407401</v>
      </c>
      <c r="T3937" s="4">
        <f t="shared" si="369"/>
        <v>42281.656782407401</v>
      </c>
      <c r="U3937" s="5">
        <f>VLOOKUP(currency,Tables!$A$1:$C$14,3,FALSE)*pledged</f>
        <v>1735.8000000000002</v>
      </c>
    </row>
    <row r="3938" spans="1:21" ht="43.2" x14ac:dyDescent="0.55000000000000004">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366"/>
        <v>0</v>
      </c>
      <c r="P3938" s="16">
        <f t="shared" si="367"/>
        <v>0</v>
      </c>
      <c r="Q3938" t="str">
        <f t="shared" si="370"/>
        <v>theater</v>
      </c>
      <c r="R3938" t="str">
        <f t="shared" si="371"/>
        <v>plays</v>
      </c>
      <c r="S3938" s="4">
        <f t="shared" si="368"/>
        <v>42675.262962962966</v>
      </c>
      <c r="T3938" s="4">
        <f t="shared" si="369"/>
        <v>42705.304629629631</v>
      </c>
      <c r="U3938" s="5">
        <f>VLOOKUP(currency,Tables!$A$1:$C$14,3,FALSE)*pledged</f>
        <v>0</v>
      </c>
    </row>
    <row r="3939" spans="1:21" ht="43.2" x14ac:dyDescent="0.55000000000000004">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16">
        <f t="shared" si="367"/>
        <v>248.5</v>
      </c>
      <c r="Q3939" t="str">
        <f t="shared" si="370"/>
        <v>theater</v>
      </c>
      <c r="R3939" t="str">
        <f t="shared" si="371"/>
        <v>plays</v>
      </c>
      <c r="S3939" s="4">
        <f t="shared" si="368"/>
        <v>42534.631481481483</v>
      </c>
      <c r="T3939" s="4">
        <f t="shared" si="369"/>
        <v>42562.631481481483</v>
      </c>
      <c r="U3939" s="5">
        <f>VLOOKUP(currency,Tables!$A$1:$C$14,3,FALSE)*pledged</f>
        <v>2485</v>
      </c>
    </row>
    <row r="3940" spans="1:21" ht="43.2" x14ac:dyDescent="0.55000000000000004">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16">
        <f t="shared" si="367"/>
        <v>79.400000000000006</v>
      </c>
      <c r="Q3940" t="str">
        <f t="shared" si="370"/>
        <v>theater</v>
      </c>
      <c r="R3940" t="str">
        <f t="shared" si="371"/>
        <v>plays</v>
      </c>
      <c r="S3940" s="4">
        <f t="shared" si="368"/>
        <v>42151.905717592599</v>
      </c>
      <c r="T3940" s="4">
        <f t="shared" si="369"/>
        <v>42182.905717592599</v>
      </c>
      <c r="U3940" s="5">
        <f>VLOOKUP(currency,Tables!$A$1:$C$14,3,FALSE)*pledged</f>
        <v>397</v>
      </c>
    </row>
    <row r="3941" spans="1:21" ht="43.2" x14ac:dyDescent="0.55000000000000004">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366"/>
        <v>1E-3</v>
      </c>
      <c r="P3941" s="16">
        <f t="shared" si="367"/>
        <v>5</v>
      </c>
      <c r="Q3941" t="str">
        <f t="shared" si="370"/>
        <v>theater</v>
      </c>
      <c r="R3941" t="str">
        <f t="shared" si="371"/>
        <v>plays</v>
      </c>
      <c r="S3941" s="4">
        <f t="shared" si="368"/>
        <v>41915.400219907409</v>
      </c>
      <c r="T3941" s="4">
        <f t="shared" si="369"/>
        <v>41919.1875</v>
      </c>
      <c r="U3941" s="5">
        <f>VLOOKUP(currency,Tables!$A$1:$C$14,3,FALSE)*pledged</f>
        <v>3.65</v>
      </c>
    </row>
    <row r="3942" spans="1:21" ht="43.2" x14ac:dyDescent="0.55000000000000004">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16">
        <f t="shared" si="367"/>
        <v>5.5</v>
      </c>
      <c r="Q3942" t="str">
        <f t="shared" si="370"/>
        <v>theater</v>
      </c>
      <c r="R3942" t="str">
        <f t="shared" si="371"/>
        <v>plays</v>
      </c>
      <c r="S3942" s="4">
        <f t="shared" si="368"/>
        <v>41961.492488425924</v>
      </c>
      <c r="T3942" s="4">
        <f t="shared" si="369"/>
        <v>42006.492488425924</v>
      </c>
      <c r="U3942" s="5">
        <f>VLOOKUP(currency,Tables!$A$1:$C$14,3,FALSE)*pledged</f>
        <v>11</v>
      </c>
    </row>
    <row r="3943" spans="1:21" ht="57.6" x14ac:dyDescent="0.55000000000000004">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16">
        <f t="shared" si="367"/>
        <v>25</v>
      </c>
      <c r="Q3943" t="str">
        <f t="shared" si="370"/>
        <v>theater</v>
      </c>
      <c r="R3943" t="str">
        <f t="shared" si="371"/>
        <v>plays</v>
      </c>
      <c r="S3943" s="4">
        <f t="shared" si="368"/>
        <v>41940.587233796294</v>
      </c>
      <c r="T3943" s="4">
        <f t="shared" si="369"/>
        <v>41968.041666666672</v>
      </c>
      <c r="U3943" s="5">
        <f>VLOOKUP(currency,Tables!$A$1:$C$14,3,FALSE)*pledged</f>
        <v>50</v>
      </c>
    </row>
    <row r="3944" spans="1:21" ht="43.2" x14ac:dyDescent="0.55000000000000004">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366"/>
        <v>0</v>
      </c>
      <c r="P3944" s="16">
        <f t="shared" si="367"/>
        <v>0</v>
      </c>
      <c r="Q3944" t="str">
        <f t="shared" si="370"/>
        <v>theater</v>
      </c>
      <c r="R3944" t="str">
        <f t="shared" si="371"/>
        <v>plays</v>
      </c>
      <c r="S3944" s="4">
        <f t="shared" si="368"/>
        <v>42111.904097222221</v>
      </c>
      <c r="T3944" s="4">
        <f t="shared" si="369"/>
        <v>42171.904097222221</v>
      </c>
      <c r="U3944" s="5">
        <f>VLOOKUP(currency,Tables!$A$1:$C$14,3,FALSE)*pledged</f>
        <v>0</v>
      </c>
    </row>
    <row r="3945" spans="1:21" ht="43.2" x14ac:dyDescent="0.55000000000000004">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16">
        <f t="shared" si="367"/>
        <v>137.07692307692307</v>
      </c>
      <c r="Q3945" t="str">
        <f t="shared" si="370"/>
        <v>theater</v>
      </c>
      <c r="R3945" t="str">
        <f t="shared" si="371"/>
        <v>plays</v>
      </c>
      <c r="S3945" s="4">
        <f t="shared" si="368"/>
        <v>42279.778564814813</v>
      </c>
      <c r="T3945" s="4">
        <f t="shared" si="369"/>
        <v>42310.701388888891</v>
      </c>
      <c r="U3945" s="5">
        <f>VLOOKUP(currency,Tables!$A$1:$C$14,3,FALSE)*pledged</f>
        <v>1782</v>
      </c>
    </row>
    <row r="3946" spans="1:21" ht="43.2" x14ac:dyDescent="0.55000000000000004">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366"/>
        <v>0</v>
      </c>
      <c r="P3946" s="16">
        <f t="shared" si="367"/>
        <v>0</v>
      </c>
      <c r="Q3946" t="str">
        <f t="shared" si="370"/>
        <v>theater</v>
      </c>
      <c r="R3946" t="str">
        <f t="shared" si="371"/>
        <v>plays</v>
      </c>
      <c r="S3946" s="4">
        <f t="shared" si="368"/>
        <v>42213.662905092591</v>
      </c>
      <c r="T3946" s="4">
        <f t="shared" si="369"/>
        <v>42243.662905092591</v>
      </c>
      <c r="U3946" s="5">
        <f>VLOOKUP(currency,Tables!$A$1:$C$14,3,FALSE)*pledged</f>
        <v>0</v>
      </c>
    </row>
    <row r="3947" spans="1:21" ht="43.2" x14ac:dyDescent="0.55000000000000004">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16">
        <f t="shared" si="367"/>
        <v>5</v>
      </c>
      <c r="Q3947" t="str">
        <f t="shared" si="370"/>
        <v>theater</v>
      </c>
      <c r="R3947" t="str">
        <f t="shared" si="371"/>
        <v>plays</v>
      </c>
      <c r="S3947" s="4">
        <f t="shared" si="368"/>
        <v>42109.801712962959</v>
      </c>
      <c r="T3947" s="4">
        <f t="shared" si="369"/>
        <v>42139.801712962959</v>
      </c>
      <c r="U3947" s="5">
        <f>VLOOKUP(currency,Tables!$A$1:$C$14,3,FALSE)*pledged</f>
        <v>5</v>
      </c>
    </row>
    <row r="3948" spans="1:21" ht="28.8" x14ac:dyDescent="0.55000000000000004">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16">
        <f t="shared" si="367"/>
        <v>39</v>
      </c>
      <c r="Q3948" t="str">
        <f t="shared" si="370"/>
        <v>theater</v>
      </c>
      <c r="R3948" t="str">
        <f t="shared" si="371"/>
        <v>plays</v>
      </c>
      <c r="S3948" s="4">
        <f t="shared" si="368"/>
        <v>42031.833587962959</v>
      </c>
      <c r="T3948" s="4">
        <f t="shared" si="369"/>
        <v>42063.333333333328</v>
      </c>
      <c r="U3948" s="5">
        <f>VLOOKUP(currency,Tables!$A$1:$C$14,3,FALSE)*pledged</f>
        <v>195</v>
      </c>
    </row>
    <row r="3949" spans="1:21" ht="43.2" x14ac:dyDescent="0.55000000000000004">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16">
        <f t="shared" si="367"/>
        <v>50.5</v>
      </c>
      <c r="Q3949" t="str">
        <f t="shared" si="370"/>
        <v>theater</v>
      </c>
      <c r="R3949" t="str">
        <f t="shared" si="371"/>
        <v>plays</v>
      </c>
      <c r="S3949" s="4">
        <f t="shared" si="368"/>
        <v>42615.142870370371</v>
      </c>
      <c r="T3949" s="4">
        <f t="shared" si="369"/>
        <v>42645.142870370371</v>
      </c>
      <c r="U3949" s="5">
        <f>VLOOKUP(currency,Tables!$A$1:$C$14,3,FALSE)*pledged</f>
        <v>101</v>
      </c>
    </row>
    <row r="3950" spans="1:21" ht="43.2" x14ac:dyDescent="0.55000000000000004">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366"/>
        <v>0</v>
      </c>
      <c r="P3950" s="16">
        <f t="shared" si="367"/>
        <v>0</v>
      </c>
      <c r="Q3950" t="str">
        <f t="shared" si="370"/>
        <v>theater</v>
      </c>
      <c r="R3950" t="str">
        <f t="shared" si="371"/>
        <v>plays</v>
      </c>
      <c r="S3950" s="4">
        <f t="shared" si="368"/>
        <v>41829.325497685182</v>
      </c>
      <c r="T3950" s="4">
        <f t="shared" si="369"/>
        <v>41889.325497685182</v>
      </c>
      <c r="U3950" s="5">
        <f>VLOOKUP(currency,Tables!$A$1:$C$14,3,FALSE)*pledged</f>
        <v>0</v>
      </c>
    </row>
    <row r="3951" spans="1:21" ht="43.2" x14ac:dyDescent="0.55000000000000004">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16">
        <f t="shared" si="367"/>
        <v>49.28125</v>
      </c>
      <c r="Q3951" t="str">
        <f t="shared" si="370"/>
        <v>theater</v>
      </c>
      <c r="R3951" t="str">
        <f t="shared" si="371"/>
        <v>plays</v>
      </c>
      <c r="S3951" s="4">
        <f t="shared" si="368"/>
        <v>42016.120613425926</v>
      </c>
      <c r="T3951" s="4">
        <f t="shared" si="369"/>
        <v>42046.120613425926</v>
      </c>
      <c r="U3951" s="5">
        <f>VLOOKUP(currency,Tables!$A$1:$C$14,3,FALSE)*pledged</f>
        <v>1151.21</v>
      </c>
    </row>
    <row r="3952" spans="1:21" ht="43.2" x14ac:dyDescent="0.55000000000000004">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16">
        <f t="shared" si="367"/>
        <v>25</v>
      </c>
      <c r="Q3952" t="str">
        <f t="shared" si="370"/>
        <v>theater</v>
      </c>
      <c r="R3952" t="str">
        <f t="shared" si="371"/>
        <v>plays</v>
      </c>
      <c r="S3952" s="4">
        <f t="shared" si="368"/>
        <v>42439.702314814815</v>
      </c>
      <c r="T3952" s="4">
        <f t="shared" si="369"/>
        <v>42468.774305555555</v>
      </c>
      <c r="U3952" s="5">
        <f>VLOOKUP(currency,Tables!$A$1:$C$14,3,FALSE)*pledged</f>
        <v>25</v>
      </c>
    </row>
    <row r="3953" spans="1:21" ht="43.2" x14ac:dyDescent="0.55000000000000004">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16">
        <f t="shared" si="367"/>
        <v>1</v>
      </c>
      <c r="Q3953" t="str">
        <f t="shared" si="370"/>
        <v>theater</v>
      </c>
      <c r="R3953" t="str">
        <f t="shared" si="371"/>
        <v>plays</v>
      </c>
      <c r="S3953" s="4">
        <f t="shared" si="368"/>
        <v>42433.825717592597</v>
      </c>
      <c r="T3953" s="4">
        <f t="shared" si="369"/>
        <v>42493.784050925926</v>
      </c>
      <c r="U3953" s="5">
        <f>VLOOKUP(currency,Tables!$A$1:$C$14,3,FALSE)*pledged</f>
        <v>1.18</v>
      </c>
    </row>
    <row r="3954" spans="1:21" ht="43.2" x14ac:dyDescent="0.55000000000000004">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16">
        <f t="shared" si="367"/>
        <v>25</v>
      </c>
      <c r="Q3954" t="str">
        <f t="shared" si="370"/>
        <v>theater</v>
      </c>
      <c r="R3954" t="str">
        <f t="shared" si="371"/>
        <v>plays</v>
      </c>
      <c r="S3954" s="4">
        <f t="shared" si="368"/>
        <v>42243.790393518517</v>
      </c>
      <c r="T3954" s="4">
        <f t="shared" si="369"/>
        <v>42303.790393518517</v>
      </c>
      <c r="U3954" s="5">
        <f>VLOOKUP(currency,Tables!$A$1:$C$14,3,FALSE)*pledged</f>
        <v>25</v>
      </c>
    </row>
    <row r="3955" spans="1:21" ht="43.2" x14ac:dyDescent="0.55000000000000004">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366"/>
        <v>0</v>
      </c>
      <c r="P3955" s="16">
        <f t="shared" si="367"/>
        <v>0</v>
      </c>
      <c r="Q3955" t="str">
        <f t="shared" si="370"/>
        <v>theater</v>
      </c>
      <c r="R3955" t="str">
        <f t="shared" si="371"/>
        <v>plays</v>
      </c>
      <c r="S3955" s="4">
        <f t="shared" si="368"/>
        <v>42550.048449074078</v>
      </c>
      <c r="T3955" s="4">
        <f t="shared" si="369"/>
        <v>42580.978472222225</v>
      </c>
      <c r="U3955" s="5">
        <f>VLOOKUP(currency,Tables!$A$1:$C$14,3,FALSE)*pledged</f>
        <v>0</v>
      </c>
    </row>
    <row r="3956" spans="1:21" ht="43.2" x14ac:dyDescent="0.55000000000000004">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366"/>
        <v>0</v>
      </c>
      <c r="P3956" s="16">
        <f t="shared" si="367"/>
        <v>0</v>
      </c>
      <c r="Q3956" t="str">
        <f t="shared" si="370"/>
        <v>theater</v>
      </c>
      <c r="R3956" t="str">
        <f t="shared" si="371"/>
        <v>plays</v>
      </c>
      <c r="S3956" s="4">
        <f t="shared" si="368"/>
        <v>41774.651203703703</v>
      </c>
      <c r="T3956" s="4">
        <f t="shared" si="369"/>
        <v>41834.651203703703</v>
      </c>
      <c r="U3956" s="5">
        <f>VLOOKUP(currency,Tables!$A$1:$C$14,3,FALSE)*pledged</f>
        <v>0</v>
      </c>
    </row>
    <row r="3957" spans="1:21" ht="43.2" x14ac:dyDescent="0.55000000000000004">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16">
        <f t="shared" si="367"/>
        <v>53.125</v>
      </c>
      <c r="Q3957" t="str">
        <f t="shared" si="370"/>
        <v>theater</v>
      </c>
      <c r="R3957" t="str">
        <f t="shared" si="371"/>
        <v>plays</v>
      </c>
      <c r="S3957" s="4">
        <f t="shared" si="368"/>
        <v>42306.848854166667</v>
      </c>
      <c r="T3957" s="4">
        <f t="shared" si="369"/>
        <v>42336.890520833331</v>
      </c>
      <c r="U3957" s="5">
        <f>VLOOKUP(currency,Tables!$A$1:$C$14,3,FALSE)*pledged</f>
        <v>425</v>
      </c>
    </row>
    <row r="3958" spans="1:21" ht="43.2" x14ac:dyDescent="0.55000000000000004">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366"/>
        <v>0</v>
      </c>
      <c r="P3958" s="16">
        <f t="shared" si="367"/>
        <v>0</v>
      </c>
      <c r="Q3958" t="str">
        <f t="shared" si="370"/>
        <v>theater</v>
      </c>
      <c r="R3958" t="str">
        <f t="shared" si="371"/>
        <v>plays</v>
      </c>
      <c r="S3958" s="4">
        <f t="shared" si="368"/>
        <v>42457.932025462964</v>
      </c>
      <c r="T3958" s="4">
        <f t="shared" si="369"/>
        <v>42485.013888888891</v>
      </c>
      <c r="U3958" s="5">
        <f>VLOOKUP(currency,Tables!$A$1:$C$14,3,FALSE)*pledged</f>
        <v>0</v>
      </c>
    </row>
    <row r="3959" spans="1:21" ht="43.2" x14ac:dyDescent="0.55000000000000004">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16">
        <f t="shared" si="367"/>
        <v>7</v>
      </c>
      <c r="Q3959" t="str">
        <f t="shared" si="370"/>
        <v>theater</v>
      </c>
      <c r="R3959" t="str">
        <f t="shared" si="371"/>
        <v>plays</v>
      </c>
      <c r="S3959" s="4">
        <f t="shared" si="368"/>
        <v>42513.976319444439</v>
      </c>
      <c r="T3959" s="4">
        <f t="shared" si="369"/>
        <v>42559.976319444439</v>
      </c>
      <c r="U3959" s="5">
        <f>VLOOKUP(currency,Tables!$A$1:$C$14,3,FALSE)*pledged</f>
        <v>7</v>
      </c>
    </row>
    <row r="3960" spans="1:21" ht="43.2" x14ac:dyDescent="0.55000000000000004">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16">
        <f t="shared" si="367"/>
        <v>40.0625</v>
      </c>
      <c r="Q3960" t="str">
        <f t="shared" si="370"/>
        <v>theater</v>
      </c>
      <c r="R3960" t="str">
        <f t="shared" si="371"/>
        <v>plays</v>
      </c>
      <c r="S3960" s="4">
        <f t="shared" si="368"/>
        <v>41816.950370370374</v>
      </c>
      <c r="T3960" s="4">
        <f t="shared" si="369"/>
        <v>41853.583333333336</v>
      </c>
      <c r="U3960" s="5">
        <f>VLOOKUP(currency,Tables!$A$1:$C$14,3,FALSE)*pledged</f>
        <v>641</v>
      </c>
    </row>
    <row r="3961" spans="1:21" ht="43.2" x14ac:dyDescent="0.55000000000000004">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16">
        <f t="shared" si="367"/>
        <v>24.333333333333332</v>
      </c>
      <c r="Q3961" t="str">
        <f t="shared" si="370"/>
        <v>theater</v>
      </c>
      <c r="R3961" t="str">
        <f t="shared" si="371"/>
        <v>plays</v>
      </c>
      <c r="S3961" s="4">
        <f t="shared" si="368"/>
        <v>41880.788842592592</v>
      </c>
      <c r="T3961" s="4">
        <f t="shared" si="369"/>
        <v>41910.788842592592</v>
      </c>
      <c r="U3961" s="5">
        <f>VLOOKUP(currency,Tables!$A$1:$C$14,3,FALSE)*pledged</f>
        <v>292</v>
      </c>
    </row>
    <row r="3962" spans="1:21" ht="43.2" x14ac:dyDescent="0.55000000000000004">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16">
        <f t="shared" si="367"/>
        <v>11.25</v>
      </c>
      <c r="Q3962" t="str">
        <f t="shared" si="370"/>
        <v>theater</v>
      </c>
      <c r="R3962" t="str">
        <f t="shared" si="371"/>
        <v>plays</v>
      </c>
      <c r="S3962" s="4">
        <f t="shared" si="368"/>
        <v>42342.845555555556</v>
      </c>
      <c r="T3962" s="4">
        <f t="shared" si="369"/>
        <v>42372.845555555556</v>
      </c>
      <c r="U3962" s="5">
        <f>VLOOKUP(currency,Tables!$A$1:$C$14,3,FALSE)*pledged</f>
        <v>45</v>
      </c>
    </row>
    <row r="3963" spans="1:21" ht="43.2" x14ac:dyDescent="0.55000000000000004">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16">
        <f t="shared" si="367"/>
        <v>10.5</v>
      </c>
      <c r="Q3963" t="str">
        <f t="shared" si="370"/>
        <v>theater</v>
      </c>
      <c r="R3963" t="str">
        <f t="shared" si="371"/>
        <v>plays</v>
      </c>
      <c r="S3963" s="4">
        <f t="shared" si="368"/>
        <v>41745.891319444447</v>
      </c>
      <c r="T3963" s="4">
        <f t="shared" si="369"/>
        <v>41767.891319444447</v>
      </c>
      <c r="U3963" s="5">
        <f>VLOOKUP(currency,Tables!$A$1:$C$14,3,FALSE)*pledged</f>
        <v>27.720000000000002</v>
      </c>
    </row>
    <row r="3964" spans="1:21" ht="43.2" x14ac:dyDescent="0.55000000000000004">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16">
        <f t="shared" si="367"/>
        <v>15</v>
      </c>
      <c r="Q3964" t="str">
        <f t="shared" si="370"/>
        <v>theater</v>
      </c>
      <c r="R3964" t="str">
        <f t="shared" si="371"/>
        <v>plays</v>
      </c>
      <c r="S3964" s="4">
        <f t="shared" si="368"/>
        <v>42311.621458333335</v>
      </c>
      <c r="T3964" s="4">
        <f t="shared" si="369"/>
        <v>42336.621458333335</v>
      </c>
      <c r="U3964" s="5">
        <f>VLOOKUP(currency,Tables!$A$1:$C$14,3,FALSE)*pledged</f>
        <v>59.400000000000006</v>
      </c>
    </row>
    <row r="3965" spans="1:21" ht="43.2" x14ac:dyDescent="0.55000000000000004">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366"/>
        <v>0</v>
      </c>
      <c r="P3965" s="16">
        <f t="shared" si="367"/>
        <v>0</v>
      </c>
      <c r="Q3965" t="str">
        <f t="shared" si="370"/>
        <v>theater</v>
      </c>
      <c r="R3965" t="str">
        <f t="shared" si="371"/>
        <v>plays</v>
      </c>
      <c r="S3965" s="4">
        <f t="shared" si="368"/>
        <v>42296.154131944444</v>
      </c>
      <c r="T3965" s="4">
        <f t="shared" si="369"/>
        <v>42326.195798611108</v>
      </c>
      <c r="U3965" s="5">
        <f>VLOOKUP(currency,Tables!$A$1:$C$14,3,FALSE)*pledged</f>
        <v>0</v>
      </c>
    </row>
    <row r="3966" spans="1:21" ht="43.2" x14ac:dyDescent="0.55000000000000004">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366"/>
        <v>6.3E-2</v>
      </c>
      <c r="P3966" s="16">
        <f t="shared" si="367"/>
        <v>42</v>
      </c>
      <c r="Q3966" t="str">
        <f t="shared" si="370"/>
        <v>theater</v>
      </c>
      <c r="R3966" t="str">
        <f t="shared" si="371"/>
        <v>plays</v>
      </c>
      <c r="S3966" s="4">
        <f t="shared" si="368"/>
        <v>42053.722060185188</v>
      </c>
      <c r="T3966" s="4">
        <f t="shared" si="369"/>
        <v>42113.680393518516</v>
      </c>
      <c r="U3966" s="5">
        <f>VLOOKUP(currency,Tables!$A$1:$C$14,3,FALSE)*pledged</f>
        <v>126</v>
      </c>
    </row>
    <row r="3967" spans="1:21" ht="43.2" x14ac:dyDescent="0.55000000000000004">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16">
        <f t="shared" si="367"/>
        <v>71.25</v>
      </c>
      <c r="Q3967" t="str">
        <f t="shared" si="370"/>
        <v>theater</v>
      </c>
      <c r="R3967" t="str">
        <f t="shared" si="371"/>
        <v>plays</v>
      </c>
      <c r="S3967" s="4">
        <f t="shared" si="368"/>
        <v>42414.235879629632</v>
      </c>
      <c r="T3967" s="4">
        <f t="shared" si="369"/>
        <v>42474.194212962961</v>
      </c>
      <c r="U3967" s="5">
        <f>VLOOKUP(currency,Tables!$A$1:$C$14,3,FALSE)*pledged</f>
        <v>285</v>
      </c>
    </row>
    <row r="3968" spans="1:21" ht="43.2" x14ac:dyDescent="0.55000000000000004">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16">
        <f t="shared" si="367"/>
        <v>22.5</v>
      </c>
      <c r="Q3968" t="str">
        <f t="shared" si="370"/>
        <v>theater</v>
      </c>
      <c r="R3968" t="str">
        <f t="shared" si="371"/>
        <v>plays</v>
      </c>
      <c r="S3968" s="4">
        <f t="shared" si="368"/>
        <v>41801.711550925924</v>
      </c>
      <c r="T3968" s="4">
        <f t="shared" si="369"/>
        <v>41844.124305555553</v>
      </c>
      <c r="U3968" s="5">
        <f>VLOOKUP(currency,Tables!$A$1:$C$14,3,FALSE)*pledged</f>
        <v>45</v>
      </c>
    </row>
    <row r="3969" spans="1:21" ht="43.2" x14ac:dyDescent="0.55000000000000004">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16">
        <f t="shared" si="367"/>
        <v>41</v>
      </c>
      <c r="Q3969" t="str">
        <f t="shared" si="370"/>
        <v>theater</v>
      </c>
      <c r="R3969" t="str">
        <f t="shared" si="371"/>
        <v>plays</v>
      </c>
      <c r="S3969" s="4">
        <f t="shared" si="368"/>
        <v>42770.290590277778</v>
      </c>
      <c r="T3969" s="4">
        <f t="shared" si="369"/>
        <v>42800.290590277778</v>
      </c>
      <c r="U3969" s="5">
        <f>VLOOKUP(currency,Tables!$A$1:$C$14,3,FALSE)*pledged</f>
        <v>410</v>
      </c>
    </row>
    <row r="3970" spans="1:21" ht="43.2" x14ac:dyDescent="0.55000000000000004">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ref="O3970:O4033" si="372">pledged/goal</f>
        <v>0.10539999999999999</v>
      </c>
      <c r="P3970" s="16">
        <f t="shared" ref="P3970:P4033" si="373">IF(pledged=0,0,pledged/backers_count)</f>
        <v>47.909090909090907</v>
      </c>
      <c r="Q3970" t="str">
        <f t="shared" si="370"/>
        <v>theater</v>
      </c>
      <c r="R3970" t="str">
        <f t="shared" si="371"/>
        <v>plays</v>
      </c>
      <c r="S3970" s="4">
        <f t="shared" ref="S3970:S4033" si="374">(((Unix_launched_date/60)/60)/24)+DATE(1970,1,1)</f>
        <v>42452.815659722226</v>
      </c>
      <c r="T3970" s="4">
        <f t="shared" ref="T3970:T4033" si="375">(((Unix_deadline/60)/60)/24)+DATE(1970,1,1)</f>
        <v>42512.815659722226</v>
      </c>
      <c r="U3970" s="5">
        <f>VLOOKUP(currency,Tables!$A$1:$C$14,3,FALSE)*pledged</f>
        <v>527</v>
      </c>
    </row>
    <row r="3971" spans="1:21" ht="43.2" x14ac:dyDescent="0.55000000000000004">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si="372"/>
        <v>7.4690265486725665E-2</v>
      </c>
      <c r="P3971" s="16">
        <f t="shared" si="373"/>
        <v>35.166666666666664</v>
      </c>
      <c r="Q3971" t="str">
        <f t="shared" ref="Q3971:Q4034" si="376">LEFT(N3971,FIND("/",N3971,1)-1)</f>
        <v>theater</v>
      </c>
      <c r="R3971" t="str">
        <f t="shared" ref="R3971:R4034" si="377">RIGHT(N3971,(LEN(N3971)-FIND("/",N3971,1)))</f>
        <v>plays</v>
      </c>
      <c r="S3971" s="4">
        <f t="shared" si="374"/>
        <v>42601.854699074072</v>
      </c>
      <c r="T3971" s="4">
        <f t="shared" si="375"/>
        <v>42611.163194444445</v>
      </c>
      <c r="U3971" s="5">
        <f>VLOOKUP(currency,Tables!$A$1:$C$14,3,FALSE)*pledged</f>
        <v>211</v>
      </c>
    </row>
    <row r="3972" spans="1:21" ht="57.6" x14ac:dyDescent="0.55000000000000004">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16">
        <f t="shared" si="373"/>
        <v>5.5</v>
      </c>
      <c r="Q3972" t="str">
        <f t="shared" si="376"/>
        <v>theater</v>
      </c>
      <c r="R3972" t="str">
        <f t="shared" si="377"/>
        <v>plays</v>
      </c>
      <c r="S3972" s="4">
        <f t="shared" si="374"/>
        <v>42447.863553240735</v>
      </c>
      <c r="T3972" s="4">
        <f t="shared" si="375"/>
        <v>42477.863553240735</v>
      </c>
      <c r="U3972" s="5">
        <f>VLOOKUP(currency,Tables!$A$1:$C$14,3,FALSE)*pledged</f>
        <v>11</v>
      </c>
    </row>
    <row r="3973" spans="1:21" ht="43.2" x14ac:dyDescent="0.55000000000000004">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16">
        <f t="shared" si="373"/>
        <v>22.666666666666668</v>
      </c>
      <c r="Q3973" t="str">
        <f t="shared" si="376"/>
        <v>theater</v>
      </c>
      <c r="R3973" t="str">
        <f t="shared" si="377"/>
        <v>plays</v>
      </c>
      <c r="S3973" s="4">
        <f t="shared" si="374"/>
        <v>41811.536180555559</v>
      </c>
      <c r="T3973" s="4">
        <f t="shared" si="375"/>
        <v>41841.536180555559</v>
      </c>
      <c r="U3973" s="5">
        <f>VLOOKUP(currency,Tables!$A$1:$C$14,3,FALSE)*pledged</f>
        <v>136</v>
      </c>
    </row>
    <row r="3974" spans="1:21" ht="43.2" x14ac:dyDescent="0.55000000000000004">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16">
        <f t="shared" si="373"/>
        <v>26.375</v>
      </c>
      <c r="Q3974" t="str">
        <f t="shared" si="376"/>
        <v>theater</v>
      </c>
      <c r="R3974" t="str">
        <f t="shared" si="377"/>
        <v>plays</v>
      </c>
      <c r="S3974" s="4">
        <f t="shared" si="374"/>
        <v>41981.067523148144</v>
      </c>
      <c r="T3974" s="4">
        <f t="shared" si="375"/>
        <v>42041.067523148144</v>
      </c>
      <c r="U3974" s="5">
        <f>VLOOKUP(currency,Tables!$A$1:$C$14,3,FALSE)*pledged</f>
        <v>211</v>
      </c>
    </row>
    <row r="3975" spans="1:21" ht="43.2" x14ac:dyDescent="0.55000000000000004">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16">
        <f t="shared" si="373"/>
        <v>105.54054054054055</v>
      </c>
      <c r="Q3975" t="str">
        <f t="shared" si="376"/>
        <v>theater</v>
      </c>
      <c r="R3975" t="str">
        <f t="shared" si="377"/>
        <v>plays</v>
      </c>
      <c r="S3975" s="4">
        <f t="shared" si="374"/>
        <v>42469.68414351852</v>
      </c>
      <c r="T3975" s="4">
        <f t="shared" si="375"/>
        <v>42499.166666666672</v>
      </c>
      <c r="U3975" s="5">
        <f>VLOOKUP(currency,Tables!$A$1:$C$14,3,FALSE)*pledged</f>
        <v>3905</v>
      </c>
    </row>
    <row r="3976" spans="1:21" ht="43.2" x14ac:dyDescent="0.55000000000000004">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372"/>
        <v>0.32</v>
      </c>
      <c r="P3976" s="16">
        <f t="shared" si="373"/>
        <v>29.09090909090909</v>
      </c>
      <c r="Q3976" t="str">
        <f t="shared" si="376"/>
        <v>theater</v>
      </c>
      <c r="R3976" t="str">
        <f t="shared" si="377"/>
        <v>plays</v>
      </c>
      <c r="S3976" s="4">
        <f t="shared" si="374"/>
        <v>42493.546851851846</v>
      </c>
      <c r="T3976" s="4">
        <f t="shared" si="375"/>
        <v>42523.546851851846</v>
      </c>
      <c r="U3976" s="5">
        <f>VLOOKUP(currency,Tables!$A$1:$C$14,3,FALSE)*pledged</f>
        <v>422.40000000000003</v>
      </c>
    </row>
    <row r="3977" spans="1:21" ht="43.2" x14ac:dyDescent="0.55000000000000004">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372"/>
        <v>0</v>
      </c>
      <c r="P3977" s="16">
        <f t="shared" si="373"/>
        <v>0</v>
      </c>
      <c r="Q3977" t="str">
        <f t="shared" si="376"/>
        <v>theater</v>
      </c>
      <c r="R3977" t="str">
        <f t="shared" si="377"/>
        <v>plays</v>
      </c>
      <c r="S3977" s="4">
        <f t="shared" si="374"/>
        <v>42534.866875</v>
      </c>
      <c r="T3977" s="4">
        <f t="shared" si="375"/>
        <v>42564.866875</v>
      </c>
      <c r="U3977" s="5">
        <f>VLOOKUP(currency,Tables!$A$1:$C$14,3,FALSE)*pledged</f>
        <v>0</v>
      </c>
    </row>
    <row r="3978" spans="1:21" ht="43.2" x14ac:dyDescent="0.55000000000000004">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16">
        <f t="shared" si="373"/>
        <v>62</v>
      </c>
      <c r="Q3978" t="str">
        <f t="shared" si="376"/>
        <v>theater</v>
      </c>
      <c r="R3978" t="str">
        <f t="shared" si="377"/>
        <v>plays</v>
      </c>
      <c r="S3978" s="4">
        <f t="shared" si="374"/>
        <v>41830.858344907407</v>
      </c>
      <c r="T3978" s="4">
        <f t="shared" si="375"/>
        <v>41852.291666666664</v>
      </c>
      <c r="U3978" s="5">
        <f>VLOOKUP(currency,Tables!$A$1:$C$14,3,FALSE)*pledged</f>
        <v>620</v>
      </c>
    </row>
    <row r="3979" spans="1:21" ht="43.2" x14ac:dyDescent="0.55000000000000004">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16">
        <f t="shared" si="373"/>
        <v>217.5</v>
      </c>
      <c r="Q3979" t="str">
        <f t="shared" si="376"/>
        <v>theater</v>
      </c>
      <c r="R3979" t="str">
        <f t="shared" si="377"/>
        <v>plays</v>
      </c>
      <c r="S3979" s="4">
        <f t="shared" si="374"/>
        <v>42543.788564814815</v>
      </c>
      <c r="T3979" s="4">
        <f t="shared" si="375"/>
        <v>42573.788564814815</v>
      </c>
      <c r="U3979" s="5">
        <f>VLOOKUP(currency,Tables!$A$1:$C$14,3,FALSE)*pledged</f>
        <v>1305</v>
      </c>
    </row>
    <row r="3980" spans="1:21" ht="43.2" x14ac:dyDescent="0.55000000000000004">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372"/>
        <v>0.107</v>
      </c>
      <c r="P3980" s="16">
        <f t="shared" si="373"/>
        <v>26.75</v>
      </c>
      <c r="Q3980" t="str">
        <f t="shared" si="376"/>
        <v>theater</v>
      </c>
      <c r="R3980" t="str">
        <f t="shared" si="377"/>
        <v>plays</v>
      </c>
      <c r="S3980" s="4">
        <f t="shared" si="374"/>
        <v>41975.642974537041</v>
      </c>
      <c r="T3980" s="4">
        <f t="shared" si="375"/>
        <v>42035.642974537041</v>
      </c>
      <c r="U3980" s="5">
        <f>VLOOKUP(currency,Tables!$A$1:$C$14,3,FALSE)*pledged</f>
        <v>214</v>
      </c>
    </row>
    <row r="3981" spans="1:21" ht="43.2" x14ac:dyDescent="0.55000000000000004">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16">
        <f t="shared" si="373"/>
        <v>18.333333333333332</v>
      </c>
      <c r="Q3981" t="str">
        <f t="shared" si="376"/>
        <v>theater</v>
      </c>
      <c r="R3981" t="str">
        <f t="shared" si="377"/>
        <v>plays</v>
      </c>
      <c r="S3981" s="4">
        <f t="shared" si="374"/>
        <v>42069.903437500005</v>
      </c>
      <c r="T3981" s="4">
        <f t="shared" si="375"/>
        <v>42092.833333333328</v>
      </c>
      <c r="U3981" s="5">
        <f>VLOOKUP(currency,Tables!$A$1:$C$14,3,FALSE)*pledged</f>
        <v>145.20000000000002</v>
      </c>
    </row>
    <row r="3982" spans="1:21" ht="43.2" x14ac:dyDescent="0.55000000000000004">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372"/>
        <v>0.18</v>
      </c>
      <c r="P3982" s="16">
        <f t="shared" si="373"/>
        <v>64.285714285714292</v>
      </c>
      <c r="Q3982" t="str">
        <f t="shared" si="376"/>
        <v>theater</v>
      </c>
      <c r="R3982" t="str">
        <f t="shared" si="377"/>
        <v>plays</v>
      </c>
      <c r="S3982" s="4">
        <f t="shared" si="374"/>
        <v>41795.598923611113</v>
      </c>
      <c r="T3982" s="4">
        <f t="shared" si="375"/>
        <v>41825.598923611113</v>
      </c>
      <c r="U3982" s="5">
        <f>VLOOKUP(currency,Tables!$A$1:$C$14,3,FALSE)*pledged</f>
        <v>450</v>
      </c>
    </row>
    <row r="3983" spans="1:21" ht="28.8" x14ac:dyDescent="0.55000000000000004">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16">
        <f t="shared" si="373"/>
        <v>175</v>
      </c>
      <c r="Q3983" t="str">
        <f t="shared" si="376"/>
        <v>theater</v>
      </c>
      <c r="R3983" t="str">
        <f t="shared" si="377"/>
        <v>plays</v>
      </c>
      <c r="S3983" s="4">
        <f t="shared" si="374"/>
        <v>42508.179965277777</v>
      </c>
      <c r="T3983" s="4">
        <f t="shared" si="375"/>
        <v>42568.179965277777</v>
      </c>
      <c r="U3983" s="5">
        <f>VLOOKUP(currency,Tables!$A$1:$C$14,3,FALSE)*pledged</f>
        <v>1225</v>
      </c>
    </row>
    <row r="3984" spans="1:21" ht="57.6" x14ac:dyDescent="0.55000000000000004">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372"/>
        <v>0.2</v>
      </c>
      <c r="P3984" s="16">
        <f t="shared" si="373"/>
        <v>34</v>
      </c>
      <c r="Q3984" t="str">
        <f t="shared" si="376"/>
        <v>theater</v>
      </c>
      <c r="R3984" t="str">
        <f t="shared" si="377"/>
        <v>plays</v>
      </c>
      <c r="S3984" s="4">
        <f t="shared" si="374"/>
        <v>42132.809953703705</v>
      </c>
      <c r="T3984" s="4">
        <f t="shared" si="375"/>
        <v>42192.809953703705</v>
      </c>
      <c r="U3984" s="5">
        <f>VLOOKUP(currency,Tables!$A$1:$C$14,3,FALSE)*pledged</f>
        <v>224.4</v>
      </c>
    </row>
    <row r="3985" spans="1:21" ht="43.2" x14ac:dyDescent="0.55000000000000004">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16">
        <f t="shared" si="373"/>
        <v>84.282608695652172</v>
      </c>
      <c r="Q3985" t="str">
        <f t="shared" si="376"/>
        <v>theater</v>
      </c>
      <c r="R3985" t="str">
        <f t="shared" si="377"/>
        <v>plays</v>
      </c>
      <c r="S3985" s="4">
        <f t="shared" si="374"/>
        <v>41747.86986111111</v>
      </c>
      <c r="T3985" s="4">
        <f t="shared" si="375"/>
        <v>41779.290972222225</v>
      </c>
      <c r="U3985" s="5">
        <f>VLOOKUP(currency,Tables!$A$1:$C$14,3,FALSE)*pledged</f>
        <v>3877</v>
      </c>
    </row>
    <row r="3986" spans="1:21" ht="43.2" x14ac:dyDescent="0.55000000000000004">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16">
        <f t="shared" si="373"/>
        <v>9.5</v>
      </c>
      <c r="Q3986" t="str">
        <f t="shared" si="376"/>
        <v>theater</v>
      </c>
      <c r="R3986" t="str">
        <f t="shared" si="377"/>
        <v>plays</v>
      </c>
      <c r="S3986" s="4">
        <f t="shared" si="374"/>
        <v>41920.963472222218</v>
      </c>
      <c r="T3986" s="4">
        <f t="shared" si="375"/>
        <v>41951</v>
      </c>
      <c r="U3986" s="5">
        <f>VLOOKUP(currency,Tables!$A$1:$C$14,3,FALSE)*pledged</f>
        <v>125.4</v>
      </c>
    </row>
    <row r="3987" spans="1:21" ht="57.6" x14ac:dyDescent="0.55000000000000004">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16">
        <f t="shared" si="373"/>
        <v>33.736842105263158</v>
      </c>
      <c r="Q3987" t="str">
        <f t="shared" si="376"/>
        <v>theater</v>
      </c>
      <c r="R3987" t="str">
        <f t="shared" si="377"/>
        <v>plays</v>
      </c>
      <c r="S3987" s="4">
        <f t="shared" si="374"/>
        <v>42399.707407407404</v>
      </c>
      <c r="T3987" s="4">
        <f t="shared" si="375"/>
        <v>42420.878472222219</v>
      </c>
      <c r="U3987" s="5">
        <f>VLOOKUP(currency,Tables!$A$1:$C$14,3,FALSE)*pledged</f>
        <v>641</v>
      </c>
    </row>
    <row r="3988" spans="1:21" ht="43.2" x14ac:dyDescent="0.55000000000000004">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16">
        <f t="shared" si="373"/>
        <v>37.53846153846154</v>
      </c>
      <c r="Q3988" t="str">
        <f t="shared" si="376"/>
        <v>theater</v>
      </c>
      <c r="R3988" t="str">
        <f t="shared" si="377"/>
        <v>plays</v>
      </c>
      <c r="S3988" s="4">
        <f t="shared" si="374"/>
        <v>42467.548541666663</v>
      </c>
      <c r="T3988" s="4">
        <f t="shared" si="375"/>
        <v>42496.544444444444</v>
      </c>
      <c r="U3988" s="5">
        <f>VLOOKUP(currency,Tables!$A$1:$C$14,3,FALSE)*pledged</f>
        <v>644.16000000000008</v>
      </c>
    </row>
    <row r="3989" spans="1:21" ht="43.2" x14ac:dyDescent="0.55000000000000004">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372"/>
        <v>0.3775</v>
      </c>
      <c r="P3989" s="16">
        <f t="shared" si="373"/>
        <v>11.615384615384615</v>
      </c>
      <c r="Q3989" t="str">
        <f t="shared" si="376"/>
        <v>theater</v>
      </c>
      <c r="R3989" t="str">
        <f t="shared" si="377"/>
        <v>plays</v>
      </c>
      <c r="S3989" s="4">
        <f t="shared" si="374"/>
        <v>41765.92465277778</v>
      </c>
      <c r="T3989" s="4">
        <f t="shared" si="375"/>
        <v>41775.92465277778</v>
      </c>
      <c r="U3989" s="5">
        <f>VLOOKUP(currency,Tables!$A$1:$C$14,3,FALSE)*pledged</f>
        <v>199.32000000000002</v>
      </c>
    </row>
    <row r="3990" spans="1:21" ht="28.8" x14ac:dyDescent="0.55000000000000004">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16">
        <f t="shared" si="373"/>
        <v>8</v>
      </c>
      <c r="Q3990" t="str">
        <f t="shared" si="376"/>
        <v>theater</v>
      </c>
      <c r="R3990" t="str">
        <f t="shared" si="377"/>
        <v>plays</v>
      </c>
      <c r="S3990" s="4">
        <f t="shared" si="374"/>
        <v>42230.08116898148</v>
      </c>
      <c r="T3990" s="4">
        <f t="shared" si="375"/>
        <v>42245.08116898148</v>
      </c>
      <c r="U3990" s="5">
        <f>VLOOKUP(currency,Tables!$A$1:$C$14,3,FALSE)*pledged</f>
        <v>32</v>
      </c>
    </row>
    <row r="3991" spans="1:21" ht="43.2" x14ac:dyDescent="0.55000000000000004">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372"/>
        <v>0</v>
      </c>
      <c r="P3991" s="16">
        <f t="shared" si="373"/>
        <v>0</v>
      </c>
      <c r="Q3991" t="str">
        <f t="shared" si="376"/>
        <v>theater</v>
      </c>
      <c r="R3991" t="str">
        <f t="shared" si="377"/>
        <v>plays</v>
      </c>
      <c r="S3991" s="4">
        <f t="shared" si="374"/>
        <v>42286.749780092592</v>
      </c>
      <c r="T3991" s="4">
        <f t="shared" si="375"/>
        <v>42316.791446759264</v>
      </c>
      <c r="U3991" s="5">
        <f>VLOOKUP(currency,Tables!$A$1:$C$14,3,FALSE)*pledged</f>
        <v>0</v>
      </c>
    </row>
    <row r="3992" spans="1:21" ht="43.2" x14ac:dyDescent="0.55000000000000004">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16">
        <f t="shared" si="373"/>
        <v>23</v>
      </c>
      <c r="Q3992" t="str">
        <f t="shared" si="376"/>
        <v>theater</v>
      </c>
      <c r="R3992" t="str">
        <f t="shared" si="377"/>
        <v>plays</v>
      </c>
      <c r="S3992" s="4">
        <f t="shared" si="374"/>
        <v>42401.672372685185</v>
      </c>
      <c r="T3992" s="4">
        <f t="shared" si="375"/>
        <v>42431.672372685185</v>
      </c>
      <c r="U3992" s="5">
        <f>VLOOKUP(currency,Tables!$A$1:$C$14,3,FALSE)*pledged</f>
        <v>91.08</v>
      </c>
    </row>
    <row r="3993" spans="1:21" ht="28.8" x14ac:dyDescent="0.55000000000000004">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372"/>
        <v>0.2</v>
      </c>
      <c r="P3993" s="16">
        <f t="shared" si="373"/>
        <v>100</v>
      </c>
      <c r="Q3993" t="str">
        <f t="shared" si="376"/>
        <v>theater</v>
      </c>
      <c r="R3993" t="str">
        <f t="shared" si="377"/>
        <v>plays</v>
      </c>
      <c r="S3993" s="4">
        <f t="shared" si="374"/>
        <v>42125.644467592589</v>
      </c>
      <c r="T3993" s="4">
        <f t="shared" si="375"/>
        <v>42155.644467592589</v>
      </c>
      <c r="U3993" s="5">
        <f>VLOOKUP(currency,Tables!$A$1:$C$14,3,FALSE)*pledged</f>
        <v>100</v>
      </c>
    </row>
    <row r="3994" spans="1:21" ht="43.2" x14ac:dyDescent="0.55000000000000004">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16">
        <f t="shared" si="373"/>
        <v>60.111111111111114</v>
      </c>
      <c r="Q3994" t="str">
        <f t="shared" si="376"/>
        <v>theater</v>
      </c>
      <c r="R3994" t="str">
        <f t="shared" si="377"/>
        <v>plays</v>
      </c>
      <c r="S3994" s="4">
        <f t="shared" si="374"/>
        <v>42289.94049768518</v>
      </c>
      <c r="T3994" s="4">
        <f t="shared" si="375"/>
        <v>42349.982164351852</v>
      </c>
      <c r="U3994" s="5">
        <f>VLOOKUP(currency,Tables!$A$1:$C$14,3,FALSE)*pledged</f>
        <v>541</v>
      </c>
    </row>
    <row r="3995" spans="1:21" ht="43.2" x14ac:dyDescent="0.55000000000000004">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16">
        <f t="shared" si="373"/>
        <v>3</v>
      </c>
      <c r="Q3995" t="str">
        <f t="shared" si="376"/>
        <v>theater</v>
      </c>
      <c r="R3995" t="str">
        <f t="shared" si="377"/>
        <v>plays</v>
      </c>
      <c r="S3995" s="4">
        <f t="shared" si="374"/>
        <v>42107.864722222221</v>
      </c>
      <c r="T3995" s="4">
        <f t="shared" si="375"/>
        <v>42137.864722222221</v>
      </c>
      <c r="U3995" s="5">
        <f>VLOOKUP(currency,Tables!$A$1:$C$14,3,FALSE)*pledged</f>
        <v>3</v>
      </c>
    </row>
    <row r="3996" spans="1:21" ht="28.8" x14ac:dyDescent="0.55000000000000004">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16">
        <f t="shared" si="373"/>
        <v>5</v>
      </c>
      <c r="Q3996" t="str">
        <f t="shared" si="376"/>
        <v>theater</v>
      </c>
      <c r="R3996" t="str">
        <f t="shared" si="377"/>
        <v>plays</v>
      </c>
      <c r="S3996" s="4">
        <f t="shared" si="374"/>
        <v>41809.389930555553</v>
      </c>
      <c r="T3996" s="4">
        <f t="shared" si="375"/>
        <v>41839.389930555553</v>
      </c>
      <c r="U3996" s="5">
        <f>VLOOKUP(currency,Tables!$A$1:$C$14,3,FALSE)*pledged</f>
        <v>5</v>
      </c>
    </row>
    <row r="3997" spans="1:21" ht="43.2" x14ac:dyDescent="0.55000000000000004">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372"/>
        <v>0.35</v>
      </c>
      <c r="P3997" s="16">
        <f t="shared" si="373"/>
        <v>17.5</v>
      </c>
      <c r="Q3997" t="str">
        <f t="shared" si="376"/>
        <v>theater</v>
      </c>
      <c r="R3997" t="str">
        <f t="shared" si="377"/>
        <v>plays</v>
      </c>
      <c r="S3997" s="4">
        <f t="shared" si="374"/>
        <v>42019.683761574073</v>
      </c>
      <c r="T3997" s="4">
        <f t="shared" si="375"/>
        <v>42049.477083333331</v>
      </c>
      <c r="U3997" s="5">
        <f>VLOOKUP(currency,Tables!$A$1:$C$14,3,FALSE)*pledged</f>
        <v>92.4</v>
      </c>
    </row>
    <row r="3998" spans="1:21" ht="43.2" x14ac:dyDescent="0.55000000000000004">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16">
        <f t="shared" si="373"/>
        <v>29.235294117647058</v>
      </c>
      <c r="Q3998" t="str">
        <f t="shared" si="376"/>
        <v>theater</v>
      </c>
      <c r="R3998" t="str">
        <f t="shared" si="377"/>
        <v>plays</v>
      </c>
      <c r="S3998" s="4">
        <f t="shared" si="374"/>
        <v>41950.26694444444</v>
      </c>
      <c r="T3998" s="4">
        <f t="shared" si="375"/>
        <v>41963.669444444444</v>
      </c>
      <c r="U3998" s="5">
        <f>VLOOKUP(currency,Tables!$A$1:$C$14,3,FALSE)*pledged</f>
        <v>497</v>
      </c>
    </row>
    <row r="3999" spans="1:21" ht="43.2" x14ac:dyDescent="0.55000000000000004">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372"/>
        <v>0</v>
      </c>
      <c r="P3999" s="16">
        <f t="shared" si="373"/>
        <v>0</v>
      </c>
      <c r="Q3999" t="str">
        <f t="shared" si="376"/>
        <v>theater</v>
      </c>
      <c r="R3999" t="str">
        <f t="shared" si="377"/>
        <v>plays</v>
      </c>
      <c r="S3999" s="4">
        <f t="shared" si="374"/>
        <v>42069.391446759255</v>
      </c>
      <c r="T3999" s="4">
        <f t="shared" si="375"/>
        <v>42099.349780092598</v>
      </c>
      <c r="U3999" s="5">
        <f>VLOOKUP(currency,Tables!$A$1:$C$14,3,FALSE)*pledged</f>
        <v>0</v>
      </c>
    </row>
    <row r="4000" spans="1:21" ht="43.2" x14ac:dyDescent="0.55000000000000004">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16">
        <f t="shared" si="373"/>
        <v>59.583333333333336</v>
      </c>
      <c r="Q4000" t="str">
        <f t="shared" si="376"/>
        <v>theater</v>
      </c>
      <c r="R4000" t="str">
        <f t="shared" si="377"/>
        <v>plays</v>
      </c>
      <c r="S4000" s="4">
        <f t="shared" si="374"/>
        <v>42061.963263888887</v>
      </c>
      <c r="T4000" s="4">
        <f t="shared" si="375"/>
        <v>42091.921597222223</v>
      </c>
      <c r="U4000" s="5">
        <f>VLOOKUP(currency,Tables!$A$1:$C$14,3,FALSE)*pledged</f>
        <v>715</v>
      </c>
    </row>
    <row r="4001" spans="1:21" ht="43.2" x14ac:dyDescent="0.55000000000000004">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16">
        <f t="shared" si="373"/>
        <v>82.571428571428569</v>
      </c>
      <c r="Q4001" t="str">
        <f t="shared" si="376"/>
        <v>theater</v>
      </c>
      <c r="R4001" t="str">
        <f t="shared" si="377"/>
        <v>plays</v>
      </c>
      <c r="S4001" s="4">
        <f t="shared" si="374"/>
        <v>41842.828680555554</v>
      </c>
      <c r="T4001" s="4">
        <f t="shared" si="375"/>
        <v>41882.827650462961</v>
      </c>
      <c r="U4001" s="5">
        <f>VLOOKUP(currency,Tables!$A$1:$C$14,3,FALSE)*pledged</f>
        <v>1156</v>
      </c>
    </row>
    <row r="4002" spans="1:21" x14ac:dyDescent="0.55000000000000004">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372"/>
        <v>1.25E-3</v>
      </c>
      <c r="P4002" s="16">
        <f t="shared" si="373"/>
        <v>10</v>
      </c>
      <c r="Q4002" t="str">
        <f t="shared" si="376"/>
        <v>theater</v>
      </c>
      <c r="R4002" t="str">
        <f t="shared" si="377"/>
        <v>plays</v>
      </c>
      <c r="S4002" s="4">
        <f t="shared" si="374"/>
        <v>42437.64534722222</v>
      </c>
      <c r="T4002" s="4">
        <f t="shared" si="375"/>
        <v>42497.603680555556</v>
      </c>
      <c r="U4002" s="5">
        <f>VLOOKUP(currency,Tables!$A$1:$C$14,3,FALSE)*pledged</f>
        <v>10</v>
      </c>
    </row>
    <row r="4003" spans="1:21" ht="57.6" x14ac:dyDescent="0.55000000000000004">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16">
        <f t="shared" si="373"/>
        <v>32.357142857142854</v>
      </c>
      <c r="Q4003" t="str">
        <f t="shared" si="376"/>
        <v>theater</v>
      </c>
      <c r="R4003" t="str">
        <f t="shared" si="377"/>
        <v>plays</v>
      </c>
      <c r="S4003" s="4">
        <f t="shared" si="374"/>
        <v>42775.964212962965</v>
      </c>
      <c r="T4003" s="4">
        <f t="shared" si="375"/>
        <v>42795.791666666672</v>
      </c>
      <c r="U4003" s="5">
        <f>VLOOKUP(currency,Tables!$A$1:$C$14,3,FALSE)*pledged</f>
        <v>597.96</v>
      </c>
    </row>
    <row r="4004" spans="1:21" ht="43.2" x14ac:dyDescent="0.55000000000000004">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372"/>
        <v>1.84E-2</v>
      </c>
      <c r="P4004" s="16">
        <f t="shared" si="373"/>
        <v>5.75</v>
      </c>
      <c r="Q4004" t="str">
        <f t="shared" si="376"/>
        <v>theater</v>
      </c>
      <c r="R4004" t="str">
        <f t="shared" si="377"/>
        <v>plays</v>
      </c>
      <c r="S4004" s="4">
        <f t="shared" si="374"/>
        <v>41879.043530092589</v>
      </c>
      <c r="T4004" s="4">
        <f t="shared" si="375"/>
        <v>41909.043530092589</v>
      </c>
      <c r="U4004" s="5">
        <f>VLOOKUP(currency,Tables!$A$1:$C$14,3,FALSE)*pledged</f>
        <v>23</v>
      </c>
    </row>
    <row r="4005" spans="1:21" ht="43.2" x14ac:dyDescent="0.55000000000000004">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16">
        <f t="shared" si="373"/>
        <v>100.5</v>
      </c>
      <c r="Q4005" t="str">
        <f t="shared" si="376"/>
        <v>theater</v>
      </c>
      <c r="R4005" t="str">
        <f t="shared" si="377"/>
        <v>plays</v>
      </c>
      <c r="S4005" s="4">
        <f t="shared" si="374"/>
        <v>42020.587349537032</v>
      </c>
      <c r="T4005" s="4">
        <f t="shared" si="375"/>
        <v>42050.587349537032</v>
      </c>
      <c r="U4005" s="5">
        <f>VLOOKUP(currency,Tables!$A$1:$C$14,3,FALSE)*pledged</f>
        <v>201</v>
      </c>
    </row>
    <row r="4006" spans="1:21" x14ac:dyDescent="0.55000000000000004">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372"/>
        <v>2E-3</v>
      </c>
      <c r="P4006" s="16">
        <f t="shared" si="373"/>
        <v>1</v>
      </c>
      <c r="Q4006" t="str">
        <f t="shared" si="376"/>
        <v>theater</v>
      </c>
      <c r="R4006" t="str">
        <f t="shared" si="377"/>
        <v>plays</v>
      </c>
      <c r="S4006" s="4">
        <f t="shared" si="374"/>
        <v>41890.16269675926</v>
      </c>
      <c r="T4006" s="4">
        <f t="shared" si="375"/>
        <v>41920.16269675926</v>
      </c>
      <c r="U4006" s="5">
        <f>VLOOKUP(currency,Tables!$A$1:$C$14,3,FALSE)*pledged</f>
        <v>1</v>
      </c>
    </row>
    <row r="4007" spans="1:21" ht="43.2" x14ac:dyDescent="0.55000000000000004">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16">
        <f t="shared" si="373"/>
        <v>20</v>
      </c>
      <c r="Q4007" t="str">
        <f t="shared" si="376"/>
        <v>theater</v>
      </c>
      <c r="R4007" t="str">
        <f t="shared" si="377"/>
        <v>plays</v>
      </c>
      <c r="S4007" s="4">
        <f t="shared" si="374"/>
        <v>41872.807696759257</v>
      </c>
      <c r="T4007" s="4">
        <f t="shared" si="375"/>
        <v>41932.807696759257</v>
      </c>
      <c r="U4007" s="5">
        <f>VLOOKUP(currency,Tables!$A$1:$C$14,3,FALSE)*pledged</f>
        <v>40</v>
      </c>
    </row>
    <row r="4008" spans="1:21" ht="43.2" x14ac:dyDescent="0.55000000000000004">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16">
        <f t="shared" si="373"/>
        <v>2</v>
      </c>
      <c r="Q4008" t="str">
        <f t="shared" si="376"/>
        <v>theater</v>
      </c>
      <c r="R4008" t="str">
        <f t="shared" si="377"/>
        <v>plays</v>
      </c>
      <c r="S4008" s="4">
        <f t="shared" si="374"/>
        <v>42391.772997685184</v>
      </c>
      <c r="T4008" s="4">
        <f t="shared" si="375"/>
        <v>42416.772997685184</v>
      </c>
      <c r="U4008" s="5">
        <f>VLOOKUP(currency,Tables!$A$1:$C$14,3,FALSE)*pledged</f>
        <v>2</v>
      </c>
    </row>
    <row r="4009" spans="1:21" ht="43.2" x14ac:dyDescent="0.55000000000000004">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16">
        <f t="shared" si="373"/>
        <v>5</v>
      </c>
      <c r="Q4009" t="str">
        <f t="shared" si="376"/>
        <v>theater</v>
      </c>
      <c r="R4009" t="str">
        <f t="shared" si="377"/>
        <v>plays</v>
      </c>
      <c r="S4009" s="4">
        <f t="shared" si="374"/>
        <v>41848.772928240738</v>
      </c>
      <c r="T4009" s="4">
        <f t="shared" si="375"/>
        <v>41877.686111111114</v>
      </c>
      <c r="U4009" s="5">
        <f>VLOOKUP(currency,Tables!$A$1:$C$14,3,FALSE)*pledged</f>
        <v>5</v>
      </c>
    </row>
    <row r="4010" spans="1:21" ht="43.2" x14ac:dyDescent="0.55000000000000004">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372"/>
        <v>0.06</v>
      </c>
      <c r="P4010" s="16">
        <f t="shared" si="373"/>
        <v>15</v>
      </c>
      <c r="Q4010" t="str">
        <f t="shared" si="376"/>
        <v>theater</v>
      </c>
      <c r="R4010" t="str">
        <f t="shared" si="377"/>
        <v>plays</v>
      </c>
      <c r="S4010" s="4">
        <f t="shared" si="374"/>
        <v>42177.964201388888</v>
      </c>
      <c r="T4010" s="4">
        <f t="shared" si="375"/>
        <v>42207.964201388888</v>
      </c>
      <c r="U4010" s="5">
        <f>VLOOKUP(currency,Tables!$A$1:$C$14,3,FALSE)*pledged</f>
        <v>79.2</v>
      </c>
    </row>
    <row r="4011" spans="1:21" ht="43.2" x14ac:dyDescent="0.55000000000000004">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16">
        <f t="shared" si="373"/>
        <v>25</v>
      </c>
      <c r="Q4011" t="str">
        <f t="shared" si="376"/>
        <v>theater</v>
      </c>
      <c r="R4011" t="str">
        <f t="shared" si="377"/>
        <v>plays</v>
      </c>
      <c r="S4011" s="4">
        <f t="shared" si="374"/>
        <v>41851.700925925928</v>
      </c>
      <c r="T4011" s="4">
        <f t="shared" si="375"/>
        <v>41891.700925925928</v>
      </c>
      <c r="U4011" s="5">
        <f>VLOOKUP(currency,Tables!$A$1:$C$14,3,FALSE)*pledged</f>
        <v>99</v>
      </c>
    </row>
    <row r="4012" spans="1:21" ht="43.2" x14ac:dyDescent="0.55000000000000004">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16">
        <f t="shared" si="373"/>
        <v>45.842105263157897</v>
      </c>
      <c r="Q4012" t="str">
        <f t="shared" si="376"/>
        <v>theater</v>
      </c>
      <c r="R4012" t="str">
        <f t="shared" si="377"/>
        <v>plays</v>
      </c>
      <c r="S4012" s="4">
        <f t="shared" si="374"/>
        <v>41921.770439814813</v>
      </c>
      <c r="T4012" s="4">
        <f t="shared" si="375"/>
        <v>41938.770439814813</v>
      </c>
      <c r="U4012" s="5">
        <f>VLOOKUP(currency,Tables!$A$1:$C$14,3,FALSE)*pledged</f>
        <v>1742</v>
      </c>
    </row>
    <row r="4013" spans="1:21" ht="43.2" x14ac:dyDescent="0.55000000000000004">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16">
        <f t="shared" si="373"/>
        <v>4.75</v>
      </c>
      <c r="Q4013" t="str">
        <f t="shared" si="376"/>
        <v>theater</v>
      </c>
      <c r="R4013" t="str">
        <f t="shared" si="377"/>
        <v>plays</v>
      </c>
      <c r="S4013" s="4">
        <f t="shared" si="374"/>
        <v>42002.54488425926</v>
      </c>
      <c r="T4013" s="4">
        <f t="shared" si="375"/>
        <v>42032.54488425926</v>
      </c>
      <c r="U4013" s="5">
        <f>VLOOKUP(currency,Tables!$A$1:$C$14,3,FALSE)*pledged</f>
        <v>25.080000000000002</v>
      </c>
    </row>
    <row r="4014" spans="1:21" ht="57.6" x14ac:dyDescent="0.55000000000000004">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372"/>
        <v>0</v>
      </c>
      <c r="P4014" s="16">
        <f t="shared" si="373"/>
        <v>0</v>
      </c>
      <c r="Q4014" t="str">
        <f t="shared" si="376"/>
        <v>theater</v>
      </c>
      <c r="R4014" t="str">
        <f t="shared" si="377"/>
        <v>plays</v>
      </c>
      <c r="S4014" s="4">
        <f t="shared" si="374"/>
        <v>42096.544548611113</v>
      </c>
      <c r="T4014" s="4">
        <f t="shared" si="375"/>
        <v>42126.544548611113</v>
      </c>
      <c r="U4014" s="5">
        <f>VLOOKUP(currency,Tables!$A$1:$C$14,3,FALSE)*pledged</f>
        <v>0</v>
      </c>
    </row>
    <row r="4015" spans="1:21" ht="43.2" x14ac:dyDescent="0.55000000000000004">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16">
        <f t="shared" si="373"/>
        <v>13</v>
      </c>
      <c r="Q4015" t="str">
        <f t="shared" si="376"/>
        <v>theater</v>
      </c>
      <c r="R4015" t="str">
        <f t="shared" si="377"/>
        <v>plays</v>
      </c>
      <c r="S4015" s="4">
        <f t="shared" si="374"/>
        <v>42021.301192129627</v>
      </c>
      <c r="T4015" s="4">
        <f t="shared" si="375"/>
        <v>42051.301192129627</v>
      </c>
      <c r="U4015" s="5">
        <f>VLOOKUP(currency,Tables!$A$1:$C$14,3,FALSE)*pledged</f>
        <v>26</v>
      </c>
    </row>
    <row r="4016" spans="1:21" ht="43.2" x14ac:dyDescent="0.55000000000000004">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372"/>
        <v>0</v>
      </c>
      <c r="P4016" s="16">
        <f t="shared" si="373"/>
        <v>0</v>
      </c>
      <c r="Q4016" t="str">
        <f t="shared" si="376"/>
        <v>theater</v>
      </c>
      <c r="R4016" t="str">
        <f t="shared" si="377"/>
        <v>plays</v>
      </c>
      <c r="S4016" s="4">
        <f t="shared" si="374"/>
        <v>42419.246168981481</v>
      </c>
      <c r="T4016" s="4">
        <f t="shared" si="375"/>
        <v>42434.246168981481</v>
      </c>
      <c r="U4016" s="5">
        <f>VLOOKUP(currency,Tables!$A$1:$C$14,3,FALSE)*pledged</f>
        <v>0</v>
      </c>
    </row>
    <row r="4017" spans="1:21" ht="43.2" x14ac:dyDescent="0.55000000000000004">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16">
        <f t="shared" si="373"/>
        <v>1</v>
      </c>
      <c r="Q4017" t="str">
        <f t="shared" si="376"/>
        <v>theater</v>
      </c>
      <c r="R4017" t="str">
        <f t="shared" si="377"/>
        <v>plays</v>
      </c>
      <c r="S4017" s="4">
        <f t="shared" si="374"/>
        <v>42174.780821759254</v>
      </c>
      <c r="T4017" s="4">
        <f t="shared" si="375"/>
        <v>42204.780821759254</v>
      </c>
      <c r="U4017" s="5">
        <f>VLOOKUP(currency,Tables!$A$1:$C$14,3,FALSE)*pledged</f>
        <v>1</v>
      </c>
    </row>
    <row r="4018" spans="1:21" ht="43.2" x14ac:dyDescent="0.55000000000000004">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16">
        <f t="shared" si="373"/>
        <v>10</v>
      </c>
      <c r="Q4018" t="str">
        <f t="shared" si="376"/>
        <v>theater</v>
      </c>
      <c r="R4018" t="str">
        <f t="shared" si="377"/>
        <v>plays</v>
      </c>
      <c r="S4018" s="4">
        <f t="shared" si="374"/>
        <v>41869.872685185182</v>
      </c>
      <c r="T4018" s="4">
        <f t="shared" si="375"/>
        <v>41899.872685185182</v>
      </c>
      <c r="U4018" s="5">
        <f>VLOOKUP(currency,Tables!$A$1:$C$14,3,FALSE)*pledged</f>
        <v>92.4</v>
      </c>
    </row>
    <row r="4019" spans="1:21" ht="43.2" x14ac:dyDescent="0.55000000000000004">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16">
        <f t="shared" si="373"/>
        <v>52.5</v>
      </c>
      <c r="Q4019" t="str">
        <f t="shared" si="376"/>
        <v>theater</v>
      </c>
      <c r="R4019" t="str">
        <f t="shared" si="377"/>
        <v>plays</v>
      </c>
      <c r="S4019" s="4">
        <f t="shared" si="374"/>
        <v>41856.672152777777</v>
      </c>
      <c r="T4019" s="4">
        <f t="shared" si="375"/>
        <v>41886.672152777777</v>
      </c>
      <c r="U4019" s="5">
        <f>VLOOKUP(currency,Tables!$A$1:$C$14,3,FALSE)*pledged</f>
        <v>105</v>
      </c>
    </row>
    <row r="4020" spans="1:21" ht="28.8" x14ac:dyDescent="0.55000000000000004">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16">
        <f t="shared" si="373"/>
        <v>32.5</v>
      </c>
      <c r="Q4020" t="str">
        <f t="shared" si="376"/>
        <v>theater</v>
      </c>
      <c r="R4020" t="str">
        <f t="shared" si="377"/>
        <v>plays</v>
      </c>
      <c r="S4020" s="4">
        <f t="shared" si="374"/>
        <v>42620.91097222222</v>
      </c>
      <c r="T4020" s="4">
        <f t="shared" si="375"/>
        <v>42650.91097222222</v>
      </c>
      <c r="U4020" s="5">
        <f>VLOOKUP(currency,Tables!$A$1:$C$14,3,FALSE)*pledged</f>
        <v>171.6</v>
      </c>
    </row>
    <row r="4021" spans="1:21" ht="43.2" x14ac:dyDescent="0.55000000000000004">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16">
        <f t="shared" si="373"/>
        <v>7.25</v>
      </c>
      <c r="Q4021" t="str">
        <f t="shared" si="376"/>
        <v>theater</v>
      </c>
      <c r="R4021" t="str">
        <f t="shared" si="377"/>
        <v>plays</v>
      </c>
      <c r="S4021" s="4">
        <f t="shared" si="374"/>
        <v>42417.675879629634</v>
      </c>
      <c r="T4021" s="4">
        <f t="shared" si="375"/>
        <v>42475.686111111107</v>
      </c>
      <c r="U4021" s="5">
        <f>VLOOKUP(currency,Tables!$A$1:$C$14,3,FALSE)*pledged</f>
        <v>29</v>
      </c>
    </row>
    <row r="4022" spans="1:21" ht="43.2" x14ac:dyDescent="0.55000000000000004">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16">
        <f t="shared" si="373"/>
        <v>33.333333333333336</v>
      </c>
      <c r="Q4022" t="str">
        <f t="shared" si="376"/>
        <v>theater</v>
      </c>
      <c r="R4022" t="str">
        <f t="shared" si="377"/>
        <v>plays</v>
      </c>
      <c r="S4022" s="4">
        <f t="shared" si="374"/>
        <v>42057.190960648149</v>
      </c>
      <c r="T4022" s="4">
        <f t="shared" si="375"/>
        <v>42087.149293981478</v>
      </c>
      <c r="U4022" s="5">
        <f>VLOOKUP(currency,Tables!$A$1:$C$14,3,FALSE)*pledged</f>
        <v>100</v>
      </c>
    </row>
    <row r="4023" spans="1:21" ht="43.2" x14ac:dyDescent="0.55000000000000004">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16">
        <f t="shared" si="373"/>
        <v>62.5</v>
      </c>
      <c r="Q4023" t="str">
        <f t="shared" si="376"/>
        <v>theater</v>
      </c>
      <c r="R4023" t="str">
        <f t="shared" si="377"/>
        <v>plays</v>
      </c>
      <c r="S4023" s="4">
        <f t="shared" si="374"/>
        <v>41878.911550925928</v>
      </c>
      <c r="T4023" s="4">
        <f t="shared" si="375"/>
        <v>41938.911550925928</v>
      </c>
      <c r="U4023" s="5">
        <f>VLOOKUP(currency,Tables!$A$1:$C$14,3,FALSE)*pledged</f>
        <v>125</v>
      </c>
    </row>
    <row r="4024" spans="1:21" ht="28.8" x14ac:dyDescent="0.55000000000000004">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16">
        <f t="shared" si="373"/>
        <v>63.558375634517766</v>
      </c>
      <c r="Q4024" t="str">
        <f t="shared" si="376"/>
        <v>theater</v>
      </c>
      <c r="R4024" t="str">
        <f t="shared" si="377"/>
        <v>plays</v>
      </c>
      <c r="S4024" s="4">
        <f t="shared" si="374"/>
        <v>41990.584108796291</v>
      </c>
      <c r="T4024" s="4">
        <f t="shared" si="375"/>
        <v>42036.120833333334</v>
      </c>
      <c r="U4024" s="5">
        <f>VLOOKUP(currency,Tables!$A$1:$C$14,3,FALSE)*pledged</f>
        <v>12521</v>
      </c>
    </row>
    <row r="4025" spans="1:21" ht="43.2" x14ac:dyDescent="0.55000000000000004">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372"/>
        <v>0</v>
      </c>
      <c r="P4025" s="16">
        <f t="shared" si="373"/>
        <v>0</v>
      </c>
      <c r="Q4025" t="str">
        <f t="shared" si="376"/>
        <v>theater</v>
      </c>
      <c r="R4025" t="str">
        <f t="shared" si="377"/>
        <v>plays</v>
      </c>
      <c r="S4025" s="4">
        <f t="shared" si="374"/>
        <v>42408.999571759254</v>
      </c>
      <c r="T4025" s="4">
        <f t="shared" si="375"/>
        <v>42453.957905092597</v>
      </c>
      <c r="U4025" s="5">
        <f>VLOOKUP(currency,Tables!$A$1:$C$14,3,FALSE)*pledged</f>
        <v>0</v>
      </c>
    </row>
    <row r="4026" spans="1:21" ht="43.2" x14ac:dyDescent="0.55000000000000004">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16">
        <f t="shared" si="373"/>
        <v>10</v>
      </c>
      <c r="Q4026" t="str">
        <f t="shared" si="376"/>
        <v>theater</v>
      </c>
      <c r="R4026" t="str">
        <f t="shared" si="377"/>
        <v>plays</v>
      </c>
      <c r="S4026" s="4">
        <f t="shared" si="374"/>
        <v>42217.670104166667</v>
      </c>
      <c r="T4026" s="4">
        <f t="shared" si="375"/>
        <v>42247.670104166667</v>
      </c>
      <c r="U4026" s="5">
        <f>VLOOKUP(currency,Tables!$A$1:$C$14,3,FALSE)*pledged</f>
        <v>10</v>
      </c>
    </row>
    <row r="4027" spans="1:21" ht="43.2" x14ac:dyDescent="0.55000000000000004">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372"/>
        <v>0.05</v>
      </c>
      <c r="P4027" s="16">
        <f t="shared" si="373"/>
        <v>62.5</v>
      </c>
      <c r="Q4027" t="str">
        <f t="shared" si="376"/>
        <v>theater</v>
      </c>
      <c r="R4027" t="str">
        <f t="shared" si="377"/>
        <v>plays</v>
      </c>
      <c r="S4027" s="4">
        <f t="shared" si="374"/>
        <v>42151.237685185188</v>
      </c>
      <c r="T4027" s="4">
        <f t="shared" si="375"/>
        <v>42211.237685185188</v>
      </c>
      <c r="U4027" s="5">
        <f>VLOOKUP(currency,Tables!$A$1:$C$14,3,FALSE)*pledged</f>
        <v>295</v>
      </c>
    </row>
    <row r="4028" spans="1:21" ht="43.2" x14ac:dyDescent="0.55000000000000004">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372"/>
        <v>0</v>
      </c>
      <c r="P4028" s="16">
        <f t="shared" si="373"/>
        <v>0</v>
      </c>
      <c r="Q4028" t="str">
        <f t="shared" si="376"/>
        <v>theater</v>
      </c>
      <c r="R4028" t="str">
        <f t="shared" si="377"/>
        <v>plays</v>
      </c>
      <c r="S4028" s="4">
        <f t="shared" si="374"/>
        <v>42282.655543981484</v>
      </c>
      <c r="T4028" s="4">
        <f t="shared" si="375"/>
        <v>42342.697210648148</v>
      </c>
      <c r="U4028" s="5">
        <f>VLOOKUP(currency,Tables!$A$1:$C$14,3,FALSE)*pledged</f>
        <v>0</v>
      </c>
    </row>
    <row r="4029" spans="1:21" ht="43.2" x14ac:dyDescent="0.55000000000000004">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16">
        <f t="shared" si="373"/>
        <v>30.714285714285715</v>
      </c>
      <c r="Q4029" t="str">
        <f t="shared" si="376"/>
        <v>theater</v>
      </c>
      <c r="R4029" t="str">
        <f t="shared" si="377"/>
        <v>plays</v>
      </c>
      <c r="S4029" s="4">
        <f t="shared" si="374"/>
        <v>42768.97084490741</v>
      </c>
      <c r="T4029" s="4">
        <f t="shared" si="375"/>
        <v>42789.041666666672</v>
      </c>
      <c r="U4029" s="5">
        <f>VLOOKUP(currency,Tables!$A$1:$C$14,3,FALSE)*pledged</f>
        <v>215</v>
      </c>
    </row>
    <row r="4030" spans="1:21" ht="43.2" x14ac:dyDescent="0.55000000000000004">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16">
        <f t="shared" si="373"/>
        <v>51</v>
      </c>
      <c r="Q4030" t="str">
        <f t="shared" si="376"/>
        <v>theater</v>
      </c>
      <c r="R4030" t="str">
        <f t="shared" si="377"/>
        <v>plays</v>
      </c>
      <c r="S4030" s="4">
        <f t="shared" si="374"/>
        <v>41765.938657407409</v>
      </c>
      <c r="T4030" s="4">
        <f t="shared" si="375"/>
        <v>41795.938657407409</v>
      </c>
      <c r="U4030" s="5">
        <f>VLOOKUP(currency,Tables!$A$1:$C$14,3,FALSE)*pledged</f>
        <v>561</v>
      </c>
    </row>
    <row r="4031" spans="1:21" ht="43.2" x14ac:dyDescent="0.55000000000000004">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372"/>
        <v>0</v>
      </c>
      <c r="P4031" s="16">
        <f t="shared" si="373"/>
        <v>0</v>
      </c>
      <c r="Q4031" t="str">
        <f t="shared" si="376"/>
        <v>theater</v>
      </c>
      <c r="R4031" t="str">
        <f t="shared" si="377"/>
        <v>plays</v>
      </c>
      <c r="S4031" s="4">
        <f t="shared" si="374"/>
        <v>42322.025115740747</v>
      </c>
      <c r="T4031" s="4">
        <f t="shared" si="375"/>
        <v>42352.025115740747</v>
      </c>
      <c r="U4031" s="5">
        <f>VLOOKUP(currency,Tables!$A$1:$C$14,3,FALSE)*pledged</f>
        <v>0</v>
      </c>
    </row>
    <row r="4032" spans="1:21" ht="43.2" x14ac:dyDescent="0.55000000000000004">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372"/>
        <v>0.16</v>
      </c>
      <c r="P4032" s="16">
        <f t="shared" si="373"/>
        <v>66.666666666666671</v>
      </c>
      <c r="Q4032" t="str">
        <f t="shared" si="376"/>
        <v>theater</v>
      </c>
      <c r="R4032" t="str">
        <f t="shared" si="377"/>
        <v>plays</v>
      </c>
      <c r="S4032" s="4">
        <f t="shared" si="374"/>
        <v>42374.655081018514</v>
      </c>
      <c r="T4032" s="4">
        <f t="shared" si="375"/>
        <v>42403.784027777772</v>
      </c>
      <c r="U4032" s="5">
        <f>VLOOKUP(currency,Tables!$A$1:$C$14,3,FALSE)*pledged</f>
        <v>400</v>
      </c>
    </row>
    <row r="4033" spans="1:21" ht="43.2" x14ac:dyDescent="0.55000000000000004">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372"/>
        <v>0</v>
      </c>
      <c r="P4033" s="16">
        <f t="shared" si="373"/>
        <v>0</v>
      </c>
      <c r="Q4033" t="str">
        <f t="shared" si="376"/>
        <v>theater</v>
      </c>
      <c r="R4033" t="str">
        <f t="shared" si="377"/>
        <v>plays</v>
      </c>
      <c r="S4033" s="4">
        <f t="shared" si="374"/>
        <v>41941.585231481484</v>
      </c>
      <c r="T4033" s="4">
        <f t="shared" si="375"/>
        <v>41991.626898148148</v>
      </c>
      <c r="U4033" s="5">
        <f>VLOOKUP(currency,Tables!$A$1:$C$14,3,FALSE)*pledged</f>
        <v>0</v>
      </c>
    </row>
    <row r="4034" spans="1:21" ht="43.2" x14ac:dyDescent="0.55000000000000004">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ref="O4034:O4097" si="378">pledged/goal</f>
        <v>6.8287037037037035E-2</v>
      </c>
      <c r="P4034" s="16">
        <f t="shared" ref="P4034:P4097" si="379">IF(pledged=0,0,pledged/backers_count)</f>
        <v>59</v>
      </c>
      <c r="Q4034" t="str">
        <f t="shared" si="376"/>
        <v>theater</v>
      </c>
      <c r="R4034" t="str">
        <f t="shared" si="377"/>
        <v>plays</v>
      </c>
      <c r="S4034" s="4">
        <f t="shared" ref="S4034:S4097" si="380">(((Unix_launched_date/60)/60)/24)+DATE(1970,1,1)</f>
        <v>42293.809212962966</v>
      </c>
      <c r="T4034" s="4">
        <f t="shared" ref="T4034:T4097" si="381">(((Unix_deadline/60)/60)/24)+DATE(1970,1,1)</f>
        <v>42353.85087962963</v>
      </c>
      <c r="U4034" s="5">
        <f>VLOOKUP(currency,Tables!$A$1:$C$14,3,FALSE)*pledged</f>
        <v>413</v>
      </c>
    </row>
    <row r="4035" spans="1:21" ht="43.2" x14ac:dyDescent="0.55000000000000004">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si="378"/>
        <v>0.25698702928870293</v>
      </c>
      <c r="P4035" s="16">
        <f t="shared" si="379"/>
        <v>65.340319148936175</v>
      </c>
      <c r="Q4035" t="str">
        <f t="shared" ref="Q4035:Q4098" si="382">LEFT(N4035,FIND("/",N4035,1)-1)</f>
        <v>theater</v>
      </c>
      <c r="R4035" t="str">
        <f t="shared" ref="R4035:R4098" si="383">RIGHT(N4035,(LEN(N4035)-FIND("/",N4035,1)))</f>
        <v>plays</v>
      </c>
      <c r="S4035" s="4">
        <f t="shared" si="380"/>
        <v>42614.268796296295</v>
      </c>
      <c r="T4035" s="4">
        <f t="shared" si="381"/>
        <v>42645.375</v>
      </c>
      <c r="U4035" s="5">
        <f>VLOOKUP(currency,Tables!$A$1:$C$14,3,FALSE)*pledged</f>
        <v>8107.4268000000002</v>
      </c>
    </row>
    <row r="4036" spans="1:21" ht="43.2" x14ac:dyDescent="0.55000000000000004">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16">
        <f t="shared" si="379"/>
        <v>100</v>
      </c>
      <c r="Q4036" t="str">
        <f t="shared" si="382"/>
        <v>theater</v>
      </c>
      <c r="R4036" t="str">
        <f t="shared" si="383"/>
        <v>plays</v>
      </c>
      <c r="S4036" s="4">
        <f t="shared" si="380"/>
        <v>42067.947337962964</v>
      </c>
      <c r="T4036" s="4">
        <f t="shared" si="381"/>
        <v>42097.905671296292</v>
      </c>
      <c r="U4036" s="5">
        <f>VLOOKUP(currency,Tables!$A$1:$C$14,3,FALSE)*pledged</f>
        <v>200</v>
      </c>
    </row>
    <row r="4037" spans="1:21" ht="28.8" x14ac:dyDescent="0.55000000000000004">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16">
        <f t="shared" si="379"/>
        <v>147.4</v>
      </c>
      <c r="Q4037" t="str">
        <f t="shared" si="382"/>
        <v>theater</v>
      </c>
      <c r="R4037" t="str">
        <f t="shared" si="383"/>
        <v>plays</v>
      </c>
      <c r="S4037" s="4">
        <f t="shared" si="380"/>
        <v>41903.882951388885</v>
      </c>
      <c r="T4037" s="4">
        <f t="shared" si="381"/>
        <v>41933.882951388885</v>
      </c>
      <c r="U4037" s="5">
        <f>VLOOKUP(currency,Tables!$A$1:$C$14,3,FALSE)*pledged</f>
        <v>3685</v>
      </c>
    </row>
    <row r="4038" spans="1:21" ht="43.2" x14ac:dyDescent="0.55000000000000004">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16">
        <f t="shared" si="379"/>
        <v>166.05882352941177</v>
      </c>
      <c r="Q4038" t="str">
        <f t="shared" si="382"/>
        <v>theater</v>
      </c>
      <c r="R4038" t="str">
        <f t="shared" si="383"/>
        <v>plays</v>
      </c>
      <c r="S4038" s="4">
        <f t="shared" si="380"/>
        <v>41804.937083333331</v>
      </c>
      <c r="T4038" s="4">
        <f t="shared" si="381"/>
        <v>41821.9375</v>
      </c>
      <c r="U4038" s="5">
        <f>VLOOKUP(currency,Tables!$A$1:$C$14,3,FALSE)*pledged</f>
        <v>2823</v>
      </c>
    </row>
    <row r="4039" spans="1:21" ht="43.2" x14ac:dyDescent="0.55000000000000004">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16">
        <f t="shared" si="379"/>
        <v>40</v>
      </c>
      <c r="Q4039" t="str">
        <f t="shared" si="382"/>
        <v>theater</v>
      </c>
      <c r="R4039" t="str">
        <f t="shared" si="383"/>
        <v>plays</v>
      </c>
      <c r="S4039" s="4">
        <f t="shared" si="380"/>
        <v>42497.070775462969</v>
      </c>
      <c r="T4039" s="4">
        <f t="shared" si="381"/>
        <v>42514.600694444445</v>
      </c>
      <c r="U4039" s="5">
        <f>VLOOKUP(currency,Tables!$A$1:$C$14,3,FALSE)*pledged</f>
        <v>80</v>
      </c>
    </row>
    <row r="4040" spans="1:21" ht="43.2" x14ac:dyDescent="0.55000000000000004">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16">
        <f t="shared" si="379"/>
        <v>75.25</v>
      </c>
      <c r="Q4040" t="str">
        <f t="shared" si="382"/>
        <v>theater</v>
      </c>
      <c r="R4040" t="str">
        <f t="shared" si="383"/>
        <v>plays</v>
      </c>
      <c r="S4040" s="4">
        <f t="shared" si="380"/>
        <v>41869.798726851855</v>
      </c>
      <c r="T4040" s="4">
        <f t="shared" si="381"/>
        <v>41929.798726851855</v>
      </c>
      <c r="U4040" s="5">
        <f>VLOOKUP(currency,Tables!$A$1:$C$14,3,FALSE)*pledged</f>
        <v>301</v>
      </c>
    </row>
    <row r="4041" spans="1:21" ht="43.2" x14ac:dyDescent="0.55000000000000004">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378"/>
        <v>0.6</v>
      </c>
      <c r="P4041" s="16">
        <f t="shared" si="379"/>
        <v>60</v>
      </c>
      <c r="Q4041" t="str">
        <f t="shared" si="382"/>
        <v>theater</v>
      </c>
      <c r="R4041" t="str">
        <f t="shared" si="383"/>
        <v>plays</v>
      </c>
      <c r="S4041" s="4">
        <f t="shared" si="380"/>
        <v>42305.670914351853</v>
      </c>
      <c r="T4041" s="4">
        <f t="shared" si="381"/>
        <v>42339.249305555553</v>
      </c>
      <c r="U4041" s="5">
        <f>VLOOKUP(currency,Tables!$A$1:$C$14,3,FALSE)*pledged</f>
        <v>300</v>
      </c>
    </row>
    <row r="4042" spans="1:21" ht="43.2" x14ac:dyDescent="0.55000000000000004">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16">
        <f t="shared" si="379"/>
        <v>1250</v>
      </c>
      <c r="Q4042" t="str">
        <f t="shared" si="382"/>
        <v>theater</v>
      </c>
      <c r="R4042" t="str">
        <f t="shared" si="383"/>
        <v>plays</v>
      </c>
      <c r="S4042" s="4">
        <f t="shared" si="380"/>
        <v>42144.231527777782</v>
      </c>
      <c r="T4042" s="4">
        <f t="shared" si="381"/>
        <v>42203.125</v>
      </c>
      <c r="U4042" s="5">
        <f>VLOOKUP(currency,Tables!$A$1:$C$14,3,FALSE)*pledged</f>
        <v>2500</v>
      </c>
    </row>
    <row r="4043" spans="1:21" ht="28.8" x14ac:dyDescent="0.55000000000000004">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16">
        <f t="shared" si="379"/>
        <v>10.5</v>
      </c>
      <c r="Q4043" t="str">
        <f t="shared" si="382"/>
        <v>theater</v>
      </c>
      <c r="R4043" t="str">
        <f t="shared" si="383"/>
        <v>plays</v>
      </c>
      <c r="S4043" s="4">
        <f t="shared" si="380"/>
        <v>42559.474004629628</v>
      </c>
      <c r="T4043" s="4">
        <f t="shared" si="381"/>
        <v>42619.474004629628</v>
      </c>
      <c r="U4043" s="5">
        <f>VLOOKUP(currency,Tables!$A$1:$C$14,3,FALSE)*pledged</f>
        <v>27.720000000000002</v>
      </c>
    </row>
    <row r="4044" spans="1:21" ht="43.2" x14ac:dyDescent="0.55000000000000004">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16">
        <f t="shared" si="379"/>
        <v>7</v>
      </c>
      <c r="Q4044" t="str">
        <f t="shared" si="382"/>
        <v>theater</v>
      </c>
      <c r="R4044" t="str">
        <f t="shared" si="383"/>
        <v>plays</v>
      </c>
      <c r="S4044" s="4">
        <f t="shared" si="380"/>
        <v>41995.084074074075</v>
      </c>
      <c r="T4044" s="4">
        <f t="shared" si="381"/>
        <v>42024.802777777775</v>
      </c>
      <c r="U4044" s="5">
        <f>VLOOKUP(currency,Tables!$A$1:$C$14,3,FALSE)*pledged</f>
        <v>21</v>
      </c>
    </row>
    <row r="4045" spans="1:21" ht="43.2" x14ac:dyDescent="0.55000000000000004">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378"/>
        <v>0</v>
      </c>
      <c r="P4045" s="16">
        <f t="shared" si="379"/>
        <v>0</v>
      </c>
      <c r="Q4045" t="str">
        <f t="shared" si="382"/>
        <v>theater</v>
      </c>
      <c r="R4045" t="str">
        <f t="shared" si="383"/>
        <v>plays</v>
      </c>
      <c r="S4045" s="4">
        <f t="shared" si="380"/>
        <v>41948.957465277781</v>
      </c>
      <c r="T4045" s="4">
        <f t="shared" si="381"/>
        <v>41963.957465277781</v>
      </c>
      <c r="U4045" s="5">
        <f>VLOOKUP(currency,Tables!$A$1:$C$14,3,FALSE)*pledged</f>
        <v>0</v>
      </c>
    </row>
    <row r="4046" spans="1:21" ht="43.2" x14ac:dyDescent="0.55000000000000004">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378"/>
        <v>0.375</v>
      </c>
      <c r="P4046" s="16">
        <f t="shared" si="379"/>
        <v>56.25</v>
      </c>
      <c r="Q4046" t="str">
        <f t="shared" si="382"/>
        <v>theater</v>
      </c>
      <c r="R4046" t="str">
        <f t="shared" si="383"/>
        <v>plays</v>
      </c>
      <c r="S4046" s="4">
        <f t="shared" si="380"/>
        <v>42074.219699074078</v>
      </c>
      <c r="T4046" s="4">
        <f t="shared" si="381"/>
        <v>42104.208333333328</v>
      </c>
      <c r="U4046" s="5">
        <f>VLOOKUP(currency,Tables!$A$1:$C$14,3,FALSE)*pledged</f>
        <v>225</v>
      </c>
    </row>
    <row r="4047" spans="1:21" ht="43.2" x14ac:dyDescent="0.55000000000000004">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16">
        <f t="shared" si="379"/>
        <v>1</v>
      </c>
      <c r="Q4047" t="str">
        <f t="shared" si="382"/>
        <v>theater</v>
      </c>
      <c r="R4047" t="str">
        <f t="shared" si="383"/>
        <v>plays</v>
      </c>
      <c r="S4047" s="4">
        <f t="shared" si="380"/>
        <v>41842.201261574075</v>
      </c>
      <c r="T4047" s="4">
        <f t="shared" si="381"/>
        <v>41872.201261574075</v>
      </c>
      <c r="U4047" s="5">
        <f>VLOOKUP(currency,Tables!$A$1:$C$14,3,FALSE)*pledged</f>
        <v>0.73</v>
      </c>
    </row>
    <row r="4048" spans="1:21" ht="43.2" x14ac:dyDescent="0.55000000000000004">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16">
        <f t="shared" si="379"/>
        <v>38.333333333333336</v>
      </c>
      <c r="Q4048" t="str">
        <f t="shared" si="382"/>
        <v>theater</v>
      </c>
      <c r="R4048" t="str">
        <f t="shared" si="383"/>
        <v>plays</v>
      </c>
      <c r="S4048" s="4">
        <f t="shared" si="380"/>
        <v>41904.650578703702</v>
      </c>
      <c r="T4048" s="4">
        <f t="shared" si="381"/>
        <v>41934.650578703702</v>
      </c>
      <c r="U4048" s="5">
        <f>VLOOKUP(currency,Tables!$A$1:$C$14,3,FALSE)*pledged</f>
        <v>460</v>
      </c>
    </row>
    <row r="4049" spans="1:21" ht="43.2" x14ac:dyDescent="0.55000000000000004">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16">
        <f t="shared" si="379"/>
        <v>27.5</v>
      </c>
      <c r="Q4049" t="str">
        <f t="shared" si="382"/>
        <v>theater</v>
      </c>
      <c r="R4049" t="str">
        <f t="shared" si="383"/>
        <v>plays</v>
      </c>
      <c r="S4049" s="4">
        <f t="shared" si="380"/>
        <v>41991.022488425922</v>
      </c>
      <c r="T4049" s="4">
        <f t="shared" si="381"/>
        <v>42015.041666666672</v>
      </c>
      <c r="U4049" s="5">
        <f>VLOOKUP(currency,Tables!$A$1:$C$14,3,FALSE)*pledged</f>
        <v>110</v>
      </c>
    </row>
    <row r="4050" spans="1:21" ht="43.2" x14ac:dyDescent="0.55000000000000004">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16">
        <f t="shared" si="379"/>
        <v>32.978021978021978</v>
      </c>
      <c r="Q4050" t="str">
        <f t="shared" si="382"/>
        <v>theater</v>
      </c>
      <c r="R4050" t="str">
        <f t="shared" si="383"/>
        <v>plays</v>
      </c>
      <c r="S4050" s="4">
        <f t="shared" si="380"/>
        <v>42436.509108796294</v>
      </c>
      <c r="T4050" s="4">
        <f t="shared" si="381"/>
        <v>42471.467442129629</v>
      </c>
      <c r="U4050" s="5">
        <f>VLOOKUP(currency,Tables!$A$1:$C$14,3,FALSE)*pledged</f>
        <v>3961.32</v>
      </c>
    </row>
    <row r="4051" spans="1:21" ht="43.2" x14ac:dyDescent="0.55000000000000004">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16">
        <f t="shared" si="379"/>
        <v>16</v>
      </c>
      <c r="Q4051" t="str">
        <f t="shared" si="382"/>
        <v>theater</v>
      </c>
      <c r="R4051" t="str">
        <f t="shared" si="383"/>
        <v>plays</v>
      </c>
      <c r="S4051" s="4">
        <f t="shared" si="380"/>
        <v>42169.958506944444</v>
      </c>
      <c r="T4051" s="4">
        <f t="shared" si="381"/>
        <v>42199.958506944444</v>
      </c>
      <c r="U4051" s="5">
        <f>VLOOKUP(currency,Tables!$A$1:$C$14,3,FALSE)*pledged</f>
        <v>16</v>
      </c>
    </row>
    <row r="4052" spans="1:21" ht="43.2" x14ac:dyDescent="0.55000000000000004">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16">
        <f t="shared" si="379"/>
        <v>1</v>
      </c>
      <c r="Q4052" t="str">
        <f t="shared" si="382"/>
        <v>theater</v>
      </c>
      <c r="R4052" t="str">
        <f t="shared" si="383"/>
        <v>plays</v>
      </c>
      <c r="S4052" s="4">
        <f t="shared" si="380"/>
        <v>41905.636469907404</v>
      </c>
      <c r="T4052" s="4">
        <f t="shared" si="381"/>
        <v>41935.636469907404</v>
      </c>
      <c r="U4052" s="5">
        <f>VLOOKUP(currency,Tables!$A$1:$C$14,3,FALSE)*pledged</f>
        <v>1</v>
      </c>
    </row>
    <row r="4053" spans="1:21" ht="43.2" x14ac:dyDescent="0.55000000000000004">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378"/>
        <v>0</v>
      </c>
      <c r="P4053" s="16">
        <f t="shared" si="379"/>
        <v>0</v>
      </c>
      <c r="Q4053" t="str">
        <f t="shared" si="382"/>
        <v>theater</v>
      </c>
      <c r="R4053" t="str">
        <f t="shared" si="383"/>
        <v>plays</v>
      </c>
      <c r="S4053" s="4">
        <f t="shared" si="380"/>
        <v>41761.810150462967</v>
      </c>
      <c r="T4053" s="4">
        <f t="shared" si="381"/>
        <v>41768.286805555559</v>
      </c>
      <c r="U4053" s="5">
        <f>VLOOKUP(currency,Tables!$A$1:$C$14,3,FALSE)*pledged</f>
        <v>0</v>
      </c>
    </row>
    <row r="4054" spans="1:21" ht="57.6" x14ac:dyDescent="0.55000000000000004">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16">
        <f t="shared" si="379"/>
        <v>86.615384615384613</v>
      </c>
      <c r="Q4054" t="str">
        <f t="shared" si="382"/>
        <v>theater</v>
      </c>
      <c r="R4054" t="str">
        <f t="shared" si="383"/>
        <v>plays</v>
      </c>
      <c r="S4054" s="4">
        <f t="shared" si="380"/>
        <v>41865.878657407404</v>
      </c>
      <c r="T4054" s="4">
        <f t="shared" si="381"/>
        <v>41925.878657407404</v>
      </c>
      <c r="U4054" s="5">
        <f>VLOOKUP(currency,Tables!$A$1:$C$14,3,FALSE)*pledged</f>
        <v>1126</v>
      </c>
    </row>
    <row r="4055" spans="1:21" ht="43.2" x14ac:dyDescent="0.55000000000000004">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378"/>
        <v>0.22</v>
      </c>
      <c r="P4055" s="16">
        <f t="shared" si="379"/>
        <v>55</v>
      </c>
      <c r="Q4055" t="str">
        <f t="shared" si="382"/>
        <v>theater</v>
      </c>
      <c r="R4055" t="str">
        <f t="shared" si="383"/>
        <v>plays</v>
      </c>
      <c r="S4055" s="4">
        <f t="shared" si="380"/>
        <v>41928.690138888887</v>
      </c>
      <c r="T4055" s="4">
        <f t="shared" si="381"/>
        <v>41958.833333333328</v>
      </c>
      <c r="U4055" s="5">
        <f>VLOOKUP(currency,Tables!$A$1:$C$14,3,FALSE)*pledged</f>
        <v>145.20000000000002</v>
      </c>
    </row>
    <row r="4056" spans="1:21" ht="43.2" x14ac:dyDescent="0.55000000000000004">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378"/>
        <v>0</v>
      </c>
      <c r="P4056" s="16">
        <f t="shared" si="379"/>
        <v>0</v>
      </c>
      <c r="Q4056" t="str">
        <f t="shared" si="382"/>
        <v>theater</v>
      </c>
      <c r="R4056" t="str">
        <f t="shared" si="383"/>
        <v>plays</v>
      </c>
      <c r="S4056" s="4">
        <f t="shared" si="380"/>
        <v>42613.841261574074</v>
      </c>
      <c r="T4056" s="4">
        <f t="shared" si="381"/>
        <v>42644.166666666672</v>
      </c>
      <c r="U4056" s="5">
        <f>VLOOKUP(currency,Tables!$A$1:$C$14,3,FALSE)*pledged</f>
        <v>0</v>
      </c>
    </row>
    <row r="4057" spans="1:21" ht="43.2" x14ac:dyDescent="0.55000000000000004">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16">
        <f t="shared" si="379"/>
        <v>41.952380952380949</v>
      </c>
      <c r="Q4057" t="str">
        <f t="shared" si="382"/>
        <v>theater</v>
      </c>
      <c r="R4057" t="str">
        <f t="shared" si="383"/>
        <v>plays</v>
      </c>
      <c r="S4057" s="4">
        <f t="shared" si="380"/>
        <v>41779.648506944446</v>
      </c>
      <c r="T4057" s="4">
        <f t="shared" si="381"/>
        <v>41809.648506944446</v>
      </c>
      <c r="U4057" s="5">
        <f>VLOOKUP(currency,Tables!$A$1:$C$14,3,FALSE)*pledged</f>
        <v>1162.92</v>
      </c>
    </row>
    <row r="4058" spans="1:21" ht="43.2" x14ac:dyDescent="0.55000000000000004">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378"/>
        <v>0.53</v>
      </c>
      <c r="P4058" s="16">
        <f t="shared" si="379"/>
        <v>88.333333333333329</v>
      </c>
      <c r="Q4058" t="str">
        <f t="shared" si="382"/>
        <v>theater</v>
      </c>
      <c r="R4058" t="str">
        <f t="shared" si="383"/>
        <v>plays</v>
      </c>
      <c r="S4058" s="4">
        <f t="shared" si="380"/>
        <v>42534.933321759265</v>
      </c>
      <c r="T4058" s="4">
        <f t="shared" si="381"/>
        <v>42554.832638888889</v>
      </c>
      <c r="U4058" s="5">
        <f>VLOOKUP(currency,Tables!$A$1:$C$14,3,FALSE)*pledged</f>
        <v>795</v>
      </c>
    </row>
    <row r="4059" spans="1:21" ht="43.2" x14ac:dyDescent="0.55000000000000004">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16">
        <f t="shared" si="379"/>
        <v>129.16666666666666</v>
      </c>
      <c r="Q4059" t="str">
        <f t="shared" si="382"/>
        <v>theater</v>
      </c>
      <c r="R4059" t="str">
        <f t="shared" si="383"/>
        <v>plays</v>
      </c>
      <c r="S4059" s="4">
        <f t="shared" si="380"/>
        <v>42310.968518518523</v>
      </c>
      <c r="T4059" s="4">
        <f t="shared" si="381"/>
        <v>42333.958333333328</v>
      </c>
      <c r="U4059" s="5">
        <f>VLOOKUP(currency,Tables!$A$1:$C$14,3,FALSE)*pledged</f>
        <v>1023</v>
      </c>
    </row>
    <row r="4060" spans="1:21" ht="43.2" x14ac:dyDescent="0.55000000000000004">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16">
        <f t="shared" si="379"/>
        <v>23.75</v>
      </c>
      <c r="Q4060" t="str">
        <f t="shared" si="382"/>
        <v>theater</v>
      </c>
      <c r="R4060" t="str">
        <f t="shared" si="383"/>
        <v>plays</v>
      </c>
      <c r="S4060" s="4">
        <f t="shared" si="380"/>
        <v>42446.060694444444</v>
      </c>
      <c r="T4060" s="4">
        <f t="shared" si="381"/>
        <v>42461.165972222225</v>
      </c>
      <c r="U4060" s="5">
        <f>VLOOKUP(currency,Tables!$A$1:$C$14,3,FALSE)*pledged</f>
        <v>95</v>
      </c>
    </row>
    <row r="4061" spans="1:21" ht="43.2" x14ac:dyDescent="0.55000000000000004">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16">
        <f t="shared" si="379"/>
        <v>35.714285714285715</v>
      </c>
      <c r="Q4061" t="str">
        <f t="shared" si="382"/>
        <v>theater</v>
      </c>
      <c r="R4061" t="str">
        <f t="shared" si="383"/>
        <v>plays</v>
      </c>
      <c r="S4061" s="4">
        <f t="shared" si="380"/>
        <v>41866.640648148146</v>
      </c>
      <c r="T4061" s="4">
        <f t="shared" si="381"/>
        <v>41898.125</v>
      </c>
      <c r="U4061" s="5">
        <f>VLOOKUP(currency,Tables!$A$1:$C$14,3,FALSE)*pledged</f>
        <v>190</v>
      </c>
    </row>
    <row r="4062" spans="1:21" ht="43.2" x14ac:dyDescent="0.55000000000000004">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16">
        <f t="shared" si="379"/>
        <v>57</v>
      </c>
      <c r="Q4062" t="str">
        <f t="shared" si="382"/>
        <v>theater</v>
      </c>
      <c r="R4062" t="str">
        <f t="shared" si="383"/>
        <v>plays</v>
      </c>
      <c r="S4062" s="4">
        <f t="shared" si="380"/>
        <v>41779.695092592592</v>
      </c>
      <c r="T4062" s="4">
        <f t="shared" si="381"/>
        <v>41813.666666666664</v>
      </c>
      <c r="U4062" s="5">
        <f>VLOOKUP(currency,Tables!$A$1:$C$14,3,FALSE)*pledged</f>
        <v>216.6</v>
      </c>
    </row>
    <row r="4063" spans="1:21" ht="28.8" x14ac:dyDescent="0.55000000000000004">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378"/>
        <v>0</v>
      </c>
      <c r="P4063" s="16">
        <f t="shared" si="379"/>
        <v>0</v>
      </c>
      <c r="Q4063" t="str">
        <f t="shared" si="382"/>
        <v>theater</v>
      </c>
      <c r="R4063" t="str">
        <f t="shared" si="383"/>
        <v>plays</v>
      </c>
      <c r="S4063" s="4">
        <f t="shared" si="380"/>
        <v>42421.141469907408</v>
      </c>
      <c r="T4063" s="4">
        <f t="shared" si="381"/>
        <v>42481.099803240737</v>
      </c>
      <c r="U4063" s="5">
        <f>VLOOKUP(currency,Tables!$A$1:$C$14,3,FALSE)*pledged</f>
        <v>0</v>
      </c>
    </row>
    <row r="4064" spans="1:21" ht="43.2" x14ac:dyDescent="0.55000000000000004">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16">
        <f t="shared" si="379"/>
        <v>163.33333333333334</v>
      </c>
      <c r="Q4064" t="str">
        <f t="shared" si="382"/>
        <v>theater</v>
      </c>
      <c r="R4064" t="str">
        <f t="shared" si="383"/>
        <v>plays</v>
      </c>
      <c r="S4064" s="4">
        <f t="shared" si="380"/>
        <v>42523.739212962959</v>
      </c>
      <c r="T4064" s="4">
        <f t="shared" si="381"/>
        <v>42553.739212962959</v>
      </c>
      <c r="U4064" s="5">
        <f>VLOOKUP(currency,Tables!$A$1:$C$14,3,FALSE)*pledged</f>
        <v>490</v>
      </c>
    </row>
    <row r="4065" spans="1:21" ht="43.2" x14ac:dyDescent="0.55000000000000004">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16">
        <f t="shared" si="379"/>
        <v>15</v>
      </c>
      <c r="Q4065" t="str">
        <f t="shared" si="382"/>
        <v>theater</v>
      </c>
      <c r="R4065" t="str">
        <f t="shared" si="383"/>
        <v>plays</v>
      </c>
      <c r="S4065" s="4">
        <f t="shared" si="380"/>
        <v>41787.681527777779</v>
      </c>
      <c r="T4065" s="4">
        <f t="shared" si="381"/>
        <v>41817.681527777779</v>
      </c>
      <c r="U4065" s="5">
        <f>VLOOKUP(currency,Tables!$A$1:$C$14,3,FALSE)*pledged</f>
        <v>178.20000000000002</v>
      </c>
    </row>
    <row r="4066" spans="1:21" ht="43.2" x14ac:dyDescent="0.55000000000000004">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378"/>
        <v>0.1925</v>
      </c>
      <c r="P4066" s="16">
        <f t="shared" si="379"/>
        <v>64.166666666666671</v>
      </c>
      <c r="Q4066" t="str">
        <f t="shared" si="382"/>
        <v>theater</v>
      </c>
      <c r="R4066" t="str">
        <f t="shared" si="383"/>
        <v>plays</v>
      </c>
      <c r="S4066" s="4">
        <f t="shared" si="380"/>
        <v>42093.588263888887</v>
      </c>
      <c r="T4066" s="4">
        <f t="shared" si="381"/>
        <v>42123.588263888887</v>
      </c>
      <c r="U4066" s="5">
        <f>VLOOKUP(currency,Tables!$A$1:$C$14,3,FALSE)*pledged</f>
        <v>281.05</v>
      </c>
    </row>
    <row r="4067" spans="1:21" ht="28.8" x14ac:dyDescent="0.55000000000000004">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16">
        <f t="shared" si="379"/>
        <v>6.75</v>
      </c>
      <c r="Q4067" t="str">
        <f t="shared" si="382"/>
        <v>theater</v>
      </c>
      <c r="R4067" t="str">
        <f t="shared" si="383"/>
        <v>plays</v>
      </c>
      <c r="S4067" s="4">
        <f t="shared" si="380"/>
        <v>41833.951516203706</v>
      </c>
      <c r="T4067" s="4">
        <f t="shared" si="381"/>
        <v>41863.951516203706</v>
      </c>
      <c r="U4067" s="5">
        <f>VLOOKUP(currency,Tables!$A$1:$C$14,3,FALSE)*pledged</f>
        <v>27</v>
      </c>
    </row>
    <row r="4068" spans="1:21" ht="57.6" x14ac:dyDescent="0.55000000000000004">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16">
        <f t="shared" si="379"/>
        <v>25</v>
      </c>
      <c r="Q4068" t="str">
        <f t="shared" si="382"/>
        <v>theater</v>
      </c>
      <c r="R4068" t="str">
        <f t="shared" si="383"/>
        <v>plays</v>
      </c>
      <c r="S4068" s="4">
        <f t="shared" si="380"/>
        <v>42479.039212962962</v>
      </c>
      <c r="T4068" s="4">
        <f t="shared" si="381"/>
        <v>42509.039212962962</v>
      </c>
      <c r="U4068" s="5">
        <f>VLOOKUP(currency,Tables!$A$1:$C$14,3,FALSE)*pledged</f>
        <v>25</v>
      </c>
    </row>
    <row r="4069" spans="1:21" ht="43.2" x14ac:dyDescent="0.55000000000000004">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16">
        <f t="shared" si="379"/>
        <v>179.11764705882354</v>
      </c>
      <c r="Q4069" t="str">
        <f t="shared" si="382"/>
        <v>theater</v>
      </c>
      <c r="R4069" t="str">
        <f t="shared" si="383"/>
        <v>plays</v>
      </c>
      <c r="S4069" s="4">
        <f t="shared" si="380"/>
        <v>42235.117476851854</v>
      </c>
      <c r="T4069" s="4">
        <f t="shared" si="381"/>
        <v>42275.117476851854</v>
      </c>
      <c r="U4069" s="5">
        <f>VLOOKUP(currency,Tables!$A$1:$C$14,3,FALSE)*pledged</f>
        <v>3045</v>
      </c>
    </row>
    <row r="4070" spans="1:21" ht="28.8" x14ac:dyDescent="0.55000000000000004">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16">
        <f t="shared" si="379"/>
        <v>34.950000000000003</v>
      </c>
      <c r="Q4070" t="str">
        <f t="shared" si="382"/>
        <v>theater</v>
      </c>
      <c r="R4070" t="str">
        <f t="shared" si="383"/>
        <v>plays</v>
      </c>
      <c r="S4070" s="4">
        <f t="shared" si="380"/>
        <v>42718.963599537034</v>
      </c>
      <c r="T4070" s="4">
        <f t="shared" si="381"/>
        <v>42748.961805555555</v>
      </c>
      <c r="U4070" s="5">
        <f>VLOOKUP(currency,Tables!$A$1:$C$14,3,FALSE)*pledged</f>
        <v>34.950000000000003</v>
      </c>
    </row>
    <row r="4071" spans="1:21" ht="43.2" x14ac:dyDescent="0.55000000000000004">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16">
        <f t="shared" si="379"/>
        <v>33.07692307692308</v>
      </c>
      <c r="Q4071" t="str">
        <f t="shared" si="382"/>
        <v>theater</v>
      </c>
      <c r="R4071" t="str">
        <f t="shared" si="383"/>
        <v>plays</v>
      </c>
      <c r="S4071" s="4">
        <f t="shared" si="380"/>
        <v>42022.661527777775</v>
      </c>
      <c r="T4071" s="4">
        <f t="shared" si="381"/>
        <v>42063.5</v>
      </c>
      <c r="U4071" s="5">
        <f>VLOOKUP(currency,Tables!$A$1:$C$14,3,FALSE)*pledged</f>
        <v>567.6</v>
      </c>
    </row>
    <row r="4072" spans="1:21" ht="28.8" x14ac:dyDescent="0.55000000000000004">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16">
        <f t="shared" si="379"/>
        <v>27.5</v>
      </c>
      <c r="Q4072" t="str">
        <f t="shared" si="382"/>
        <v>theater</v>
      </c>
      <c r="R4072" t="str">
        <f t="shared" si="383"/>
        <v>plays</v>
      </c>
      <c r="S4072" s="4">
        <f t="shared" si="380"/>
        <v>42031.666898148149</v>
      </c>
      <c r="T4072" s="4">
        <f t="shared" si="381"/>
        <v>42064.125</v>
      </c>
      <c r="U4072" s="5">
        <f>VLOOKUP(currency,Tables!$A$1:$C$14,3,FALSE)*pledged</f>
        <v>165</v>
      </c>
    </row>
    <row r="4073" spans="1:21" ht="57.6" x14ac:dyDescent="0.55000000000000004">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378"/>
        <v>0</v>
      </c>
      <c r="P4073" s="16">
        <f t="shared" si="379"/>
        <v>0</v>
      </c>
      <c r="Q4073" t="str">
        <f t="shared" si="382"/>
        <v>theater</v>
      </c>
      <c r="R4073" t="str">
        <f t="shared" si="383"/>
        <v>plays</v>
      </c>
      <c r="S4073" s="4">
        <f t="shared" si="380"/>
        <v>42700.804756944446</v>
      </c>
      <c r="T4073" s="4">
        <f t="shared" si="381"/>
        <v>42730.804756944446</v>
      </c>
      <c r="U4073" s="5">
        <f>VLOOKUP(currency,Tables!$A$1:$C$14,3,FALSE)*pledged</f>
        <v>0</v>
      </c>
    </row>
    <row r="4074" spans="1:21" ht="57.6" x14ac:dyDescent="0.55000000000000004">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16">
        <f t="shared" si="379"/>
        <v>2</v>
      </c>
      <c r="Q4074" t="str">
        <f t="shared" si="382"/>
        <v>theater</v>
      </c>
      <c r="R4074" t="str">
        <f t="shared" si="383"/>
        <v>plays</v>
      </c>
      <c r="S4074" s="4">
        <f t="shared" si="380"/>
        <v>41812.77443287037</v>
      </c>
      <c r="T4074" s="4">
        <f t="shared" si="381"/>
        <v>41872.77443287037</v>
      </c>
      <c r="U4074" s="5">
        <f>VLOOKUP(currency,Tables!$A$1:$C$14,3,FALSE)*pledged</f>
        <v>5.28</v>
      </c>
    </row>
    <row r="4075" spans="1:21" ht="43.2" x14ac:dyDescent="0.55000000000000004">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16">
        <f t="shared" si="379"/>
        <v>18.5</v>
      </c>
      <c r="Q4075" t="str">
        <f t="shared" si="382"/>
        <v>theater</v>
      </c>
      <c r="R4075" t="str">
        <f t="shared" si="383"/>
        <v>plays</v>
      </c>
      <c r="S4075" s="4">
        <f t="shared" si="380"/>
        <v>42078.34520833334</v>
      </c>
      <c r="T4075" s="4">
        <f t="shared" si="381"/>
        <v>42133.166666666672</v>
      </c>
      <c r="U4075" s="5">
        <f>VLOOKUP(currency,Tables!$A$1:$C$14,3,FALSE)*pledged</f>
        <v>37</v>
      </c>
    </row>
    <row r="4076" spans="1:21" ht="43.2" x14ac:dyDescent="0.55000000000000004">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16">
        <f t="shared" si="379"/>
        <v>35</v>
      </c>
      <c r="Q4076" t="str">
        <f t="shared" si="382"/>
        <v>theater</v>
      </c>
      <c r="R4076" t="str">
        <f t="shared" si="383"/>
        <v>plays</v>
      </c>
      <c r="S4076" s="4">
        <f t="shared" si="380"/>
        <v>42283.552951388891</v>
      </c>
      <c r="T4076" s="4">
        <f t="shared" si="381"/>
        <v>42313.594618055555</v>
      </c>
      <c r="U4076" s="5">
        <f>VLOOKUP(currency,Tables!$A$1:$C$14,3,FALSE)*pledged</f>
        <v>970.2</v>
      </c>
    </row>
    <row r="4077" spans="1:21" ht="43.2" x14ac:dyDescent="0.55000000000000004">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16">
        <f t="shared" si="379"/>
        <v>44.307692307692307</v>
      </c>
      <c r="Q4077" t="str">
        <f t="shared" si="382"/>
        <v>theater</v>
      </c>
      <c r="R4077" t="str">
        <f t="shared" si="383"/>
        <v>plays</v>
      </c>
      <c r="S4077" s="4">
        <f t="shared" si="380"/>
        <v>41779.045937499999</v>
      </c>
      <c r="T4077" s="4">
        <f t="shared" si="381"/>
        <v>41820.727777777778</v>
      </c>
      <c r="U4077" s="5">
        <f>VLOOKUP(currency,Tables!$A$1:$C$14,3,FALSE)*pledged</f>
        <v>760.32</v>
      </c>
    </row>
    <row r="4078" spans="1:21" ht="43.2" x14ac:dyDescent="0.55000000000000004">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378"/>
        <v>0</v>
      </c>
      <c r="P4078" s="16">
        <f t="shared" si="379"/>
        <v>0</v>
      </c>
      <c r="Q4078" t="str">
        <f t="shared" si="382"/>
        <v>theater</v>
      </c>
      <c r="R4078" t="str">
        <f t="shared" si="383"/>
        <v>plays</v>
      </c>
      <c r="S4078" s="4">
        <f t="shared" si="380"/>
        <v>41905.795706018522</v>
      </c>
      <c r="T4078" s="4">
        <f t="shared" si="381"/>
        <v>41933.82708333333</v>
      </c>
      <c r="U4078" s="5">
        <f>VLOOKUP(currency,Tables!$A$1:$C$14,3,FALSE)*pledged</f>
        <v>0</v>
      </c>
    </row>
    <row r="4079" spans="1:21" ht="43.2" x14ac:dyDescent="0.55000000000000004">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16">
        <f t="shared" si="379"/>
        <v>222.5</v>
      </c>
      <c r="Q4079" t="str">
        <f t="shared" si="382"/>
        <v>theater</v>
      </c>
      <c r="R4079" t="str">
        <f t="shared" si="383"/>
        <v>plays</v>
      </c>
      <c r="S4079" s="4">
        <f t="shared" si="380"/>
        <v>42695.7105787037</v>
      </c>
      <c r="T4079" s="4">
        <f t="shared" si="381"/>
        <v>42725.7105787037</v>
      </c>
      <c r="U4079" s="5">
        <f>VLOOKUP(currency,Tables!$A$1:$C$14,3,FALSE)*pledged</f>
        <v>1335</v>
      </c>
    </row>
    <row r="4080" spans="1:21" ht="43.2" x14ac:dyDescent="0.55000000000000004">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378"/>
        <v>0</v>
      </c>
      <c r="P4080" s="16">
        <f t="shared" si="379"/>
        <v>0</v>
      </c>
      <c r="Q4080" t="str">
        <f t="shared" si="382"/>
        <v>theater</v>
      </c>
      <c r="R4080" t="str">
        <f t="shared" si="383"/>
        <v>plays</v>
      </c>
      <c r="S4080" s="4">
        <f t="shared" si="380"/>
        <v>42732.787523148145</v>
      </c>
      <c r="T4080" s="4">
        <f t="shared" si="381"/>
        <v>42762.787523148145</v>
      </c>
      <c r="U4080" s="5">
        <f>VLOOKUP(currency,Tables!$A$1:$C$14,3,FALSE)*pledged</f>
        <v>0</v>
      </c>
    </row>
    <row r="4081" spans="1:21" ht="43.2" x14ac:dyDescent="0.55000000000000004">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16">
        <f t="shared" si="379"/>
        <v>5</v>
      </c>
      <c r="Q4081" t="str">
        <f t="shared" si="382"/>
        <v>theater</v>
      </c>
      <c r="R4081" t="str">
        <f t="shared" si="383"/>
        <v>plays</v>
      </c>
      <c r="S4081" s="4">
        <f t="shared" si="380"/>
        <v>42510.938900462963</v>
      </c>
      <c r="T4081" s="4">
        <f t="shared" si="381"/>
        <v>42540.938900462963</v>
      </c>
      <c r="U4081" s="5">
        <f>VLOOKUP(currency,Tables!$A$1:$C$14,3,FALSE)*pledged</f>
        <v>5</v>
      </c>
    </row>
    <row r="4082" spans="1:21" ht="43.2" x14ac:dyDescent="0.55000000000000004">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378"/>
        <v>0</v>
      </c>
      <c r="P4082" s="16">
        <f t="shared" si="379"/>
        <v>0</v>
      </c>
      <c r="Q4082" t="str">
        <f t="shared" si="382"/>
        <v>theater</v>
      </c>
      <c r="R4082" t="str">
        <f t="shared" si="383"/>
        <v>plays</v>
      </c>
      <c r="S4082" s="4">
        <f t="shared" si="380"/>
        <v>42511.698101851856</v>
      </c>
      <c r="T4082" s="4">
        <f t="shared" si="381"/>
        <v>42535.787500000006</v>
      </c>
      <c r="U4082" s="5">
        <f>VLOOKUP(currency,Tables!$A$1:$C$14,3,FALSE)*pledged</f>
        <v>0</v>
      </c>
    </row>
    <row r="4083" spans="1:21" ht="43.2" x14ac:dyDescent="0.55000000000000004">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16">
        <f t="shared" si="379"/>
        <v>29.166666666666668</v>
      </c>
      <c r="Q4083" t="str">
        <f t="shared" si="382"/>
        <v>theater</v>
      </c>
      <c r="R4083" t="str">
        <f t="shared" si="383"/>
        <v>plays</v>
      </c>
      <c r="S4083" s="4">
        <f t="shared" si="380"/>
        <v>42041.581307870365</v>
      </c>
      <c r="T4083" s="4">
        <f t="shared" si="381"/>
        <v>42071.539641203708</v>
      </c>
      <c r="U4083" s="5">
        <f>VLOOKUP(currency,Tables!$A$1:$C$14,3,FALSE)*pledged</f>
        <v>350</v>
      </c>
    </row>
    <row r="4084" spans="1:21" ht="43.2" x14ac:dyDescent="0.55000000000000004">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378"/>
        <v>0.02</v>
      </c>
      <c r="P4084" s="16">
        <f t="shared" si="379"/>
        <v>1.5</v>
      </c>
      <c r="Q4084" t="str">
        <f t="shared" si="382"/>
        <v>theater</v>
      </c>
      <c r="R4084" t="str">
        <f t="shared" si="383"/>
        <v>plays</v>
      </c>
      <c r="S4084" s="4">
        <f t="shared" si="380"/>
        <v>42307.189270833333</v>
      </c>
      <c r="T4084" s="4">
        <f t="shared" si="381"/>
        <v>42322.958333333328</v>
      </c>
      <c r="U4084" s="5">
        <f>VLOOKUP(currency,Tables!$A$1:$C$14,3,FALSE)*pledged</f>
        <v>3</v>
      </c>
    </row>
    <row r="4085" spans="1:21" ht="43.2" x14ac:dyDescent="0.55000000000000004">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16">
        <f t="shared" si="379"/>
        <v>126.5</v>
      </c>
      <c r="Q4085" t="str">
        <f t="shared" si="382"/>
        <v>theater</v>
      </c>
      <c r="R4085" t="str">
        <f t="shared" si="383"/>
        <v>plays</v>
      </c>
      <c r="S4085" s="4">
        <f t="shared" si="380"/>
        <v>42353.761759259258</v>
      </c>
      <c r="T4085" s="4">
        <f t="shared" si="381"/>
        <v>42383.761759259258</v>
      </c>
      <c r="U4085" s="5">
        <f>VLOOKUP(currency,Tables!$A$1:$C$14,3,FALSE)*pledged</f>
        <v>759</v>
      </c>
    </row>
    <row r="4086" spans="1:21" ht="57.6" x14ac:dyDescent="0.55000000000000004">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16">
        <f t="shared" si="379"/>
        <v>10</v>
      </c>
      <c r="Q4086" t="str">
        <f t="shared" si="382"/>
        <v>theater</v>
      </c>
      <c r="R4086" t="str">
        <f t="shared" si="383"/>
        <v>plays</v>
      </c>
      <c r="S4086" s="4">
        <f t="shared" si="380"/>
        <v>42622.436412037037</v>
      </c>
      <c r="T4086" s="4">
        <f t="shared" si="381"/>
        <v>42652.436412037037</v>
      </c>
      <c r="U4086" s="5">
        <f>VLOOKUP(currency,Tables!$A$1:$C$14,3,FALSE)*pledged</f>
        <v>11.799999999999999</v>
      </c>
    </row>
    <row r="4087" spans="1:21" ht="43.2" x14ac:dyDescent="0.55000000000000004">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16">
        <f t="shared" si="379"/>
        <v>10</v>
      </c>
      <c r="Q4087" t="str">
        <f t="shared" si="382"/>
        <v>theater</v>
      </c>
      <c r="R4087" t="str">
        <f t="shared" si="383"/>
        <v>plays</v>
      </c>
      <c r="S4087" s="4">
        <f t="shared" si="380"/>
        <v>42058.603877314818</v>
      </c>
      <c r="T4087" s="4">
        <f t="shared" si="381"/>
        <v>42087.165972222225</v>
      </c>
      <c r="U4087" s="5">
        <f>VLOOKUP(currency,Tables!$A$1:$C$14,3,FALSE)*pledged</f>
        <v>10</v>
      </c>
    </row>
    <row r="4088" spans="1:21" ht="43.2" x14ac:dyDescent="0.55000000000000004">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378"/>
        <v>4.7E-2</v>
      </c>
      <c r="P4088" s="16">
        <f t="shared" si="379"/>
        <v>9.4</v>
      </c>
      <c r="Q4088" t="str">
        <f t="shared" si="382"/>
        <v>theater</v>
      </c>
      <c r="R4088" t="str">
        <f t="shared" si="383"/>
        <v>plays</v>
      </c>
      <c r="S4088" s="4">
        <f t="shared" si="380"/>
        <v>42304.940960648149</v>
      </c>
      <c r="T4088" s="4">
        <f t="shared" si="381"/>
        <v>42329.166666666672</v>
      </c>
      <c r="U4088" s="5">
        <f>VLOOKUP(currency,Tables!$A$1:$C$14,3,FALSE)*pledged</f>
        <v>47</v>
      </c>
    </row>
    <row r="4089" spans="1:21" x14ac:dyDescent="0.55000000000000004">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378"/>
        <v>0</v>
      </c>
      <c r="P4089" s="16">
        <f t="shared" si="379"/>
        <v>0</v>
      </c>
      <c r="Q4089" t="str">
        <f t="shared" si="382"/>
        <v>theater</v>
      </c>
      <c r="R4089" t="str">
        <f t="shared" si="383"/>
        <v>plays</v>
      </c>
      <c r="S4089" s="4">
        <f t="shared" si="380"/>
        <v>42538.742893518516</v>
      </c>
      <c r="T4089" s="4">
        <f t="shared" si="381"/>
        <v>42568.742893518516</v>
      </c>
      <c r="U4089" s="5">
        <f>VLOOKUP(currency,Tables!$A$1:$C$14,3,FALSE)*pledged</f>
        <v>0</v>
      </c>
    </row>
    <row r="4090" spans="1:21" ht="43.2" x14ac:dyDescent="0.55000000000000004">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378"/>
        <v>0.108</v>
      </c>
      <c r="P4090" s="16">
        <f t="shared" si="379"/>
        <v>72</v>
      </c>
      <c r="Q4090" t="str">
        <f t="shared" si="382"/>
        <v>theater</v>
      </c>
      <c r="R4090" t="str">
        <f t="shared" si="383"/>
        <v>plays</v>
      </c>
      <c r="S4090" s="4">
        <f t="shared" si="380"/>
        <v>41990.612546296295</v>
      </c>
      <c r="T4090" s="4">
        <f t="shared" si="381"/>
        <v>42020.434722222228</v>
      </c>
      <c r="U4090" s="5">
        <f>VLOOKUP(currency,Tables!$A$1:$C$14,3,FALSE)*pledged</f>
        <v>285.12</v>
      </c>
    </row>
    <row r="4091" spans="1:21" ht="43.2" x14ac:dyDescent="0.55000000000000004">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16">
        <f t="shared" si="379"/>
        <v>30</v>
      </c>
      <c r="Q4091" t="str">
        <f t="shared" si="382"/>
        <v>theater</v>
      </c>
      <c r="R4091" t="str">
        <f t="shared" si="383"/>
        <v>plays</v>
      </c>
      <c r="S4091" s="4">
        <f t="shared" si="380"/>
        <v>42122.732499999998</v>
      </c>
      <c r="T4091" s="4">
        <f t="shared" si="381"/>
        <v>42155.732638888891</v>
      </c>
      <c r="U4091" s="5">
        <f>VLOOKUP(currency,Tables!$A$1:$C$14,3,FALSE)*pledged</f>
        <v>240</v>
      </c>
    </row>
    <row r="4092" spans="1:21" ht="43.2" x14ac:dyDescent="0.55000000000000004">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16">
        <f t="shared" si="379"/>
        <v>10.666666666666666</v>
      </c>
      <c r="Q4092" t="str">
        <f t="shared" si="382"/>
        <v>theater</v>
      </c>
      <c r="R4092" t="str">
        <f t="shared" si="383"/>
        <v>plays</v>
      </c>
      <c r="S4092" s="4">
        <f t="shared" si="380"/>
        <v>42209.67288194444</v>
      </c>
      <c r="T4092" s="4">
        <f t="shared" si="381"/>
        <v>42223.625</v>
      </c>
      <c r="U4092" s="5">
        <f>VLOOKUP(currency,Tables!$A$1:$C$14,3,FALSE)*pledged</f>
        <v>32</v>
      </c>
    </row>
    <row r="4093" spans="1:21" ht="43.2" x14ac:dyDescent="0.55000000000000004">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378"/>
        <v>0.1275</v>
      </c>
      <c r="P4093" s="16">
        <f t="shared" si="379"/>
        <v>25.5</v>
      </c>
      <c r="Q4093" t="str">
        <f t="shared" si="382"/>
        <v>theater</v>
      </c>
      <c r="R4093" t="str">
        <f t="shared" si="383"/>
        <v>plays</v>
      </c>
      <c r="S4093" s="4">
        <f t="shared" si="380"/>
        <v>41990.506377314814</v>
      </c>
      <c r="T4093" s="4">
        <f t="shared" si="381"/>
        <v>42020.506377314814</v>
      </c>
      <c r="U4093" s="5">
        <f>VLOOKUP(currency,Tables!$A$1:$C$14,3,FALSE)*pledged</f>
        <v>204</v>
      </c>
    </row>
    <row r="4094" spans="1:21" ht="43.2" x14ac:dyDescent="0.55000000000000004">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16">
        <f t="shared" si="379"/>
        <v>20</v>
      </c>
      <c r="Q4094" t="str">
        <f t="shared" si="382"/>
        <v>theater</v>
      </c>
      <c r="R4094" t="str">
        <f t="shared" si="383"/>
        <v>plays</v>
      </c>
      <c r="S4094" s="4">
        <f t="shared" si="380"/>
        <v>42039.194988425923</v>
      </c>
      <c r="T4094" s="4">
        <f t="shared" si="381"/>
        <v>42099.153321759266</v>
      </c>
      <c r="U4094" s="5">
        <f>VLOOKUP(currency,Tables!$A$1:$C$14,3,FALSE)*pledged</f>
        <v>20</v>
      </c>
    </row>
    <row r="4095" spans="1:21" ht="43.2" x14ac:dyDescent="0.55000000000000004">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378"/>
        <v>2.4E-2</v>
      </c>
      <c r="P4095" s="16">
        <f t="shared" si="379"/>
        <v>15</v>
      </c>
      <c r="Q4095" t="str">
        <f t="shared" si="382"/>
        <v>theater</v>
      </c>
      <c r="R4095" t="str">
        <f t="shared" si="383"/>
        <v>plays</v>
      </c>
      <c r="S4095" s="4">
        <f t="shared" si="380"/>
        <v>42178.815891203703</v>
      </c>
      <c r="T4095" s="4">
        <f t="shared" si="381"/>
        <v>42238.815891203703</v>
      </c>
      <c r="U4095" s="5">
        <f>VLOOKUP(currency,Tables!$A$1:$C$14,3,FALSE)*pledged</f>
        <v>79.2</v>
      </c>
    </row>
    <row r="4096" spans="1:21" ht="43.2" x14ac:dyDescent="0.55000000000000004">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16">
        <f t="shared" si="379"/>
        <v>91.25</v>
      </c>
      <c r="Q4096" t="str">
        <f t="shared" si="382"/>
        <v>theater</v>
      </c>
      <c r="R4096" t="str">
        <f t="shared" si="383"/>
        <v>plays</v>
      </c>
      <c r="S4096" s="4">
        <f t="shared" si="380"/>
        <v>41890.086805555555</v>
      </c>
      <c r="T4096" s="4">
        <f t="shared" si="381"/>
        <v>41934.207638888889</v>
      </c>
      <c r="U4096" s="5">
        <f>VLOOKUP(currency,Tables!$A$1:$C$14,3,FALSE)*pledged</f>
        <v>730</v>
      </c>
    </row>
    <row r="4097" spans="1:21" ht="28.8" x14ac:dyDescent="0.55000000000000004">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16">
        <f t="shared" si="379"/>
        <v>800</v>
      </c>
      <c r="Q4097" t="str">
        <f t="shared" si="382"/>
        <v>theater</v>
      </c>
      <c r="R4097" t="str">
        <f t="shared" si="383"/>
        <v>plays</v>
      </c>
      <c r="S4097" s="4">
        <f t="shared" si="380"/>
        <v>42693.031828703708</v>
      </c>
      <c r="T4097" s="4">
        <f t="shared" si="381"/>
        <v>42723.031828703708</v>
      </c>
      <c r="U4097" s="5">
        <f>VLOOKUP(currency,Tables!$A$1:$C$14,3,FALSE)*pledged</f>
        <v>36.799999999999997</v>
      </c>
    </row>
    <row r="4098" spans="1:21" ht="43.2" x14ac:dyDescent="0.55000000000000004">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ref="O4098:O4115" si="384">pledged/goal</f>
        <v>0.11428571428571428</v>
      </c>
      <c r="P4098" s="16">
        <f t="shared" ref="P4098:P4115" si="385">IF(pledged=0,0,pledged/backers_count)</f>
        <v>80</v>
      </c>
      <c r="Q4098" t="str">
        <f t="shared" si="382"/>
        <v>theater</v>
      </c>
      <c r="R4098" t="str">
        <f t="shared" si="383"/>
        <v>plays</v>
      </c>
      <c r="S4098" s="4">
        <f t="shared" ref="S4098:S4115" si="386">(((Unix_launched_date/60)/60)/24)+DATE(1970,1,1)</f>
        <v>42750.530312499999</v>
      </c>
      <c r="T4098" s="4">
        <f t="shared" ref="T4098:T4115" si="387">(((Unix_deadline/60)/60)/24)+DATE(1970,1,1)</f>
        <v>42794.368749999994</v>
      </c>
      <c r="U4098" s="5">
        <f>VLOOKUP(currency,Tables!$A$1:$C$14,3,FALSE)*pledged</f>
        <v>528</v>
      </c>
    </row>
    <row r="4099" spans="1:21" ht="43.2" x14ac:dyDescent="0.55000000000000004">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si="384"/>
        <v>0</v>
      </c>
      <c r="P4099" s="16">
        <f t="shared" si="385"/>
        <v>0</v>
      </c>
      <c r="Q4099" t="str">
        <f t="shared" ref="Q4099:Q4115" si="388">LEFT(N4099,FIND("/",N4099,1)-1)</f>
        <v>theater</v>
      </c>
      <c r="R4099" t="str">
        <f t="shared" ref="R4099:R4115" si="389">RIGHT(N4099,(LEN(N4099)-FIND("/",N4099,1)))</f>
        <v>plays</v>
      </c>
      <c r="S4099" s="4">
        <f t="shared" si="386"/>
        <v>42344.824502314819</v>
      </c>
      <c r="T4099" s="4">
        <f t="shared" si="387"/>
        <v>42400.996527777781</v>
      </c>
      <c r="U4099" s="5">
        <f>VLOOKUP(currency,Tables!$A$1:$C$14,3,FALSE)*pledged</f>
        <v>0</v>
      </c>
    </row>
    <row r="4100" spans="1:21" ht="43.2" x14ac:dyDescent="0.55000000000000004">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384"/>
        <v>0</v>
      </c>
      <c r="P4100" s="16">
        <f t="shared" si="385"/>
        <v>0</v>
      </c>
      <c r="Q4100" t="str">
        <f t="shared" si="388"/>
        <v>theater</v>
      </c>
      <c r="R4100" t="str">
        <f t="shared" si="389"/>
        <v>plays</v>
      </c>
      <c r="S4100" s="4">
        <f t="shared" si="386"/>
        <v>42495.722187499996</v>
      </c>
      <c r="T4100" s="4">
        <f t="shared" si="387"/>
        <v>42525.722187499996</v>
      </c>
      <c r="U4100" s="5">
        <f>VLOOKUP(currency,Tables!$A$1:$C$14,3,FALSE)*pledged</f>
        <v>0</v>
      </c>
    </row>
    <row r="4101" spans="1:21" ht="43.2" x14ac:dyDescent="0.55000000000000004">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16">
        <f t="shared" si="385"/>
        <v>50</v>
      </c>
      <c r="Q4101" t="str">
        <f t="shared" si="388"/>
        <v>theater</v>
      </c>
      <c r="R4101" t="str">
        <f t="shared" si="389"/>
        <v>plays</v>
      </c>
      <c r="S4101" s="4">
        <f t="shared" si="386"/>
        <v>42570.850381944445</v>
      </c>
      <c r="T4101" s="4">
        <f t="shared" si="387"/>
        <v>42615.850381944445</v>
      </c>
      <c r="U4101" s="5">
        <f>VLOOKUP(currency,Tables!$A$1:$C$14,3,FALSE)*pledged</f>
        <v>50</v>
      </c>
    </row>
    <row r="4102" spans="1:21" ht="28.8" x14ac:dyDescent="0.55000000000000004">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384"/>
        <v>0</v>
      </c>
      <c r="P4102" s="16">
        <f t="shared" si="385"/>
        <v>0</v>
      </c>
      <c r="Q4102" t="str">
        <f t="shared" si="388"/>
        <v>theater</v>
      </c>
      <c r="R4102" t="str">
        <f t="shared" si="389"/>
        <v>plays</v>
      </c>
      <c r="S4102" s="4">
        <f t="shared" si="386"/>
        <v>41927.124884259261</v>
      </c>
      <c r="T4102" s="4">
        <f t="shared" si="387"/>
        <v>41937.124884259261</v>
      </c>
      <c r="U4102" s="5">
        <f>VLOOKUP(currency,Tables!$A$1:$C$14,3,FALSE)*pledged</f>
        <v>0</v>
      </c>
    </row>
    <row r="4103" spans="1:21" ht="43.2" x14ac:dyDescent="0.55000000000000004">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384"/>
        <v>0</v>
      </c>
      <c r="P4103" s="16">
        <f t="shared" si="385"/>
        <v>0</v>
      </c>
      <c r="Q4103" t="str">
        <f t="shared" si="388"/>
        <v>theater</v>
      </c>
      <c r="R4103" t="str">
        <f t="shared" si="389"/>
        <v>plays</v>
      </c>
      <c r="S4103" s="4">
        <f t="shared" si="386"/>
        <v>42730.903726851851</v>
      </c>
      <c r="T4103" s="4">
        <f t="shared" si="387"/>
        <v>42760.903726851851</v>
      </c>
      <c r="U4103" s="5">
        <f>VLOOKUP(currency,Tables!$A$1:$C$14,3,FALSE)*pledged</f>
        <v>0</v>
      </c>
    </row>
    <row r="4104" spans="1:21" ht="43.2" x14ac:dyDescent="0.55000000000000004">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16">
        <f t="shared" si="385"/>
        <v>22.833333333333332</v>
      </c>
      <c r="Q4104" t="str">
        <f t="shared" si="388"/>
        <v>theater</v>
      </c>
      <c r="R4104" t="str">
        <f t="shared" si="389"/>
        <v>plays</v>
      </c>
      <c r="S4104" s="4">
        <f t="shared" si="386"/>
        <v>42475.848067129627</v>
      </c>
      <c r="T4104" s="4">
        <f t="shared" si="387"/>
        <v>42505.848067129627</v>
      </c>
      <c r="U4104" s="5">
        <f>VLOOKUP(currency,Tables!$A$1:$C$14,3,FALSE)*pledged</f>
        <v>137</v>
      </c>
    </row>
    <row r="4105" spans="1:21" ht="43.2" x14ac:dyDescent="0.55000000000000004">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384"/>
        <v>0.1</v>
      </c>
      <c r="P4105" s="16">
        <f t="shared" si="385"/>
        <v>16.666666666666668</v>
      </c>
      <c r="Q4105" t="str">
        <f t="shared" si="388"/>
        <v>theater</v>
      </c>
      <c r="R4105" t="str">
        <f t="shared" si="389"/>
        <v>plays</v>
      </c>
      <c r="S4105" s="4">
        <f t="shared" si="386"/>
        <v>42188.83293981482</v>
      </c>
      <c r="T4105" s="4">
        <f t="shared" si="387"/>
        <v>42242.772222222222</v>
      </c>
      <c r="U4105" s="5">
        <f>VLOOKUP(currency,Tables!$A$1:$C$14,3,FALSE)*pledged</f>
        <v>100</v>
      </c>
    </row>
    <row r="4106" spans="1:21" ht="43.2" x14ac:dyDescent="0.55000000000000004">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16">
        <f t="shared" si="385"/>
        <v>45.785714285714285</v>
      </c>
      <c r="Q4106" t="str">
        <f t="shared" si="388"/>
        <v>theater</v>
      </c>
      <c r="R4106" t="str">
        <f t="shared" si="389"/>
        <v>plays</v>
      </c>
      <c r="S4106" s="4">
        <f t="shared" si="386"/>
        <v>42640.278171296297</v>
      </c>
      <c r="T4106" s="4">
        <f t="shared" si="387"/>
        <v>42670.278171296297</v>
      </c>
      <c r="U4106" s="5">
        <f>VLOOKUP(currency,Tables!$A$1:$C$14,3,FALSE)*pledged</f>
        <v>467.93</v>
      </c>
    </row>
    <row r="4107" spans="1:21" ht="43.2" x14ac:dyDescent="0.55000000000000004">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16">
        <f t="shared" si="385"/>
        <v>383.33333333333331</v>
      </c>
      <c r="Q4107" t="str">
        <f t="shared" si="388"/>
        <v>theater</v>
      </c>
      <c r="R4107" t="str">
        <f t="shared" si="389"/>
        <v>plays</v>
      </c>
      <c r="S4107" s="4">
        <f t="shared" si="386"/>
        <v>42697.010520833333</v>
      </c>
      <c r="T4107" s="4">
        <f t="shared" si="387"/>
        <v>42730.010520833333</v>
      </c>
      <c r="U4107" s="5">
        <f>VLOOKUP(currency,Tables!$A$1:$C$14,3,FALSE)*pledged</f>
        <v>105.8</v>
      </c>
    </row>
    <row r="4108" spans="1:21" ht="43.2" x14ac:dyDescent="0.55000000000000004">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16">
        <f t="shared" si="385"/>
        <v>106.96969696969697</v>
      </c>
      <c r="Q4108" t="str">
        <f t="shared" si="388"/>
        <v>theater</v>
      </c>
      <c r="R4108" t="str">
        <f t="shared" si="389"/>
        <v>plays</v>
      </c>
      <c r="S4108" s="4">
        <f t="shared" si="386"/>
        <v>42053.049375000002</v>
      </c>
      <c r="T4108" s="4">
        <f t="shared" si="387"/>
        <v>42096.041666666672</v>
      </c>
      <c r="U4108" s="5">
        <f>VLOOKUP(currency,Tables!$A$1:$C$14,3,FALSE)*pledged</f>
        <v>3530</v>
      </c>
    </row>
    <row r="4109" spans="1:21" ht="43.2" x14ac:dyDescent="0.55000000000000004">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16">
        <f t="shared" si="385"/>
        <v>10.25</v>
      </c>
      <c r="Q4109" t="str">
        <f t="shared" si="388"/>
        <v>theater</v>
      </c>
      <c r="R4109" t="str">
        <f t="shared" si="389"/>
        <v>plays</v>
      </c>
      <c r="S4109" s="4">
        <f t="shared" si="386"/>
        <v>41883.916678240741</v>
      </c>
      <c r="T4109" s="4">
        <f t="shared" si="387"/>
        <v>41906.916678240741</v>
      </c>
      <c r="U4109" s="5">
        <f>VLOOKUP(currency,Tables!$A$1:$C$14,3,FALSE)*pledged</f>
        <v>41</v>
      </c>
    </row>
    <row r="4110" spans="1:21" ht="43.2" x14ac:dyDescent="0.55000000000000004">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16">
        <f t="shared" si="385"/>
        <v>59</v>
      </c>
      <c r="Q4110" t="str">
        <f t="shared" si="388"/>
        <v>theater</v>
      </c>
      <c r="R4110" t="str">
        <f t="shared" si="389"/>
        <v>plays</v>
      </c>
      <c r="S4110" s="4">
        <f t="shared" si="386"/>
        <v>42767.031678240746</v>
      </c>
      <c r="T4110" s="4">
        <f t="shared" si="387"/>
        <v>42797.208333333328</v>
      </c>
      <c r="U4110" s="5">
        <f>VLOOKUP(currency,Tables!$A$1:$C$14,3,FALSE)*pledged</f>
        <v>59</v>
      </c>
    </row>
    <row r="4111" spans="1:21" ht="43.2" x14ac:dyDescent="0.55000000000000004">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384"/>
        <v>0</v>
      </c>
      <c r="P4111" s="16">
        <f t="shared" si="385"/>
        <v>0</v>
      </c>
      <c r="Q4111" t="str">
        <f t="shared" si="388"/>
        <v>theater</v>
      </c>
      <c r="R4111" t="str">
        <f t="shared" si="389"/>
        <v>plays</v>
      </c>
      <c r="S4111" s="4">
        <f t="shared" si="386"/>
        <v>42307.539398148147</v>
      </c>
      <c r="T4111" s="4">
        <f t="shared" si="387"/>
        <v>42337.581064814818</v>
      </c>
      <c r="U4111" s="5">
        <f>VLOOKUP(currency,Tables!$A$1:$C$14,3,FALSE)*pledged</f>
        <v>0</v>
      </c>
    </row>
    <row r="4112" spans="1:21" ht="43.2" x14ac:dyDescent="0.55000000000000004">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16">
        <f t="shared" si="385"/>
        <v>14.333333333333334</v>
      </c>
      <c r="Q4112" t="str">
        <f t="shared" si="388"/>
        <v>theater</v>
      </c>
      <c r="R4112" t="str">
        <f t="shared" si="389"/>
        <v>plays</v>
      </c>
      <c r="S4112" s="4">
        <f t="shared" si="386"/>
        <v>42512.626747685179</v>
      </c>
      <c r="T4112" s="4">
        <f t="shared" si="387"/>
        <v>42572.626747685179</v>
      </c>
      <c r="U4112" s="5">
        <f>VLOOKUP(currency,Tables!$A$1:$C$14,3,FALSE)*pledged</f>
        <v>113.52000000000001</v>
      </c>
    </row>
    <row r="4113" spans="1:21" ht="43.2" x14ac:dyDescent="0.55000000000000004">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16">
        <f t="shared" si="385"/>
        <v>15.666666666666666</v>
      </c>
      <c r="Q4113" t="str">
        <f t="shared" si="388"/>
        <v>theater</v>
      </c>
      <c r="R4113" t="str">
        <f t="shared" si="389"/>
        <v>plays</v>
      </c>
      <c r="S4113" s="4">
        <f t="shared" si="386"/>
        <v>42029.135879629626</v>
      </c>
      <c r="T4113" s="4">
        <f t="shared" si="387"/>
        <v>42059.135879629626</v>
      </c>
      <c r="U4113" s="5">
        <f>VLOOKUP(currency,Tables!$A$1:$C$14,3,FALSE)*pledged</f>
        <v>94</v>
      </c>
    </row>
    <row r="4114" spans="1:21" ht="43.2" x14ac:dyDescent="0.55000000000000004">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16">
        <f t="shared" si="385"/>
        <v>1</v>
      </c>
      <c r="Q4114" t="str">
        <f t="shared" si="388"/>
        <v>theater</v>
      </c>
      <c r="R4114" t="str">
        <f t="shared" si="389"/>
        <v>plays</v>
      </c>
      <c r="S4114" s="4">
        <f t="shared" si="386"/>
        <v>42400.946597222224</v>
      </c>
      <c r="T4114" s="4">
        <f t="shared" si="387"/>
        <v>42428</v>
      </c>
      <c r="U4114" s="5">
        <f>VLOOKUP(currency,Tables!$A$1:$C$14,3,FALSE)*pledged</f>
        <v>1.18</v>
      </c>
    </row>
    <row r="4115" spans="1:21" ht="43.2" x14ac:dyDescent="0.55000000000000004">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384"/>
        <v>2E-3</v>
      </c>
      <c r="P4115" s="16">
        <f t="shared" si="385"/>
        <v>1</v>
      </c>
      <c r="Q4115" t="str">
        <f t="shared" si="388"/>
        <v>theater</v>
      </c>
      <c r="R4115" t="str">
        <f t="shared" si="389"/>
        <v>plays</v>
      </c>
      <c r="S4115" s="4">
        <f t="shared" si="386"/>
        <v>42358.573182870372</v>
      </c>
      <c r="T4115" s="4">
        <f t="shared" si="387"/>
        <v>42377.273611111115</v>
      </c>
      <c r="U4115" s="5">
        <f>VLOOKUP(currency,Tables!$A$1:$C$14,3,FALSE)*pledged</f>
        <v>3</v>
      </c>
    </row>
  </sheetData>
  <conditionalFormatting sqref="F1:F1048576">
    <cfRule type="cellIs" dxfId="17" priority="3" operator="equal">
      <formula>"live"</formula>
    </cfRule>
    <cfRule type="cellIs" dxfId="16" priority="4" operator="equal">
      <formula>"canceled"</formula>
    </cfRule>
    <cfRule type="cellIs" dxfId="15" priority="5" operator="equal">
      <formula>"failed"</formula>
    </cfRule>
    <cfRule type="cellIs" dxfId="14" priority="6" operator="equal">
      <formula>"successful"</formula>
    </cfRule>
  </conditionalFormatting>
  <conditionalFormatting sqref="O2:O4115">
    <cfRule type="colorScale" priority="2">
      <colorScale>
        <cfvo type="num" val="0"/>
        <cfvo type="num" val="1"/>
        <cfvo type="num" val="2"/>
        <color rgb="FFC01830"/>
        <color theme="9" tint="-0.249977111117893"/>
        <color theme="4" tint="-0.249977111117893"/>
      </colorScale>
    </cfRule>
  </conditionalFormatting>
  <conditionalFormatting sqref="P1:P1048576">
    <cfRule type="expression" dxfId="13" priority="1">
      <formula>"currency=""USD"","</formula>
    </cfRule>
  </conditionalFormatting>
  <pageMargins left="0.7" right="0.7" top="0.75" bottom="0.75" header="0.3" footer="0.3"/>
  <pageSetup orientation="portrait" horizontalDpi="300" verticalDpi="300" r:id="rId1"/>
  <legacyDrawing r:id="rId2"/>
  <tableParts count="1">
    <tablePart r:id="rId3"/>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EA60-2283-4E9D-A21A-2F3EB84555E8}">
  <sheetPr codeName="Sheet11"/>
  <dimension ref="A1:E15"/>
  <sheetViews>
    <sheetView workbookViewId="0">
      <selection activeCell="A15" sqref="A15"/>
    </sheetView>
  </sheetViews>
  <sheetFormatPr defaultRowHeight="14.4" x14ac:dyDescent="0.55000000000000004"/>
  <cols>
    <col min="1" max="1" width="12.05078125" bestFit="1" customWidth="1"/>
    <col min="2" max="2" width="13.3671875" bestFit="1" customWidth="1"/>
    <col min="4" max="4" width="14.3125" bestFit="1" customWidth="1"/>
    <col min="5" max="5" width="17.578125" customWidth="1"/>
    <col min="10" max="10" width="12.05078125" bestFit="1" customWidth="1"/>
  </cols>
  <sheetData>
    <row r="1" spans="1:5" x14ac:dyDescent="0.55000000000000004">
      <c r="A1" t="s">
        <v>8309</v>
      </c>
      <c r="B1" t="s">
        <v>8416</v>
      </c>
      <c r="C1" t="s">
        <v>8417</v>
      </c>
      <c r="D1" t="s">
        <v>8246</v>
      </c>
      <c r="E1" t="s">
        <v>8431</v>
      </c>
    </row>
    <row r="2" spans="1:5" x14ac:dyDescent="0.55000000000000004">
      <c r="A2" t="s">
        <v>8248</v>
      </c>
      <c r="B2">
        <v>714202.52</v>
      </c>
      <c r="C2">
        <v>0.73</v>
      </c>
      <c r="D2" s="5">
        <f t="shared" ref="D2:D5" si="0">B2*C2</f>
        <v>521367.83960000001</v>
      </c>
      <c r="E2" t="s">
        <v>8418</v>
      </c>
    </row>
    <row r="3" spans="1:5" x14ac:dyDescent="0.55000000000000004">
      <c r="A3" t="s">
        <v>8251</v>
      </c>
      <c r="B3">
        <v>769589.05</v>
      </c>
      <c r="C3">
        <v>0.76</v>
      </c>
      <c r="D3" s="5">
        <f t="shared" si="0"/>
        <v>584887.67800000007</v>
      </c>
      <c r="E3" t="s">
        <v>8419</v>
      </c>
    </row>
    <row r="4" spans="1:5" x14ac:dyDescent="0.55000000000000004">
      <c r="A4" t="s">
        <v>8257</v>
      </c>
      <c r="B4">
        <v>6334</v>
      </c>
      <c r="C4">
        <v>0.92</v>
      </c>
      <c r="D4" s="5">
        <f t="shared" si="0"/>
        <v>5827.2800000000007</v>
      </c>
      <c r="E4" t="s">
        <v>8420</v>
      </c>
    </row>
    <row r="5" spans="1:5" x14ac:dyDescent="0.55000000000000004">
      <c r="A5" t="s">
        <v>8253</v>
      </c>
      <c r="B5">
        <v>204294</v>
      </c>
      <c r="C5">
        <v>0.16</v>
      </c>
      <c r="D5" s="5">
        <f t="shared" si="0"/>
        <v>32687.040000000001</v>
      </c>
      <c r="E5" t="s">
        <v>8421</v>
      </c>
    </row>
    <row r="6" spans="1:5" x14ac:dyDescent="0.55000000000000004">
      <c r="A6" t="s">
        <v>8249</v>
      </c>
      <c r="B6">
        <v>3517185.8299999991</v>
      </c>
      <c r="C6">
        <v>1.18</v>
      </c>
      <c r="D6" s="5">
        <f>B6*C6</f>
        <v>4150279.279399999</v>
      </c>
      <c r="E6" t="s">
        <v>8422</v>
      </c>
    </row>
    <row r="7" spans="1:5" x14ac:dyDescent="0.55000000000000004">
      <c r="A7" t="s">
        <v>8247</v>
      </c>
      <c r="B7">
        <v>3498056.1400000011</v>
      </c>
      <c r="C7">
        <v>1.32</v>
      </c>
      <c r="D7" s="5">
        <f t="shared" ref="D7:D14" si="1">B7*C7</f>
        <v>4617434.1048000017</v>
      </c>
      <c r="E7" t="s">
        <v>8423</v>
      </c>
    </row>
    <row r="8" spans="1:5" x14ac:dyDescent="0.55000000000000004">
      <c r="A8" t="s">
        <v>8252</v>
      </c>
      <c r="B8">
        <v>205035</v>
      </c>
      <c r="C8">
        <v>0.13</v>
      </c>
      <c r="D8" s="5">
        <f t="shared" si="1"/>
        <v>26654.55</v>
      </c>
      <c r="E8" t="s">
        <v>8424</v>
      </c>
    </row>
    <row r="9" spans="1:5" x14ac:dyDescent="0.55000000000000004">
      <c r="A9" t="s">
        <v>8256</v>
      </c>
      <c r="B9">
        <v>78160</v>
      </c>
      <c r="C9">
        <v>4.5999999999999999E-2</v>
      </c>
      <c r="D9" s="5">
        <f t="shared" si="1"/>
        <v>3595.36</v>
      </c>
      <c r="E9" t="s">
        <v>8425</v>
      </c>
    </row>
    <row r="10" spans="1:5" x14ac:dyDescent="0.55000000000000004">
      <c r="A10" t="s">
        <v>8254</v>
      </c>
      <c r="B10">
        <v>493022</v>
      </c>
      <c r="C10">
        <v>0.11</v>
      </c>
      <c r="D10" s="5">
        <f t="shared" si="1"/>
        <v>54232.42</v>
      </c>
      <c r="E10" t="s">
        <v>8426</v>
      </c>
    </row>
    <row r="11" spans="1:5" x14ac:dyDescent="0.55000000000000004">
      <c r="A11" t="s">
        <v>8250</v>
      </c>
      <c r="B11">
        <v>43644</v>
      </c>
      <c r="C11">
        <v>0.67</v>
      </c>
      <c r="D11" s="5">
        <f t="shared" si="1"/>
        <v>29241.480000000003</v>
      </c>
      <c r="E11" t="s">
        <v>8427</v>
      </c>
    </row>
    <row r="12" spans="1:5" x14ac:dyDescent="0.55000000000000004">
      <c r="A12" t="s">
        <v>8255</v>
      </c>
      <c r="B12">
        <v>452442.55</v>
      </c>
      <c r="C12">
        <v>0.11</v>
      </c>
      <c r="D12" s="5">
        <f t="shared" si="1"/>
        <v>49768.680500000002</v>
      </c>
      <c r="E12" t="s">
        <v>8428</v>
      </c>
    </row>
    <row r="13" spans="1:5" x14ac:dyDescent="0.55000000000000004">
      <c r="A13" t="s">
        <v>8258</v>
      </c>
      <c r="B13">
        <v>9124</v>
      </c>
      <c r="C13">
        <v>0.73</v>
      </c>
      <c r="D13" s="5">
        <f t="shared" si="1"/>
        <v>6660.5199999999995</v>
      </c>
      <c r="E13" t="s">
        <v>8429</v>
      </c>
    </row>
    <row r="14" spans="1:5" x14ac:dyDescent="0.55000000000000004">
      <c r="A14" t="s">
        <v>8246</v>
      </c>
      <c r="B14">
        <v>36182652.570000008</v>
      </c>
      <c r="C14">
        <v>1</v>
      </c>
      <c r="D14" s="5">
        <f t="shared" si="1"/>
        <v>36182652.570000008</v>
      </c>
      <c r="E14" t="s">
        <v>8430</v>
      </c>
    </row>
    <row r="15" spans="1:5" x14ac:dyDescent="0.55000000000000004">
      <c r="A15" t="s">
        <v>8321</v>
      </c>
      <c r="D15" s="18">
        <f>SUM(D2:D14)</f>
        <v>46265288.802300006</v>
      </c>
    </row>
  </sheetData>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01463-D530-4EEB-BD88-535737931086}">
  <dimension ref="A1:F250"/>
  <sheetViews>
    <sheetView workbookViewId="0">
      <selection activeCell="I20" sqref="I20"/>
    </sheetView>
  </sheetViews>
  <sheetFormatPr defaultRowHeight="14.4" x14ac:dyDescent="0.55000000000000004"/>
  <cols>
    <col min="1" max="1" width="21.05078125" bestFit="1" customWidth="1"/>
    <col min="2" max="3" width="9.41796875" bestFit="1" customWidth="1"/>
    <col min="4" max="4" width="10.05078125" bestFit="1" customWidth="1"/>
    <col min="5" max="5" width="17" bestFit="1" customWidth="1"/>
    <col min="6" max="6" width="21.05078125" bestFit="1" customWidth="1"/>
  </cols>
  <sheetData>
    <row r="1" spans="1:6" x14ac:dyDescent="0.55000000000000004">
      <c r="A1" t="s">
        <v>8308</v>
      </c>
      <c r="B1" t="s">
        <v>8497</v>
      </c>
      <c r="C1" t="s">
        <v>8498</v>
      </c>
      <c r="D1" t="s">
        <v>8499</v>
      </c>
      <c r="E1" t="s">
        <v>8500</v>
      </c>
      <c r="F1" t="s">
        <v>8501</v>
      </c>
    </row>
    <row r="2" spans="1:6" x14ac:dyDescent="0.55000000000000004">
      <c r="A2" t="s">
        <v>8502</v>
      </c>
      <c r="B2" t="s">
        <v>8503</v>
      </c>
      <c r="C2" t="s">
        <v>8504</v>
      </c>
      <c r="D2">
        <v>4</v>
      </c>
      <c r="E2">
        <v>2087.3053230668288</v>
      </c>
    </row>
    <row r="3" spans="1:6" x14ac:dyDescent="0.55000000000000004">
      <c r="A3" t="s">
        <v>8505</v>
      </c>
      <c r="B3" t="s">
        <v>8506</v>
      </c>
      <c r="C3" t="s">
        <v>8507</v>
      </c>
      <c r="D3">
        <v>8</v>
      </c>
      <c r="E3">
        <v>11661.976872594259</v>
      </c>
    </row>
    <row r="4" spans="1:6" x14ac:dyDescent="0.55000000000000004">
      <c r="A4" t="s">
        <v>8508</v>
      </c>
      <c r="B4" t="s">
        <v>8509</v>
      </c>
      <c r="C4" t="s">
        <v>8510</v>
      </c>
      <c r="D4">
        <v>12</v>
      </c>
      <c r="E4">
        <v>12015.649081350091</v>
      </c>
    </row>
    <row r="5" spans="1:6" x14ac:dyDescent="0.55000000000000004">
      <c r="A5" t="s">
        <v>8511</v>
      </c>
      <c r="B5" t="s">
        <v>8512</v>
      </c>
      <c r="C5" t="s">
        <v>8513</v>
      </c>
      <c r="D5">
        <v>16</v>
      </c>
      <c r="E5">
        <v>0</v>
      </c>
    </row>
    <row r="6" spans="1:6" x14ac:dyDescent="0.55000000000000004">
      <c r="A6" t="s">
        <v>8514</v>
      </c>
      <c r="B6" t="s">
        <v>8515</v>
      </c>
      <c r="C6" t="s">
        <v>8516</v>
      </c>
      <c r="D6">
        <v>20</v>
      </c>
      <c r="E6">
        <v>0</v>
      </c>
    </row>
    <row r="7" spans="1:6" x14ac:dyDescent="0.55000000000000004">
      <c r="A7" t="s">
        <v>8517</v>
      </c>
      <c r="B7" t="s">
        <v>8518</v>
      </c>
      <c r="C7" t="s">
        <v>8519</v>
      </c>
      <c r="D7">
        <v>24</v>
      </c>
      <c r="E7">
        <v>7337.5695589067309</v>
      </c>
    </row>
    <row r="8" spans="1:6" x14ac:dyDescent="0.55000000000000004">
      <c r="A8" t="s">
        <v>8520</v>
      </c>
      <c r="B8" t="s">
        <v>8521</v>
      </c>
      <c r="C8" t="s">
        <v>8522</v>
      </c>
      <c r="D8">
        <v>660</v>
      </c>
    </row>
    <row r="9" spans="1:6" x14ac:dyDescent="0.55000000000000004">
      <c r="A9" t="s">
        <v>8523</v>
      </c>
      <c r="B9" t="s">
        <v>8524</v>
      </c>
      <c r="C9" t="s">
        <v>8525</v>
      </c>
      <c r="D9">
        <v>10</v>
      </c>
    </row>
    <row r="10" spans="1:6" x14ac:dyDescent="0.55000000000000004">
      <c r="A10" t="s">
        <v>8526</v>
      </c>
      <c r="B10" t="s">
        <v>8527</v>
      </c>
      <c r="C10" t="s">
        <v>8528</v>
      </c>
      <c r="D10">
        <v>28</v>
      </c>
      <c r="E10">
        <v>18912.317480917642</v>
      </c>
    </row>
    <row r="11" spans="1:6" x14ac:dyDescent="0.55000000000000004">
      <c r="A11" t="s">
        <v>8529</v>
      </c>
      <c r="B11" t="s">
        <v>8530</v>
      </c>
      <c r="C11" t="s">
        <v>8531</v>
      </c>
      <c r="D11">
        <v>32</v>
      </c>
      <c r="E11">
        <v>20105.198991816469</v>
      </c>
    </row>
    <row r="12" spans="1:6" x14ac:dyDescent="0.55000000000000004">
      <c r="A12" t="s">
        <v>8532</v>
      </c>
      <c r="B12" t="s">
        <v>8533</v>
      </c>
      <c r="C12" t="s">
        <v>8534</v>
      </c>
      <c r="D12">
        <v>51</v>
      </c>
      <c r="E12">
        <v>9969.6853007072095</v>
      </c>
    </row>
    <row r="13" spans="1:6" x14ac:dyDescent="0.55000000000000004">
      <c r="A13" t="s">
        <v>8535</v>
      </c>
      <c r="B13" t="s">
        <v>8536</v>
      </c>
      <c r="C13" t="s">
        <v>8537</v>
      </c>
      <c r="D13">
        <v>533</v>
      </c>
      <c r="E13">
        <v>36765.116071017466</v>
      </c>
    </row>
    <row r="14" spans="1:6" x14ac:dyDescent="0.55000000000000004">
      <c r="A14" t="s">
        <v>8538</v>
      </c>
      <c r="B14" t="s">
        <v>8539</v>
      </c>
      <c r="C14" t="s">
        <v>8226</v>
      </c>
      <c r="D14">
        <v>36</v>
      </c>
      <c r="E14">
        <v>46276.150685386259</v>
      </c>
    </row>
    <row r="15" spans="1:6" x14ac:dyDescent="0.55000000000000004">
      <c r="A15" t="s">
        <v>8540</v>
      </c>
      <c r="B15" t="s">
        <v>8541</v>
      </c>
      <c r="C15" t="s">
        <v>8239</v>
      </c>
      <c r="D15">
        <v>40</v>
      </c>
      <c r="E15">
        <v>49879.266472854491</v>
      </c>
    </row>
    <row r="16" spans="1:6" x14ac:dyDescent="0.55000000000000004">
      <c r="A16" t="s">
        <v>8542</v>
      </c>
      <c r="B16" t="s">
        <v>8543</v>
      </c>
      <c r="C16" t="s">
        <v>8544</v>
      </c>
      <c r="D16">
        <v>31</v>
      </c>
      <c r="E16">
        <v>14938.40112767149</v>
      </c>
    </row>
    <row r="17" spans="1:5" x14ac:dyDescent="0.55000000000000004">
      <c r="A17" t="s">
        <v>8545</v>
      </c>
      <c r="B17" t="s">
        <v>8546</v>
      </c>
      <c r="C17" t="s">
        <v>8547</v>
      </c>
      <c r="D17">
        <v>44</v>
      </c>
      <c r="E17">
        <v>33542.153588306421</v>
      </c>
    </row>
    <row r="18" spans="1:5" x14ac:dyDescent="0.55000000000000004">
      <c r="A18" t="s">
        <v>8548</v>
      </c>
      <c r="B18" t="s">
        <v>8549</v>
      </c>
      <c r="C18" t="s">
        <v>8550</v>
      </c>
      <c r="D18">
        <v>48</v>
      </c>
      <c r="E18">
        <v>45686.246643252278</v>
      </c>
    </row>
    <row r="19" spans="1:5" x14ac:dyDescent="0.55000000000000004">
      <c r="A19" t="s">
        <v>8551</v>
      </c>
      <c r="B19" t="s">
        <v>8552</v>
      </c>
      <c r="C19" t="s">
        <v>8553</v>
      </c>
      <c r="D19">
        <v>50</v>
      </c>
      <c r="E19">
        <v>3555.5055100035424</v>
      </c>
    </row>
    <row r="20" spans="1:5" x14ac:dyDescent="0.55000000000000004">
      <c r="A20" t="s">
        <v>8554</v>
      </c>
      <c r="B20" t="s">
        <v>8555</v>
      </c>
      <c r="C20" t="s">
        <v>8556</v>
      </c>
      <c r="D20">
        <v>52</v>
      </c>
      <c r="E20">
        <v>15510.824290377956</v>
      </c>
    </row>
    <row r="21" spans="1:5" x14ac:dyDescent="0.55000000000000004">
      <c r="A21" t="s">
        <v>8557</v>
      </c>
      <c r="B21" t="s">
        <v>8558</v>
      </c>
      <c r="C21" t="s">
        <v>8559</v>
      </c>
      <c r="D21">
        <v>112</v>
      </c>
      <c r="E21">
        <v>18041.242503616744</v>
      </c>
    </row>
    <row r="22" spans="1:5" x14ac:dyDescent="0.55000000000000004">
      <c r="A22" t="s">
        <v>8560</v>
      </c>
      <c r="B22" t="s">
        <v>8561</v>
      </c>
      <c r="C22" t="s">
        <v>8242</v>
      </c>
      <c r="D22">
        <v>56</v>
      </c>
      <c r="E22">
        <v>46213.266534010072</v>
      </c>
    </row>
    <row r="23" spans="1:5" x14ac:dyDescent="0.55000000000000004">
      <c r="A23" t="s">
        <v>8562</v>
      </c>
      <c r="B23" t="s">
        <v>8563</v>
      </c>
      <c r="C23" t="s">
        <v>8564</v>
      </c>
      <c r="D23">
        <v>84</v>
      </c>
      <c r="E23">
        <v>7244.3910783767715</v>
      </c>
    </row>
    <row r="24" spans="1:5" x14ac:dyDescent="0.55000000000000004">
      <c r="A24" t="s">
        <v>8565</v>
      </c>
      <c r="B24" t="s">
        <v>8566</v>
      </c>
      <c r="C24" t="s">
        <v>8567</v>
      </c>
      <c r="D24">
        <v>204</v>
      </c>
      <c r="E24">
        <v>2886.8318668060665</v>
      </c>
    </row>
    <row r="25" spans="1:5" x14ac:dyDescent="0.55000000000000004">
      <c r="A25" t="s">
        <v>8568</v>
      </c>
      <c r="B25" t="s">
        <v>8569</v>
      </c>
      <c r="C25" t="s">
        <v>8570</v>
      </c>
      <c r="D25">
        <v>60</v>
      </c>
      <c r="E25">
        <v>0</v>
      </c>
    </row>
    <row r="26" spans="1:5" x14ac:dyDescent="0.55000000000000004">
      <c r="A26" t="s">
        <v>8571</v>
      </c>
      <c r="B26" t="s">
        <v>8572</v>
      </c>
      <c r="C26" t="s">
        <v>8573</v>
      </c>
      <c r="D26">
        <v>64</v>
      </c>
      <c r="E26">
        <v>9500.7681887584531</v>
      </c>
    </row>
    <row r="27" spans="1:5" x14ac:dyDescent="0.55000000000000004">
      <c r="A27" t="s">
        <v>8574</v>
      </c>
      <c r="B27" t="s">
        <v>8575</v>
      </c>
      <c r="C27" t="s">
        <v>8576</v>
      </c>
      <c r="D27">
        <v>68</v>
      </c>
      <c r="E27">
        <v>7133.8744608285288</v>
      </c>
    </row>
    <row r="28" spans="1:5" x14ac:dyDescent="0.55000000000000004">
      <c r="A28" t="s">
        <v>8577</v>
      </c>
      <c r="B28" t="s">
        <v>8578</v>
      </c>
      <c r="C28" t="s">
        <v>8579</v>
      </c>
      <c r="D28">
        <v>535</v>
      </c>
    </row>
    <row r="29" spans="1:5" x14ac:dyDescent="0.55000000000000004">
      <c r="A29" t="s">
        <v>8580</v>
      </c>
      <c r="B29" t="s">
        <v>8581</v>
      </c>
      <c r="C29" t="s">
        <v>8582</v>
      </c>
      <c r="D29">
        <v>70</v>
      </c>
      <c r="E29">
        <v>12013.91993919688</v>
      </c>
    </row>
    <row r="30" spans="1:5" x14ac:dyDescent="0.55000000000000004">
      <c r="A30" t="s">
        <v>8583</v>
      </c>
      <c r="B30" t="s">
        <v>8584</v>
      </c>
      <c r="C30" t="s">
        <v>8585</v>
      </c>
      <c r="D30">
        <v>72</v>
      </c>
      <c r="E30">
        <v>15547.175884048447</v>
      </c>
    </row>
    <row r="31" spans="1:5" x14ac:dyDescent="0.55000000000000004">
      <c r="A31" t="s">
        <v>8586</v>
      </c>
      <c r="B31" t="s">
        <v>8587</v>
      </c>
      <c r="C31" t="s">
        <v>8588</v>
      </c>
      <c r="D31">
        <v>74</v>
      </c>
    </row>
    <row r="32" spans="1:5" x14ac:dyDescent="0.55000000000000004">
      <c r="A32" t="s">
        <v>8589</v>
      </c>
      <c r="B32" t="s">
        <v>8590</v>
      </c>
      <c r="C32" t="s">
        <v>8591</v>
      </c>
      <c r="D32">
        <v>76</v>
      </c>
      <c r="E32">
        <v>14744.112913386472</v>
      </c>
    </row>
    <row r="33" spans="1:5" x14ac:dyDescent="0.55000000000000004">
      <c r="A33" t="s">
        <v>8592</v>
      </c>
      <c r="B33" t="s">
        <v>8593</v>
      </c>
      <c r="C33" t="s">
        <v>8594</v>
      </c>
      <c r="D33">
        <v>86</v>
      </c>
    </row>
    <row r="34" spans="1:5" x14ac:dyDescent="0.55000000000000004">
      <c r="A34" t="s">
        <v>8595</v>
      </c>
      <c r="B34" t="s">
        <v>8596</v>
      </c>
      <c r="C34" t="s">
        <v>8597</v>
      </c>
      <c r="D34">
        <v>96</v>
      </c>
      <c r="E34">
        <v>62541.680359491031</v>
      </c>
    </row>
    <row r="35" spans="1:5" x14ac:dyDescent="0.55000000000000004">
      <c r="A35" t="s">
        <v>8598</v>
      </c>
      <c r="B35" t="s">
        <v>8599</v>
      </c>
      <c r="C35" t="s">
        <v>8600</v>
      </c>
      <c r="D35">
        <v>100</v>
      </c>
      <c r="E35">
        <v>18341.960585246492</v>
      </c>
    </row>
    <row r="36" spans="1:5" x14ac:dyDescent="0.55000000000000004">
      <c r="A36" t="s">
        <v>8601</v>
      </c>
      <c r="B36" t="s">
        <v>8602</v>
      </c>
      <c r="C36" t="s">
        <v>8603</v>
      </c>
      <c r="D36">
        <v>854</v>
      </c>
      <c r="E36">
        <v>1713.5193789995492</v>
      </c>
    </row>
    <row r="37" spans="1:5" x14ac:dyDescent="0.55000000000000004">
      <c r="A37" t="s">
        <v>8604</v>
      </c>
      <c r="B37" t="s">
        <v>8605</v>
      </c>
      <c r="C37" t="s">
        <v>8606</v>
      </c>
      <c r="D37">
        <v>108</v>
      </c>
      <c r="E37">
        <v>841.64635721572733</v>
      </c>
    </row>
    <row r="38" spans="1:5" x14ac:dyDescent="0.55000000000000004">
      <c r="A38" t="s">
        <v>8607</v>
      </c>
      <c r="B38" t="s">
        <v>8608</v>
      </c>
      <c r="C38" t="s">
        <v>8609</v>
      </c>
      <c r="D38">
        <v>132</v>
      </c>
      <c r="E38">
        <v>5994.3728324534432</v>
      </c>
    </row>
    <row r="39" spans="1:5" x14ac:dyDescent="0.55000000000000004">
      <c r="A39" t="s">
        <v>8610</v>
      </c>
      <c r="B39" t="s">
        <v>8611</v>
      </c>
      <c r="C39" t="s">
        <v>8612</v>
      </c>
      <c r="D39">
        <v>116</v>
      </c>
      <c r="E39">
        <v>3388.737419977489</v>
      </c>
    </row>
    <row r="40" spans="1:5" x14ac:dyDescent="0.55000000000000004">
      <c r="A40" t="s">
        <v>8613</v>
      </c>
      <c r="B40" t="s">
        <v>8614</v>
      </c>
      <c r="C40" t="s">
        <v>8615</v>
      </c>
      <c r="D40">
        <v>120</v>
      </c>
      <c r="E40">
        <v>3260.5249690601499</v>
      </c>
    </row>
    <row r="41" spans="1:5" x14ac:dyDescent="0.55000000000000004">
      <c r="A41" t="s">
        <v>8616</v>
      </c>
      <c r="B41" t="s">
        <v>8617</v>
      </c>
      <c r="C41" t="s">
        <v>8229</v>
      </c>
      <c r="D41">
        <v>124</v>
      </c>
      <c r="E41">
        <v>44671.440680907413</v>
      </c>
    </row>
    <row r="42" spans="1:5" x14ac:dyDescent="0.55000000000000004">
      <c r="A42" t="s">
        <v>8618</v>
      </c>
      <c r="B42" t="s">
        <v>8619</v>
      </c>
      <c r="C42" t="s">
        <v>8620</v>
      </c>
      <c r="D42">
        <v>136</v>
      </c>
      <c r="E42">
        <v>64230.412007869149</v>
      </c>
    </row>
    <row r="43" spans="1:5" x14ac:dyDescent="0.55000000000000004">
      <c r="A43" t="s">
        <v>8621</v>
      </c>
      <c r="B43" t="s">
        <v>8622</v>
      </c>
      <c r="C43" t="s">
        <v>8623</v>
      </c>
      <c r="D43">
        <v>140</v>
      </c>
      <c r="E43">
        <v>787.01308164224258</v>
      </c>
    </row>
    <row r="44" spans="1:5" x14ac:dyDescent="0.55000000000000004">
      <c r="A44" t="s">
        <v>8624</v>
      </c>
      <c r="B44" t="s">
        <v>8625</v>
      </c>
      <c r="C44" t="s">
        <v>8626</v>
      </c>
      <c r="D44">
        <v>148</v>
      </c>
      <c r="E44">
        <v>1820.0593928342296</v>
      </c>
    </row>
    <row r="45" spans="1:5" x14ac:dyDescent="0.55000000000000004">
      <c r="A45" t="s">
        <v>8627</v>
      </c>
      <c r="B45" t="s">
        <v>8628</v>
      </c>
      <c r="C45" t="s">
        <v>8629</v>
      </c>
      <c r="D45">
        <v>152</v>
      </c>
      <c r="E45">
        <v>22688.010028137047</v>
      </c>
    </row>
    <row r="46" spans="1:5" x14ac:dyDescent="0.55000000000000004">
      <c r="A46" t="s">
        <v>8630</v>
      </c>
      <c r="B46" t="s">
        <v>8631</v>
      </c>
      <c r="C46" t="s">
        <v>8632</v>
      </c>
      <c r="D46">
        <v>156</v>
      </c>
      <c r="E46">
        <v>12978.768570504501</v>
      </c>
    </row>
    <row r="47" spans="1:5" x14ac:dyDescent="0.55000000000000004">
      <c r="A47" t="s">
        <v>8633</v>
      </c>
      <c r="B47" t="s">
        <v>8634</v>
      </c>
      <c r="C47" t="s">
        <v>8635</v>
      </c>
      <c r="D47">
        <v>162</v>
      </c>
    </row>
    <row r="48" spans="1:5" x14ac:dyDescent="0.55000000000000004">
      <c r="A48" t="s">
        <v>8636</v>
      </c>
      <c r="B48" t="s">
        <v>8637</v>
      </c>
      <c r="C48" t="s">
        <v>8638</v>
      </c>
      <c r="D48">
        <v>166</v>
      </c>
    </row>
    <row r="49" spans="1:5" x14ac:dyDescent="0.55000000000000004">
      <c r="A49" t="s">
        <v>8639</v>
      </c>
      <c r="B49" t="s">
        <v>8640</v>
      </c>
      <c r="C49" t="s">
        <v>8641</v>
      </c>
      <c r="D49">
        <v>170</v>
      </c>
      <c r="E49">
        <v>13265.797256915121</v>
      </c>
    </row>
    <row r="50" spans="1:5" x14ac:dyDescent="0.55000000000000004">
      <c r="A50" t="s">
        <v>8642</v>
      </c>
      <c r="B50" t="s">
        <v>8643</v>
      </c>
      <c r="C50" t="s">
        <v>8644</v>
      </c>
      <c r="D50">
        <v>174</v>
      </c>
      <c r="E50">
        <v>2709.6008783092793</v>
      </c>
    </row>
    <row r="51" spans="1:5" x14ac:dyDescent="0.55000000000000004">
      <c r="A51" t="s">
        <v>8645</v>
      </c>
      <c r="B51" t="s">
        <v>8646</v>
      </c>
      <c r="C51" t="s">
        <v>8647</v>
      </c>
      <c r="D51">
        <v>180</v>
      </c>
      <c r="E51">
        <v>905.45045684589229</v>
      </c>
    </row>
    <row r="52" spans="1:5" x14ac:dyDescent="0.55000000000000004">
      <c r="A52" t="s">
        <v>8648</v>
      </c>
      <c r="B52" t="s">
        <v>8649</v>
      </c>
      <c r="C52" t="s">
        <v>8650</v>
      </c>
      <c r="D52">
        <v>178</v>
      </c>
      <c r="E52">
        <v>3338.900972473105</v>
      </c>
    </row>
    <row r="53" spans="1:5" x14ac:dyDescent="0.55000000000000004">
      <c r="A53" t="s">
        <v>8651</v>
      </c>
      <c r="B53" t="s">
        <v>8652</v>
      </c>
      <c r="C53" t="s">
        <v>8653</v>
      </c>
      <c r="D53">
        <v>184</v>
      </c>
    </row>
    <row r="54" spans="1:5" x14ac:dyDescent="0.55000000000000004">
      <c r="A54" t="s">
        <v>8654</v>
      </c>
      <c r="B54" t="s">
        <v>8655</v>
      </c>
      <c r="C54" t="s">
        <v>8656</v>
      </c>
      <c r="D54">
        <v>188</v>
      </c>
      <c r="E54">
        <v>16586.353032001593</v>
      </c>
    </row>
    <row r="55" spans="1:5" x14ac:dyDescent="0.55000000000000004">
      <c r="A55" t="s">
        <v>8657</v>
      </c>
      <c r="B55" t="s">
        <v>8658</v>
      </c>
      <c r="C55" t="s">
        <v>8659</v>
      </c>
      <c r="D55">
        <v>191</v>
      </c>
      <c r="E55">
        <v>23013.49804976326</v>
      </c>
    </row>
    <row r="56" spans="1:5" x14ac:dyDescent="0.55000000000000004">
      <c r="A56" t="s">
        <v>8660</v>
      </c>
      <c r="B56" t="s">
        <v>8661</v>
      </c>
      <c r="C56" t="s">
        <v>8662</v>
      </c>
      <c r="D56">
        <v>192</v>
      </c>
      <c r="E56">
        <v>0</v>
      </c>
    </row>
    <row r="57" spans="1:5" x14ac:dyDescent="0.55000000000000004">
      <c r="A57" t="s">
        <v>8663</v>
      </c>
      <c r="B57" t="s">
        <v>8664</v>
      </c>
      <c r="C57" t="s">
        <v>8665</v>
      </c>
      <c r="D57">
        <v>531</v>
      </c>
      <c r="E57">
        <v>25090.208124859619</v>
      </c>
    </row>
    <row r="58" spans="1:5" x14ac:dyDescent="0.55000000000000004">
      <c r="A58" t="s">
        <v>8666</v>
      </c>
      <c r="B58" t="s">
        <v>8667</v>
      </c>
      <c r="C58" t="s">
        <v>8668</v>
      </c>
      <c r="D58">
        <v>196</v>
      </c>
      <c r="E58">
        <v>31722.216208329599</v>
      </c>
    </row>
    <row r="59" spans="1:5" x14ac:dyDescent="0.55000000000000004">
      <c r="A59" t="s">
        <v>8669</v>
      </c>
      <c r="B59" t="s">
        <v>8670</v>
      </c>
      <c r="C59" t="s">
        <v>8671</v>
      </c>
      <c r="D59">
        <v>203</v>
      </c>
      <c r="E59">
        <v>33691.424239260756</v>
      </c>
    </row>
    <row r="60" spans="1:5" x14ac:dyDescent="0.55000000000000004">
      <c r="A60" t="s">
        <v>8672</v>
      </c>
      <c r="B60" t="s">
        <v>8673</v>
      </c>
      <c r="C60" t="s">
        <v>8674</v>
      </c>
      <c r="D60">
        <v>384</v>
      </c>
      <c r="E60">
        <v>4652.8906208502058</v>
      </c>
    </row>
    <row r="61" spans="1:5" x14ac:dyDescent="0.55000000000000004">
      <c r="A61" t="s">
        <v>8675</v>
      </c>
      <c r="B61" t="s">
        <v>8676</v>
      </c>
      <c r="C61" t="s">
        <v>8232</v>
      </c>
      <c r="D61">
        <v>208</v>
      </c>
      <c r="E61">
        <v>49058.501065841578</v>
      </c>
    </row>
    <row r="62" spans="1:5" x14ac:dyDescent="0.55000000000000004">
      <c r="A62" t="s">
        <v>8677</v>
      </c>
      <c r="B62" t="s">
        <v>8678</v>
      </c>
      <c r="C62" t="s">
        <v>8679</v>
      </c>
      <c r="D62">
        <v>262</v>
      </c>
      <c r="E62">
        <v>4574.4748761916235</v>
      </c>
    </row>
    <row r="63" spans="1:5" x14ac:dyDescent="0.55000000000000004">
      <c r="A63" t="s">
        <v>8680</v>
      </c>
      <c r="B63" t="s">
        <v>8681</v>
      </c>
      <c r="C63" t="s">
        <v>8682</v>
      </c>
      <c r="D63">
        <v>212</v>
      </c>
      <c r="E63">
        <v>11139.948977019669</v>
      </c>
    </row>
    <row r="64" spans="1:5" x14ac:dyDescent="0.55000000000000004">
      <c r="A64" t="s">
        <v>8683</v>
      </c>
      <c r="B64" t="s">
        <v>8684</v>
      </c>
      <c r="C64" t="s">
        <v>8685</v>
      </c>
      <c r="D64">
        <v>214</v>
      </c>
      <c r="E64">
        <v>14740.819698931924</v>
      </c>
    </row>
    <row r="65" spans="1:5" x14ac:dyDescent="0.55000000000000004">
      <c r="A65" t="s">
        <v>8686</v>
      </c>
      <c r="B65" t="s">
        <v>8687</v>
      </c>
      <c r="C65" t="s">
        <v>8688</v>
      </c>
      <c r="D65">
        <v>218</v>
      </c>
      <c r="E65">
        <v>11060.287632982532</v>
      </c>
    </row>
    <row r="66" spans="1:5" x14ac:dyDescent="0.55000000000000004">
      <c r="A66" t="s">
        <v>8689</v>
      </c>
      <c r="B66" t="s">
        <v>8690</v>
      </c>
      <c r="C66" t="s">
        <v>8691</v>
      </c>
      <c r="D66">
        <v>818</v>
      </c>
      <c r="E66">
        <v>11512.402393335216</v>
      </c>
    </row>
    <row r="67" spans="1:5" x14ac:dyDescent="0.55000000000000004">
      <c r="A67" t="s">
        <v>8692</v>
      </c>
      <c r="B67" t="s">
        <v>8693</v>
      </c>
      <c r="C67" t="s">
        <v>8694</v>
      </c>
      <c r="D67">
        <v>222</v>
      </c>
      <c r="E67">
        <v>7597.6855699405805</v>
      </c>
    </row>
    <row r="68" spans="1:5" x14ac:dyDescent="0.55000000000000004">
      <c r="A68" t="s">
        <v>8695</v>
      </c>
      <c r="B68" t="s">
        <v>8696</v>
      </c>
      <c r="C68" t="s">
        <v>8697</v>
      </c>
      <c r="D68">
        <v>226</v>
      </c>
      <c r="E68">
        <v>24042.497092299251</v>
      </c>
    </row>
    <row r="69" spans="1:5" x14ac:dyDescent="0.55000000000000004">
      <c r="A69" t="s">
        <v>8698</v>
      </c>
      <c r="B69" t="s">
        <v>8699</v>
      </c>
      <c r="C69" t="s">
        <v>8700</v>
      </c>
      <c r="D69">
        <v>232</v>
      </c>
      <c r="E69">
        <v>0</v>
      </c>
    </row>
    <row r="70" spans="1:5" x14ac:dyDescent="0.55000000000000004">
      <c r="A70" t="s">
        <v>8701</v>
      </c>
      <c r="B70" t="s">
        <v>8702</v>
      </c>
      <c r="C70" t="s">
        <v>8703</v>
      </c>
      <c r="D70">
        <v>233</v>
      </c>
      <c r="E70">
        <v>29397.129844996343</v>
      </c>
    </row>
    <row r="71" spans="1:5" x14ac:dyDescent="0.55000000000000004">
      <c r="A71" t="s">
        <v>8704</v>
      </c>
      <c r="B71" t="s">
        <v>8705</v>
      </c>
      <c r="C71" t="s">
        <v>8706</v>
      </c>
      <c r="D71">
        <v>748</v>
      </c>
      <c r="E71">
        <v>8843.6990950031231</v>
      </c>
    </row>
    <row r="72" spans="1:5" x14ac:dyDescent="0.55000000000000004">
      <c r="A72" t="s">
        <v>8707</v>
      </c>
      <c r="B72" t="s">
        <v>8708</v>
      </c>
      <c r="C72" t="s">
        <v>8709</v>
      </c>
      <c r="D72">
        <v>231</v>
      </c>
      <c r="E72">
        <v>1657.3450987514859</v>
      </c>
    </row>
    <row r="73" spans="1:5" x14ac:dyDescent="0.55000000000000004">
      <c r="A73" t="s">
        <v>8710</v>
      </c>
      <c r="B73" t="s">
        <v>8711</v>
      </c>
      <c r="C73" t="s">
        <v>8712</v>
      </c>
      <c r="D73">
        <v>238</v>
      </c>
    </row>
    <row r="74" spans="1:5" x14ac:dyDescent="0.55000000000000004">
      <c r="A74" t="s">
        <v>8713</v>
      </c>
      <c r="B74" t="s">
        <v>8714</v>
      </c>
      <c r="C74" t="s">
        <v>8715</v>
      </c>
      <c r="D74">
        <v>234</v>
      </c>
      <c r="E74">
        <v>0</v>
      </c>
    </row>
    <row r="75" spans="1:5" x14ac:dyDescent="0.55000000000000004">
      <c r="A75" t="s">
        <v>8716</v>
      </c>
      <c r="B75" t="s">
        <v>8717</v>
      </c>
      <c r="C75" t="s">
        <v>8718</v>
      </c>
      <c r="D75">
        <v>242</v>
      </c>
      <c r="E75">
        <v>12412.422133977318</v>
      </c>
    </row>
    <row r="76" spans="1:5" x14ac:dyDescent="0.55000000000000004">
      <c r="A76" t="s">
        <v>8719</v>
      </c>
      <c r="B76" t="s">
        <v>8720</v>
      </c>
      <c r="C76" t="s">
        <v>8721</v>
      </c>
      <c r="D76">
        <v>246</v>
      </c>
      <c r="E76">
        <v>42509.131308395874</v>
      </c>
    </row>
    <row r="77" spans="1:5" x14ac:dyDescent="0.55000000000000004">
      <c r="A77" t="s">
        <v>8722</v>
      </c>
      <c r="B77" t="s">
        <v>8723</v>
      </c>
      <c r="C77" t="s">
        <v>8230</v>
      </c>
      <c r="D77">
        <v>250</v>
      </c>
      <c r="E77">
        <v>40860.911217924076</v>
      </c>
    </row>
    <row r="78" spans="1:5" x14ac:dyDescent="0.55000000000000004">
      <c r="A78" t="s">
        <v>8724</v>
      </c>
      <c r="B78" t="s">
        <v>8725</v>
      </c>
      <c r="C78" t="s">
        <v>8726</v>
      </c>
      <c r="D78">
        <v>254</v>
      </c>
    </row>
    <row r="79" spans="1:5" x14ac:dyDescent="0.55000000000000004">
      <c r="A79" t="s">
        <v>8727</v>
      </c>
      <c r="B79" t="s">
        <v>8728</v>
      </c>
      <c r="C79" t="s">
        <v>8729</v>
      </c>
      <c r="D79">
        <v>258</v>
      </c>
      <c r="E79">
        <v>0</v>
      </c>
    </row>
    <row r="80" spans="1:5" x14ac:dyDescent="0.55000000000000004">
      <c r="A80" t="s">
        <v>8730</v>
      </c>
      <c r="B80" t="s">
        <v>8731</v>
      </c>
      <c r="C80" t="s">
        <v>8732</v>
      </c>
      <c r="D80">
        <v>260</v>
      </c>
    </row>
    <row r="81" spans="1:5" x14ac:dyDescent="0.55000000000000004">
      <c r="A81" t="s">
        <v>8733</v>
      </c>
      <c r="B81" t="s">
        <v>8734</v>
      </c>
      <c r="C81" t="s">
        <v>8735</v>
      </c>
      <c r="D81">
        <v>266</v>
      </c>
      <c r="E81">
        <v>14699.566236553344</v>
      </c>
    </row>
    <row r="82" spans="1:5" x14ac:dyDescent="0.55000000000000004">
      <c r="A82" t="s">
        <v>8736</v>
      </c>
      <c r="B82" t="s">
        <v>8737</v>
      </c>
      <c r="C82" t="s">
        <v>8738</v>
      </c>
      <c r="D82">
        <v>270</v>
      </c>
      <c r="E82">
        <v>2066.8593586011671</v>
      </c>
    </row>
    <row r="83" spans="1:5" x14ac:dyDescent="0.55000000000000004">
      <c r="A83" t="s">
        <v>8739</v>
      </c>
      <c r="B83" t="s">
        <v>8740</v>
      </c>
      <c r="C83" t="s">
        <v>8741</v>
      </c>
      <c r="D83">
        <v>268</v>
      </c>
      <c r="E83">
        <v>12089.169405044702</v>
      </c>
    </row>
    <row r="84" spans="1:5" x14ac:dyDescent="0.55000000000000004">
      <c r="A84" t="s">
        <v>8742</v>
      </c>
      <c r="B84" t="s">
        <v>8743</v>
      </c>
      <c r="C84" t="s">
        <v>8236</v>
      </c>
      <c r="D84">
        <v>276</v>
      </c>
      <c r="E84">
        <v>47683.788595995793</v>
      </c>
    </row>
    <row r="85" spans="1:5" x14ac:dyDescent="0.55000000000000004">
      <c r="A85" t="s">
        <v>8744</v>
      </c>
      <c r="B85" t="s">
        <v>8745</v>
      </c>
      <c r="C85" t="s">
        <v>8746</v>
      </c>
      <c r="D85">
        <v>288</v>
      </c>
      <c r="E85">
        <v>5117.337095033964</v>
      </c>
    </row>
    <row r="86" spans="1:5" x14ac:dyDescent="0.55000000000000004">
      <c r="A86" t="s">
        <v>8747</v>
      </c>
      <c r="B86" t="s">
        <v>8748</v>
      </c>
      <c r="C86" t="s">
        <v>8749</v>
      </c>
      <c r="D86">
        <v>292</v>
      </c>
      <c r="E86">
        <v>0</v>
      </c>
    </row>
    <row r="87" spans="1:5" x14ac:dyDescent="0.55000000000000004">
      <c r="A87" t="s">
        <v>8750</v>
      </c>
      <c r="B87" t="s">
        <v>8751</v>
      </c>
      <c r="C87" t="s">
        <v>8752</v>
      </c>
      <c r="D87">
        <v>300</v>
      </c>
      <c r="E87">
        <v>26902.525319840966</v>
      </c>
    </row>
    <row r="88" spans="1:5" x14ac:dyDescent="0.55000000000000004">
      <c r="A88" t="s">
        <v>8753</v>
      </c>
      <c r="B88" t="s">
        <v>8754</v>
      </c>
      <c r="C88" t="s">
        <v>8755</v>
      </c>
      <c r="D88">
        <v>304</v>
      </c>
      <c r="E88">
        <v>0</v>
      </c>
    </row>
    <row r="89" spans="1:5" x14ac:dyDescent="0.55000000000000004">
      <c r="A89" t="s">
        <v>8756</v>
      </c>
      <c r="B89" t="s">
        <v>8757</v>
      </c>
      <c r="C89" t="s">
        <v>8758</v>
      </c>
      <c r="D89">
        <v>308</v>
      </c>
      <c r="E89">
        <v>14152.417566527756</v>
      </c>
    </row>
    <row r="90" spans="1:5" x14ac:dyDescent="0.55000000000000004">
      <c r="A90" t="s">
        <v>8759</v>
      </c>
      <c r="B90" t="s">
        <v>8760</v>
      </c>
      <c r="C90" t="s">
        <v>8761</v>
      </c>
      <c r="D90">
        <v>312</v>
      </c>
    </row>
    <row r="91" spans="1:5" x14ac:dyDescent="0.55000000000000004">
      <c r="A91" t="s">
        <v>8762</v>
      </c>
      <c r="B91" t="s">
        <v>8763</v>
      </c>
      <c r="C91" t="s">
        <v>8764</v>
      </c>
      <c r="D91">
        <v>316</v>
      </c>
      <c r="E91">
        <v>0</v>
      </c>
    </row>
    <row r="92" spans="1:5" x14ac:dyDescent="0.55000000000000004">
      <c r="A92" t="s">
        <v>8765</v>
      </c>
      <c r="B92" t="s">
        <v>8766</v>
      </c>
      <c r="C92" t="s">
        <v>8767</v>
      </c>
      <c r="D92">
        <v>320</v>
      </c>
      <c r="E92">
        <v>8194.44068126819</v>
      </c>
    </row>
    <row r="93" spans="1:5" x14ac:dyDescent="0.55000000000000004">
      <c r="A93" t="s">
        <v>8768</v>
      </c>
      <c r="B93" t="s">
        <v>8769</v>
      </c>
      <c r="C93" t="s">
        <v>8770</v>
      </c>
      <c r="D93">
        <v>831</v>
      </c>
    </row>
    <row r="94" spans="1:5" x14ac:dyDescent="0.55000000000000004">
      <c r="A94" t="s">
        <v>8771</v>
      </c>
      <c r="B94" t="s">
        <v>8772</v>
      </c>
      <c r="C94" t="s">
        <v>8773</v>
      </c>
      <c r="D94">
        <v>324</v>
      </c>
      <c r="E94">
        <v>1819.3636159116472</v>
      </c>
    </row>
    <row r="95" spans="1:5" x14ac:dyDescent="0.55000000000000004">
      <c r="A95" t="s">
        <v>8774</v>
      </c>
      <c r="B95" t="s">
        <v>8775</v>
      </c>
      <c r="C95" t="s">
        <v>8776</v>
      </c>
      <c r="D95">
        <v>624</v>
      </c>
      <c r="E95">
        <v>1597.2088513533231</v>
      </c>
    </row>
    <row r="96" spans="1:5" x14ac:dyDescent="0.55000000000000004">
      <c r="A96" t="s">
        <v>8777</v>
      </c>
      <c r="B96" t="s">
        <v>8778</v>
      </c>
      <c r="C96" t="s">
        <v>8779</v>
      </c>
      <c r="D96">
        <v>328</v>
      </c>
      <c r="E96">
        <v>8365.6120836689406</v>
      </c>
    </row>
    <row r="97" spans="1:5" x14ac:dyDescent="0.55000000000000004">
      <c r="A97" t="s">
        <v>8780</v>
      </c>
      <c r="B97" t="s">
        <v>8781</v>
      </c>
      <c r="C97" t="s">
        <v>8782</v>
      </c>
      <c r="D97">
        <v>332</v>
      </c>
      <c r="E97">
        <v>1704.9305813923172</v>
      </c>
    </row>
    <row r="98" spans="1:5" x14ac:dyDescent="0.55000000000000004">
      <c r="A98" t="s">
        <v>8783</v>
      </c>
      <c r="B98" t="s">
        <v>8784</v>
      </c>
      <c r="C98" t="s">
        <v>8785</v>
      </c>
      <c r="D98">
        <v>334</v>
      </c>
    </row>
    <row r="99" spans="1:5" x14ac:dyDescent="0.55000000000000004">
      <c r="A99" t="s">
        <v>8786</v>
      </c>
      <c r="B99" t="s">
        <v>8787</v>
      </c>
      <c r="C99" t="s">
        <v>8788</v>
      </c>
      <c r="D99">
        <v>336</v>
      </c>
    </row>
    <row r="100" spans="1:5" x14ac:dyDescent="0.55000000000000004">
      <c r="A100" t="s">
        <v>8789</v>
      </c>
      <c r="B100" t="s">
        <v>8790</v>
      </c>
      <c r="C100" t="s">
        <v>8791</v>
      </c>
      <c r="D100">
        <v>340</v>
      </c>
      <c r="E100">
        <v>4823.3890440186169</v>
      </c>
    </row>
    <row r="101" spans="1:5" x14ac:dyDescent="0.55000000000000004">
      <c r="A101" t="s">
        <v>8792</v>
      </c>
      <c r="B101" t="s">
        <v>8793</v>
      </c>
      <c r="C101" t="s">
        <v>8231</v>
      </c>
      <c r="D101">
        <v>344</v>
      </c>
      <c r="E101">
        <v>56408.936273747997</v>
      </c>
    </row>
    <row r="102" spans="1:5" x14ac:dyDescent="0.55000000000000004">
      <c r="A102" t="s">
        <v>8794</v>
      </c>
      <c r="B102" t="s">
        <v>8795</v>
      </c>
      <c r="C102" t="s">
        <v>8796</v>
      </c>
      <c r="D102">
        <v>348</v>
      </c>
      <c r="E102">
        <v>26668.04087524335</v>
      </c>
    </row>
    <row r="103" spans="1:5" x14ac:dyDescent="0.55000000000000004">
      <c r="A103" t="s">
        <v>8797</v>
      </c>
      <c r="B103" t="s">
        <v>8798</v>
      </c>
      <c r="C103" t="s">
        <v>8799</v>
      </c>
      <c r="D103">
        <v>352</v>
      </c>
      <c r="E103">
        <v>48854.345441808917</v>
      </c>
    </row>
    <row r="104" spans="1:5" x14ac:dyDescent="0.55000000000000004">
      <c r="A104" t="s">
        <v>8800</v>
      </c>
      <c r="B104" t="s">
        <v>8801</v>
      </c>
      <c r="C104" t="s">
        <v>8802</v>
      </c>
      <c r="D104">
        <v>356</v>
      </c>
      <c r="E104">
        <v>5464.8591405152456</v>
      </c>
    </row>
    <row r="105" spans="1:5" x14ac:dyDescent="0.55000000000000004">
      <c r="A105" t="s">
        <v>8803</v>
      </c>
      <c r="B105" t="s">
        <v>8804</v>
      </c>
      <c r="C105" t="s">
        <v>8805</v>
      </c>
      <c r="D105">
        <v>360</v>
      </c>
      <c r="E105">
        <v>10247.206377812008</v>
      </c>
    </row>
    <row r="106" spans="1:5" x14ac:dyDescent="0.55000000000000004">
      <c r="A106" t="s">
        <v>8806</v>
      </c>
      <c r="B106" t="s">
        <v>8807</v>
      </c>
      <c r="C106" t="s">
        <v>8808</v>
      </c>
      <c r="D106">
        <v>364</v>
      </c>
      <c r="E106">
        <v>13588.467601249771</v>
      </c>
    </row>
    <row r="107" spans="1:5" x14ac:dyDescent="0.55000000000000004">
      <c r="A107" t="s">
        <v>8809</v>
      </c>
      <c r="B107" t="s">
        <v>8810</v>
      </c>
      <c r="C107" t="s">
        <v>8811</v>
      </c>
      <c r="D107">
        <v>368</v>
      </c>
      <c r="E107">
        <v>10391.777705784623</v>
      </c>
    </row>
    <row r="108" spans="1:5" x14ac:dyDescent="0.55000000000000004">
      <c r="A108" t="s">
        <v>8812</v>
      </c>
      <c r="B108" t="s">
        <v>8813</v>
      </c>
      <c r="C108" t="s">
        <v>8241</v>
      </c>
      <c r="D108">
        <v>372</v>
      </c>
      <c r="E108">
        <v>69056.046036869491</v>
      </c>
    </row>
    <row r="109" spans="1:5" x14ac:dyDescent="0.55000000000000004">
      <c r="A109" t="s">
        <v>8814</v>
      </c>
      <c r="B109" t="s">
        <v>8815</v>
      </c>
      <c r="C109" t="s">
        <v>8816</v>
      </c>
      <c r="D109">
        <v>833</v>
      </c>
      <c r="E109">
        <v>0</v>
      </c>
    </row>
    <row r="110" spans="1:5" x14ac:dyDescent="0.55000000000000004">
      <c r="A110" t="s">
        <v>8817</v>
      </c>
      <c r="B110" t="s">
        <v>8818</v>
      </c>
      <c r="C110" t="s">
        <v>8819</v>
      </c>
      <c r="D110">
        <v>376</v>
      </c>
      <c r="E110">
        <v>35436.810873088762</v>
      </c>
    </row>
    <row r="111" spans="1:5" x14ac:dyDescent="0.55000000000000004">
      <c r="A111" t="s">
        <v>8820</v>
      </c>
      <c r="B111" t="s">
        <v>8821</v>
      </c>
      <c r="C111" t="s">
        <v>8237</v>
      </c>
      <c r="D111">
        <v>380</v>
      </c>
      <c r="E111">
        <v>36909.328374273391</v>
      </c>
    </row>
    <row r="112" spans="1:5" x14ac:dyDescent="0.55000000000000004">
      <c r="A112" t="s">
        <v>8822</v>
      </c>
      <c r="B112" t="s">
        <v>8823</v>
      </c>
      <c r="C112" t="s">
        <v>8824</v>
      </c>
      <c r="D112">
        <v>388</v>
      </c>
      <c r="E112">
        <v>8791.2979492890136</v>
      </c>
    </row>
    <row r="113" spans="1:5" x14ac:dyDescent="0.55000000000000004">
      <c r="A113" t="s">
        <v>8825</v>
      </c>
      <c r="B113" t="s">
        <v>8826</v>
      </c>
      <c r="C113" t="s">
        <v>8827</v>
      </c>
      <c r="D113">
        <v>392</v>
      </c>
      <c r="E113">
        <v>40396.243209214146</v>
      </c>
    </row>
    <row r="114" spans="1:5" x14ac:dyDescent="0.55000000000000004">
      <c r="A114" t="s">
        <v>8828</v>
      </c>
      <c r="B114" t="s">
        <v>8829</v>
      </c>
      <c r="C114" t="s">
        <v>8830</v>
      </c>
      <c r="D114">
        <v>832</v>
      </c>
    </row>
    <row r="115" spans="1:5" x14ac:dyDescent="0.55000000000000004">
      <c r="A115" t="s">
        <v>8831</v>
      </c>
      <c r="B115" t="s">
        <v>8832</v>
      </c>
      <c r="C115" t="s">
        <v>8833</v>
      </c>
      <c r="D115">
        <v>400</v>
      </c>
      <c r="E115">
        <v>9331.3398334007506</v>
      </c>
    </row>
    <row r="116" spans="1:5" x14ac:dyDescent="0.55000000000000004">
      <c r="A116" t="s">
        <v>8834</v>
      </c>
      <c r="B116" t="s">
        <v>8835</v>
      </c>
      <c r="C116" t="s">
        <v>8836</v>
      </c>
      <c r="D116">
        <v>398</v>
      </c>
      <c r="E116">
        <v>23224.117835357349</v>
      </c>
    </row>
    <row r="117" spans="1:5" x14ac:dyDescent="0.55000000000000004">
      <c r="A117" t="s">
        <v>8837</v>
      </c>
      <c r="B117" t="s">
        <v>8838</v>
      </c>
      <c r="C117" t="s">
        <v>8839</v>
      </c>
      <c r="D117">
        <v>404</v>
      </c>
      <c r="E117">
        <v>3361.9773481545926</v>
      </c>
    </row>
    <row r="118" spans="1:5" x14ac:dyDescent="0.55000000000000004">
      <c r="A118" t="s">
        <v>8840</v>
      </c>
      <c r="B118" t="s">
        <v>8841</v>
      </c>
      <c r="C118" t="s">
        <v>8842</v>
      </c>
      <c r="D118">
        <v>296</v>
      </c>
      <c r="E118">
        <v>2110.1172729623299</v>
      </c>
    </row>
    <row r="119" spans="1:5" x14ac:dyDescent="0.55000000000000004">
      <c r="A119" t="s">
        <v>8843</v>
      </c>
      <c r="B119" t="s">
        <v>8844</v>
      </c>
      <c r="C119" t="s">
        <v>8845</v>
      </c>
      <c r="D119">
        <v>408</v>
      </c>
      <c r="E119">
        <v>0</v>
      </c>
    </row>
    <row r="120" spans="1:5" x14ac:dyDescent="0.55000000000000004">
      <c r="A120" t="s">
        <v>8846</v>
      </c>
      <c r="B120" t="s">
        <v>8847</v>
      </c>
      <c r="C120" t="s">
        <v>8848</v>
      </c>
      <c r="D120">
        <v>410</v>
      </c>
      <c r="E120">
        <v>37907.500310201576</v>
      </c>
    </row>
    <row r="121" spans="1:5" x14ac:dyDescent="0.55000000000000004">
      <c r="A121" t="s">
        <v>8849</v>
      </c>
      <c r="B121" t="s">
        <v>8850</v>
      </c>
      <c r="C121" t="s">
        <v>8851</v>
      </c>
      <c r="D121">
        <v>414</v>
      </c>
      <c r="E121">
        <v>47230.623191534702</v>
      </c>
    </row>
    <row r="122" spans="1:5" x14ac:dyDescent="0.55000000000000004">
      <c r="A122" t="s">
        <v>8852</v>
      </c>
      <c r="B122" t="s">
        <v>8853</v>
      </c>
      <c r="C122" t="s">
        <v>8854</v>
      </c>
      <c r="D122">
        <v>417</v>
      </c>
      <c r="E122">
        <v>4214.8295088618625</v>
      </c>
    </row>
    <row r="123" spans="1:5" x14ac:dyDescent="0.55000000000000004">
      <c r="A123" t="s">
        <v>8855</v>
      </c>
      <c r="B123" t="s">
        <v>8856</v>
      </c>
      <c r="C123" t="s">
        <v>8857</v>
      </c>
      <c r="D123">
        <v>418</v>
      </c>
      <c r="E123">
        <v>6168.4776422142795</v>
      </c>
    </row>
    <row r="124" spans="1:5" x14ac:dyDescent="0.55000000000000004">
      <c r="A124" t="s">
        <v>8858</v>
      </c>
      <c r="B124" t="s">
        <v>8859</v>
      </c>
      <c r="C124" t="s">
        <v>8860</v>
      </c>
      <c r="D124">
        <v>428</v>
      </c>
      <c r="E124">
        <v>24830.922965742739</v>
      </c>
    </row>
    <row r="125" spans="1:5" x14ac:dyDescent="0.55000000000000004">
      <c r="A125" t="s">
        <v>8861</v>
      </c>
      <c r="B125" t="s">
        <v>8862</v>
      </c>
      <c r="C125" t="s">
        <v>8863</v>
      </c>
      <c r="D125">
        <v>422</v>
      </c>
      <c r="E125">
        <v>15067.774601786436</v>
      </c>
    </row>
    <row r="126" spans="1:5" x14ac:dyDescent="0.55000000000000004">
      <c r="A126" t="s">
        <v>8864</v>
      </c>
      <c r="B126" t="s">
        <v>8865</v>
      </c>
      <c r="C126" t="s">
        <v>8866</v>
      </c>
      <c r="D126">
        <v>426</v>
      </c>
      <c r="E126">
        <v>3093.710718661684</v>
      </c>
    </row>
    <row r="127" spans="1:5" x14ac:dyDescent="0.55000000000000004">
      <c r="A127" t="s">
        <v>8867</v>
      </c>
      <c r="B127" t="s">
        <v>8868</v>
      </c>
      <c r="C127" t="s">
        <v>8869</v>
      </c>
      <c r="D127">
        <v>430</v>
      </c>
      <c r="E127">
        <v>1292.0965181085653</v>
      </c>
    </row>
    <row r="128" spans="1:5" x14ac:dyDescent="0.55000000000000004">
      <c r="A128" t="s">
        <v>8870</v>
      </c>
      <c r="B128" t="s">
        <v>8871</v>
      </c>
      <c r="C128" t="s">
        <v>8872</v>
      </c>
      <c r="D128">
        <v>434</v>
      </c>
      <c r="E128">
        <v>12220.023401598415</v>
      </c>
    </row>
    <row r="129" spans="1:5" x14ac:dyDescent="0.55000000000000004">
      <c r="A129" t="s">
        <v>8873</v>
      </c>
      <c r="B129" t="s">
        <v>8874</v>
      </c>
      <c r="C129" t="s">
        <v>8875</v>
      </c>
      <c r="D129">
        <v>438</v>
      </c>
      <c r="E129">
        <v>0</v>
      </c>
    </row>
    <row r="130" spans="1:5" x14ac:dyDescent="0.55000000000000004">
      <c r="A130" t="s">
        <v>8876</v>
      </c>
      <c r="B130" t="s">
        <v>8877</v>
      </c>
      <c r="C130" t="s">
        <v>8878</v>
      </c>
      <c r="D130">
        <v>440</v>
      </c>
      <c r="E130">
        <v>28823.818092494304</v>
      </c>
    </row>
    <row r="131" spans="1:5" x14ac:dyDescent="0.55000000000000004">
      <c r="A131" t="s">
        <v>8879</v>
      </c>
      <c r="B131" t="s">
        <v>8880</v>
      </c>
      <c r="C131" t="s">
        <v>8243</v>
      </c>
      <c r="D131">
        <v>442</v>
      </c>
      <c r="E131">
        <v>103750.7751040537</v>
      </c>
    </row>
    <row r="132" spans="1:5" x14ac:dyDescent="0.55000000000000004">
      <c r="A132" t="s">
        <v>8881</v>
      </c>
      <c r="B132" t="s">
        <v>8882</v>
      </c>
      <c r="C132" t="s">
        <v>8883</v>
      </c>
      <c r="D132">
        <v>446</v>
      </c>
      <c r="E132">
        <v>117110.18783997621</v>
      </c>
    </row>
    <row r="133" spans="1:5" x14ac:dyDescent="0.55000000000000004">
      <c r="A133" t="s">
        <v>8884</v>
      </c>
      <c r="B133" t="s">
        <v>8885</v>
      </c>
      <c r="C133" t="s">
        <v>8886</v>
      </c>
      <c r="D133">
        <v>450</v>
      </c>
      <c r="E133">
        <v>1546.8371137340207</v>
      </c>
    </row>
    <row r="134" spans="1:5" x14ac:dyDescent="0.55000000000000004">
      <c r="A134" t="s">
        <v>8887</v>
      </c>
      <c r="B134" t="s">
        <v>8888</v>
      </c>
      <c r="C134" t="s">
        <v>8889</v>
      </c>
      <c r="D134">
        <v>454</v>
      </c>
      <c r="E134">
        <v>1018.935262463208</v>
      </c>
    </row>
    <row r="135" spans="1:5" x14ac:dyDescent="0.55000000000000004">
      <c r="A135" t="s">
        <v>8890</v>
      </c>
      <c r="B135" t="s">
        <v>8891</v>
      </c>
      <c r="C135" t="s">
        <v>8892</v>
      </c>
      <c r="D135">
        <v>458</v>
      </c>
      <c r="E135">
        <v>24801.886949319018</v>
      </c>
    </row>
    <row r="136" spans="1:5" x14ac:dyDescent="0.55000000000000004">
      <c r="A136" t="s">
        <v>8893</v>
      </c>
      <c r="B136" t="s">
        <v>8894</v>
      </c>
      <c r="C136" t="s">
        <v>8895</v>
      </c>
      <c r="D136">
        <v>462</v>
      </c>
      <c r="E136">
        <v>16768.697317529481</v>
      </c>
    </row>
    <row r="137" spans="1:5" x14ac:dyDescent="0.55000000000000004">
      <c r="A137" t="s">
        <v>8896</v>
      </c>
      <c r="B137" t="s">
        <v>8897</v>
      </c>
      <c r="C137" t="s">
        <v>8898</v>
      </c>
      <c r="D137">
        <v>466</v>
      </c>
      <c r="E137">
        <v>2032.6656668005296</v>
      </c>
    </row>
    <row r="138" spans="1:5" x14ac:dyDescent="0.55000000000000004">
      <c r="A138" t="s">
        <v>8899</v>
      </c>
      <c r="B138" t="s">
        <v>8900</v>
      </c>
      <c r="C138" t="s">
        <v>8901</v>
      </c>
      <c r="D138">
        <v>470</v>
      </c>
      <c r="E138">
        <v>36083.367757501743</v>
      </c>
    </row>
    <row r="139" spans="1:5" x14ac:dyDescent="0.55000000000000004">
      <c r="A139" t="s">
        <v>8902</v>
      </c>
      <c r="B139" t="s">
        <v>8903</v>
      </c>
      <c r="C139" t="s">
        <v>8904</v>
      </c>
      <c r="D139">
        <v>584</v>
      </c>
      <c r="E139">
        <v>3519.2181454013612</v>
      </c>
    </row>
    <row r="140" spans="1:5" x14ac:dyDescent="0.55000000000000004">
      <c r="A140" t="s">
        <v>8905</v>
      </c>
      <c r="B140" t="s">
        <v>8906</v>
      </c>
      <c r="C140" t="s">
        <v>8907</v>
      </c>
      <c r="D140">
        <v>474</v>
      </c>
    </row>
    <row r="141" spans="1:5" x14ac:dyDescent="0.55000000000000004">
      <c r="A141" t="s">
        <v>8908</v>
      </c>
      <c r="B141" t="s">
        <v>8909</v>
      </c>
      <c r="C141" t="s">
        <v>8910</v>
      </c>
      <c r="D141">
        <v>478</v>
      </c>
      <c r="E141">
        <v>4200.155677335315</v>
      </c>
    </row>
    <row r="142" spans="1:5" x14ac:dyDescent="0.55000000000000004">
      <c r="A142" t="s">
        <v>8911</v>
      </c>
      <c r="B142" t="s">
        <v>8912</v>
      </c>
      <c r="C142" t="s">
        <v>8913</v>
      </c>
      <c r="D142">
        <v>480</v>
      </c>
      <c r="E142">
        <v>19229.835488721103</v>
      </c>
    </row>
    <row r="143" spans="1:5" x14ac:dyDescent="0.55000000000000004">
      <c r="A143" t="s">
        <v>8914</v>
      </c>
      <c r="B143" t="s">
        <v>8915</v>
      </c>
      <c r="C143" t="s">
        <v>8916</v>
      </c>
      <c r="D143">
        <v>175</v>
      </c>
    </row>
    <row r="144" spans="1:5" x14ac:dyDescent="0.55000000000000004">
      <c r="A144" t="s">
        <v>8917</v>
      </c>
      <c r="B144" t="s">
        <v>8918</v>
      </c>
      <c r="C144" t="s">
        <v>8238</v>
      </c>
      <c r="D144">
        <v>484</v>
      </c>
      <c r="E144">
        <v>18284.882843808475</v>
      </c>
    </row>
    <row r="145" spans="1:5" x14ac:dyDescent="0.55000000000000004">
      <c r="A145" t="s">
        <v>8919</v>
      </c>
      <c r="B145" t="s">
        <v>8920</v>
      </c>
      <c r="C145" t="s">
        <v>8921</v>
      </c>
      <c r="D145">
        <v>583</v>
      </c>
      <c r="E145">
        <v>3354.5081530593761</v>
      </c>
    </row>
    <row r="146" spans="1:5" x14ac:dyDescent="0.55000000000000004">
      <c r="A146" t="s">
        <v>8922</v>
      </c>
      <c r="B146" t="s">
        <v>8923</v>
      </c>
      <c r="C146" t="s">
        <v>8924</v>
      </c>
      <c r="D146">
        <v>498</v>
      </c>
      <c r="E146">
        <v>9254.8486051297623</v>
      </c>
    </row>
    <row r="147" spans="1:5" x14ac:dyDescent="0.55000000000000004">
      <c r="A147" t="s">
        <v>8925</v>
      </c>
      <c r="B147" t="s">
        <v>8926</v>
      </c>
      <c r="C147" t="s">
        <v>8927</v>
      </c>
      <c r="D147">
        <v>492</v>
      </c>
      <c r="E147">
        <v>0</v>
      </c>
    </row>
    <row r="148" spans="1:5" x14ac:dyDescent="0.55000000000000004">
      <c r="A148" t="s">
        <v>8928</v>
      </c>
      <c r="B148" t="s">
        <v>8929</v>
      </c>
      <c r="C148" t="s">
        <v>8930</v>
      </c>
      <c r="D148">
        <v>496</v>
      </c>
      <c r="E148">
        <v>10767.133198946573</v>
      </c>
    </row>
    <row r="149" spans="1:5" x14ac:dyDescent="0.55000000000000004">
      <c r="A149" t="s">
        <v>8931</v>
      </c>
      <c r="B149" t="s">
        <v>8932</v>
      </c>
      <c r="C149" t="s">
        <v>8933</v>
      </c>
      <c r="D149">
        <v>499</v>
      </c>
      <c r="E149">
        <v>16337.14260035836</v>
      </c>
    </row>
    <row r="150" spans="1:5" x14ac:dyDescent="0.55000000000000004">
      <c r="A150" t="s">
        <v>8934</v>
      </c>
      <c r="B150" t="s">
        <v>8935</v>
      </c>
      <c r="C150" t="s">
        <v>8936</v>
      </c>
      <c r="D150">
        <v>500</v>
      </c>
    </row>
    <row r="151" spans="1:5" x14ac:dyDescent="0.55000000000000004">
      <c r="A151" t="s">
        <v>8937</v>
      </c>
      <c r="B151" t="s">
        <v>8938</v>
      </c>
      <c r="C151" t="s">
        <v>8939</v>
      </c>
      <c r="D151">
        <v>504</v>
      </c>
      <c r="E151">
        <v>7024.9630890266299</v>
      </c>
    </row>
    <row r="152" spans="1:5" x14ac:dyDescent="0.55000000000000004">
      <c r="A152" t="s">
        <v>8940</v>
      </c>
      <c r="B152" t="s">
        <v>8941</v>
      </c>
      <c r="C152" t="s">
        <v>8942</v>
      </c>
      <c r="D152">
        <v>508</v>
      </c>
      <c r="E152">
        <v>1291.2679859310008</v>
      </c>
    </row>
    <row r="153" spans="1:5" x14ac:dyDescent="0.55000000000000004">
      <c r="A153" t="s">
        <v>8943</v>
      </c>
      <c r="B153" t="s">
        <v>8944</v>
      </c>
      <c r="C153" t="s">
        <v>8945</v>
      </c>
      <c r="D153">
        <v>104</v>
      </c>
      <c r="E153">
        <v>4416.546731940618</v>
      </c>
    </row>
    <row r="154" spans="1:5" x14ac:dyDescent="0.55000000000000004">
      <c r="A154" t="s">
        <v>8946</v>
      </c>
      <c r="B154" t="s">
        <v>8947</v>
      </c>
      <c r="C154" t="s">
        <v>8948</v>
      </c>
      <c r="D154">
        <v>516</v>
      </c>
      <c r="E154">
        <v>10574.147988684666</v>
      </c>
    </row>
    <row r="155" spans="1:5" x14ac:dyDescent="0.55000000000000004">
      <c r="A155" t="s">
        <v>8949</v>
      </c>
      <c r="B155" t="s">
        <v>8950</v>
      </c>
      <c r="C155" t="s">
        <v>8951</v>
      </c>
      <c r="D155">
        <v>520</v>
      </c>
      <c r="E155">
        <v>10963.95194999209</v>
      </c>
    </row>
    <row r="156" spans="1:5" x14ac:dyDescent="0.55000000000000004">
      <c r="A156" t="s">
        <v>8952</v>
      </c>
      <c r="B156" t="s">
        <v>8953</v>
      </c>
      <c r="C156" t="s">
        <v>8954</v>
      </c>
      <c r="D156">
        <v>524</v>
      </c>
      <c r="E156">
        <v>2633.3953101741513</v>
      </c>
    </row>
    <row r="157" spans="1:5" x14ac:dyDescent="0.55000000000000004">
      <c r="A157" t="s">
        <v>8955</v>
      </c>
      <c r="B157" t="s">
        <v>8956</v>
      </c>
      <c r="C157" t="s">
        <v>8233</v>
      </c>
      <c r="D157">
        <v>528</v>
      </c>
      <c r="E157">
        <v>50302.067747012778</v>
      </c>
    </row>
    <row r="158" spans="1:5" x14ac:dyDescent="0.55000000000000004">
      <c r="A158" t="s">
        <v>8957</v>
      </c>
      <c r="B158" t="s">
        <v>8958</v>
      </c>
      <c r="C158" t="s">
        <v>8959</v>
      </c>
      <c r="D158">
        <v>540</v>
      </c>
      <c r="E158">
        <v>0</v>
      </c>
    </row>
    <row r="159" spans="1:5" x14ac:dyDescent="0.55000000000000004">
      <c r="A159" t="s">
        <v>8960</v>
      </c>
      <c r="B159" t="s">
        <v>8961</v>
      </c>
      <c r="C159" t="s">
        <v>8228</v>
      </c>
      <c r="D159">
        <v>554</v>
      </c>
      <c r="E159">
        <v>37530.03907592735</v>
      </c>
    </row>
    <row r="160" spans="1:5" x14ac:dyDescent="0.55000000000000004">
      <c r="A160" t="s">
        <v>8962</v>
      </c>
      <c r="B160" t="s">
        <v>8963</v>
      </c>
      <c r="C160" t="s">
        <v>8964</v>
      </c>
      <c r="D160">
        <v>558</v>
      </c>
      <c r="E160">
        <v>5293.8653582740772</v>
      </c>
    </row>
    <row r="161" spans="1:5" x14ac:dyDescent="0.55000000000000004">
      <c r="A161" t="s">
        <v>8965</v>
      </c>
      <c r="B161" t="s">
        <v>8966</v>
      </c>
      <c r="C161" t="s">
        <v>8967</v>
      </c>
      <c r="D161">
        <v>562</v>
      </c>
      <c r="E161">
        <v>1143.2735287751052</v>
      </c>
    </row>
    <row r="162" spans="1:5" x14ac:dyDescent="0.55000000000000004">
      <c r="A162" t="s">
        <v>8968</v>
      </c>
      <c r="B162" t="s">
        <v>8969</v>
      </c>
      <c r="C162" t="s">
        <v>8970</v>
      </c>
      <c r="D162">
        <v>566</v>
      </c>
      <c r="E162">
        <v>5426.3329670648782</v>
      </c>
    </row>
    <row r="163" spans="1:5" x14ac:dyDescent="0.55000000000000004">
      <c r="A163" t="s">
        <v>8971</v>
      </c>
      <c r="B163" t="s">
        <v>8972</v>
      </c>
      <c r="C163" t="s">
        <v>8973</v>
      </c>
      <c r="D163">
        <v>570</v>
      </c>
    </row>
    <row r="164" spans="1:5" x14ac:dyDescent="0.55000000000000004">
      <c r="A164" t="s">
        <v>8974</v>
      </c>
      <c r="B164" t="s">
        <v>8975</v>
      </c>
      <c r="C164" t="s">
        <v>8976</v>
      </c>
      <c r="D164">
        <v>574</v>
      </c>
    </row>
    <row r="165" spans="1:5" x14ac:dyDescent="0.55000000000000004">
      <c r="A165" t="s">
        <v>8977</v>
      </c>
      <c r="B165" t="s">
        <v>8978</v>
      </c>
      <c r="C165" t="s">
        <v>8979</v>
      </c>
      <c r="D165">
        <v>580</v>
      </c>
      <c r="E165">
        <v>0</v>
      </c>
    </row>
    <row r="166" spans="1:5" x14ac:dyDescent="0.55000000000000004">
      <c r="A166" t="s">
        <v>8980</v>
      </c>
      <c r="B166" t="s">
        <v>8981</v>
      </c>
      <c r="C166" t="s">
        <v>8234</v>
      </c>
      <c r="D166">
        <v>578</v>
      </c>
      <c r="E166">
        <v>60385.116763208098</v>
      </c>
    </row>
    <row r="167" spans="1:5" x14ac:dyDescent="0.55000000000000004">
      <c r="A167" t="s">
        <v>8982</v>
      </c>
      <c r="B167" t="s">
        <v>8983</v>
      </c>
      <c r="C167" t="s">
        <v>8984</v>
      </c>
      <c r="D167">
        <v>512</v>
      </c>
      <c r="E167">
        <v>31113.591245864747</v>
      </c>
    </row>
    <row r="168" spans="1:5" x14ac:dyDescent="0.55000000000000004">
      <c r="A168" t="s">
        <v>8985</v>
      </c>
      <c r="B168" t="s">
        <v>8986</v>
      </c>
      <c r="C168" t="s">
        <v>8987</v>
      </c>
      <c r="D168">
        <v>586</v>
      </c>
      <c r="E168">
        <v>4373.0142336753252</v>
      </c>
    </row>
    <row r="169" spans="1:5" x14ac:dyDescent="0.55000000000000004">
      <c r="A169" t="s">
        <v>8988</v>
      </c>
      <c r="B169" t="s">
        <v>8989</v>
      </c>
      <c r="C169" t="s">
        <v>8990</v>
      </c>
      <c r="D169">
        <v>585</v>
      </c>
      <c r="E169">
        <v>17977.531008187783</v>
      </c>
    </row>
    <row r="170" spans="1:5" x14ac:dyDescent="0.55000000000000004">
      <c r="A170" t="s">
        <v>8991</v>
      </c>
      <c r="B170" t="s">
        <v>8992</v>
      </c>
      <c r="C170" t="s">
        <v>8993</v>
      </c>
      <c r="D170">
        <v>275</v>
      </c>
      <c r="E170">
        <v>5400.6556590828613</v>
      </c>
    </row>
    <row r="171" spans="1:5" x14ac:dyDescent="0.55000000000000004">
      <c r="A171" t="s">
        <v>8994</v>
      </c>
      <c r="B171" t="s">
        <v>8995</v>
      </c>
      <c r="C171" t="s">
        <v>8996</v>
      </c>
      <c r="D171">
        <v>591</v>
      </c>
      <c r="E171">
        <v>25319.229380101719</v>
      </c>
    </row>
    <row r="172" spans="1:5" x14ac:dyDescent="0.55000000000000004">
      <c r="A172" t="s">
        <v>8997</v>
      </c>
      <c r="B172" t="s">
        <v>8998</v>
      </c>
      <c r="C172" t="s">
        <v>8999</v>
      </c>
      <c r="D172">
        <v>598</v>
      </c>
      <c r="E172">
        <v>4081.2982442856623</v>
      </c>
    </row>
    <row r="173" spans="1:5" x14ac:dyDescent="0.55000000000000004">
      <c r="A173" t="s">
        <v>9000</v>
      </c>
      <c r="B173" t="s">
        <v>9001</v>
      </c>
      <c r="C173" t="s">
        <v>9002</v>
      </c>
      <c r="D173">
        <v>600</v>
      </c>
      <c r="E173">
        <v>11471.4942285323</v>
      </c>
    </row>
    <row r="174" spans="1:5" x14ac:dyDescent="0.55000000000000004">
      <c r="A174" t="s">
        <v>9003</v>
      </c>
      <c r="B174" t="s">
        <v>9004</v>
      </c>
      <c r="C174" t="s">
        <v>9005</v>
      </c>
      <c r="D174">
        <v>604</v>
      </c>
      <c r="E174">
        <v>11572.322692114058</v>
      </c>
    </row>
    <row r="175" spans="1:5" x14ac:dyDescent="0.55000000000000004">
      <c r="A175" t="s">
        <v>9006</v>
      </c>
      <c r="B175" t="s">
        <v>9007</v>
      </c>
      <c r="C175" t="s">
        <v>9008</v>
      </c>
      <c r="D175">
        <v>608</v>
      </c>
      <c r="E175">
        <v>7186.7688581629545</v>
      </c>
    </row>
    <row r="176" spans="1:5" x14ac:dyDescent="0.55000000000000004">
      <c r="A176" t="s">
        <v>9009</v>
      </c>
      <c r="B176" t="s">
        <v>9010</v>
      </c>
      <c r="C176" t="s">
        <v>9011</v>
      </c>
      <c r="D176">
        <v>612</v>
      </c>
    </row>
    <row r="177" spans="1:5" x14ac:dyDescent="0.55000000000000004">
      <c r="A177" t="s">
        <v>9012</v>
      </c>
      <c r="B177" t="s">
        <v>9013</v>
      </c>
      <c r="C177" t="s">
        <v>9014</v>
      </c>
      <c r="D177">
        <v>616</v>
      </c>
      <c r="E177">
        <v>26856.288827754139</v>
      </c>
    </row>
    <row r="178" spans="1:5" x14ac:dyDescent="0.55000000000000004">
      <c r="A178" t="s">
        <v>9015</v>
      </c>
      <c r="B178" t="s">
        <v>9016</v>
      </c>
      <c r="C178" t="s">
        <v>9017</v>
      </c>
      <c r="D178">
        <v>620</v>
      </c>
      <c r="E178">
        <v>29668.859200484309</v>
      </c>
    </row>
    <row r="179" spans="1:5" x14ac:dyDescent="0.55000000000000004">
      <c r="A179" t="s">
        <v>9018</v>
      </c>
      <c r="B179" t="s">
        <v>9019</v>
      </c>
      <c r="C179" t="s">
        <v>9020</v>
      </c>
      <c r="D179">
        <v>630</v>
      </c>
      <c r="E179">
        <v>34016.022352312888</v>
      </c>
    </row>
    <row r="180" spans="1:5" x14ac:dyDescent="0.55000000000000004">
      <c r="A180" t="s">
        <v>9021</v>
      </c>
      <c r="B180" t="s">
        <v>9022</v>
      </c>
      <c r="C180" t="s">
        <v>9023</v>
      </c>
      <c r="D180">
        <v>634</v>
      </c>
      <c r="E180">
        <v>92968.090413781276</v>
      </c>
    </row>
    <row r="181" spans="1:5" x14ac:dyDescent="0.55000000000000004">
      <c r="A181" t="s">
        <v>9024</v>
      </c>
      <c r="B181" t="s">
        <v>9025</v>
      </c>
      <c r="C181" t="s">
        <v>9026</v>
      </c>
      <c r="D181">
        <v>807</v>
      </c>
      <c r="E181">
        <v>13831.122799910649</v>
      </c>
    </row>
    <row r="182" spans="1:5" x14ac:dyDescent="0.55000000000000004">
      <c r="A182" t="s">
        <v>9027</v>
      </c>
      <c r="B182" t="s">
        <v>9028</v>
      </c>
      <c r="C182" t="s">
        <v>9029</v>
      </c>
      <c r="D182">
        <v>642</v>
      </c>
      <c r="E182">
        <v>21631.497686176255</v>
      </c>
    </row>
    <row r="183" spans="1:5" x14ac:dyDescent="0.55000000000000004">
      <c r="A183" t="s">
        <v>9030</v>
      </c>
      <c r="B183" t="s">
        <v>9031</v>
      </c>
      <c r="C183" t="s">
        <v>9032</v>
      </c>
      <c r="D183">
        <v>643</v>
      </c>
      <c r="E183">
        <v>24085.324184794699</v>
      </c>
    </row>
    <row r="184" spans="1:5" x14ac:dyDescent="0.55000000000000004">
      <c r="A184" t="s">
        <v>9033</v>
      </c>
      <c r="B184" t="s">
        <v>9034</v>
      </c>
      <c r="C184" t="s">
        <v>9035</v>
      </c>
      <c r="D184">
        <v>646</v>
      </c>
      <c r="E184">
        <v>1813.750518276652</v>
      </c>
    </row>
    <row r="185" spans="1:5" x14ac:dyDescent="0.55000000000000004">
      <c r="A185" t="s">
        <v>9036</v>
      </c>
      <c r="B185" t="s">
        <v>9037</v>
      </c>
      <c r="C185" t="s">
        <v>9038</v>
      </c>
      <c r="D185">
        <v>638</v>
      </c>
    </row>
    <row r="186" spans="1:5" x14ac:dyDescent="0.55000000000000004">
      <c r="A186" t="s">
        <v>9039</v>
      </c>
      <c r="B186" t="s">
        <v>9040</v>
      </c>
      <c r="C186" t="s">
        <v>9041</v>
      </c>
      <c r="D186">
        <v>652</v>
      </c>
    </row>
    <row r="187" spans="1:5" x14ac:dyDescent="0.55000000000000004">
      <c r="A187" t="s">
        <v>9042</v>
      </c>
      <c r="B187" t="s">
        <v>9043</v>
      </c>
      <c r="C187" t="s">
        <v>9044</v>
      </c>
      <c r="D187">
        <v>654</v>
      </c>
    </row>
    <row r="188" spans="1:5" x14ac:dyDescent="0.55000000000000004">
      <c r="A188" t="s">
        <v>9045</v>
      </c>
      <c r="B188" t="s">
        <v>9046</v>
      </c>
      <c r="C188" t="s">
        <v>9047</v>
      </c>
      <c r="D188">
        <v>659</v>
      </c>
      <c r="E188">
        <v>23921.991624529288</v>
      </c>
    </row>
    <row r="189" spans="1:5" x14ac:dyDescent="0.55000000000000004">
      <c r="A189" t="s">
        <v>9048</v>
      </c>
      <c r="B189" t="s">
        <v>9049</v>
      </c>
      <c r="C189" t="s">
        <v>9050</v>
      </c>
      <c r="D189">
        <v>662</v>
      </c>
      <c r="E189">
        <v>13551.746815584023</v>
      </c>
    </row>
    <row r="190" spans="1:5" x14ac:dyDescent="0.55000000000000004">
      <c r="A190" t="s">
        <v>9051</v>
      </c>
      <c r="B190" t="s">
        <v>9052</v>
      </c>
      <c r="C190" t="s">
        <v>9053</v>
      </c>
      <c r="D190">
        <v>663</v>
      </c>
      <c r="E190">
        <v>0</v>
      </c>
    </row>
    <row r="191" spans="1:5" x14ac:dyDescent="0.55000000000000004">
      <c r="A191" t="s">
        <v>9054</v>
      </c>
      <c r="B191" t="s">
        <v>9055</v>
      </c>
      <c r="C191" t="s">
        <v>9056</v>
      </c>
      <c r="D191">
        <v>666</v>
      </c>
    </row>
    <row r="192" spans="1:5" x14ac:dyDescent="0.55000000000000004">
      <c r="A192" t="s">
        <v>9057</v>
      </c>
      <c r="B192" t="s">
        <v>9058</v>
      </c>
      <c r="C192" t="s">
        <v>9059</v>
      </c>
      <c r="D192">
        <v>670</v>
      </c>
      <c r="E192">
        <v>11641.840163889186</v>
      </c>
    </row>
    <row r="193" spans="1:5" x14ac:dyDescent="0.55000000000000004">
      <c r="A193" t="s">
        <v>9060</v>
      </c>
      <c r="B193" t="s">
        <v>9061</v>
      </c>
      <c r="C193" t="s">
        <v>9062</v>
      </c>
      <c r="D193">
        <v>882</v>
      </c>
      <c r="E193">
        <v>5831.5256400760672</v>
      </c>
    </row>
    <row r="194" spans="1:5" x14ac:dyDescent="0.55000000000000004">
      <c r="A194" t="s">
        <v>9063</v>
      </c>
      <c r="B194" t="s">
        <v>9064</v>
      </c>
      <c r="C194" t="s">
        <v>9065</v>
      </c>
      <c r="D194">
        <v>674</v>
      </c>
      <c r="E194">
        <v>55598.216070723203</v>
      </c>
    </row>
    <row r="195" spans="1:5" x14ac:dyDescent="0.55000000000000004">
      <c r="A195" t="s">
        <v>9066</v>
      </c>
      <c r="B195" t="s">
        <v>9067</v>
      </c>
      <c r="C195" t="s">
        <v>9068</v>
      </c>
      <c r="D195">
        <v>678</v>
      </c>
      <c r="E195">
        <v>3837.7292429578256</v>
      </c>
    </row>
    <row r="196" spans="1:5" x14ac:dyDescent="0.55000000000000004">
      <c r="A196" t="s">
        <v>9069</v>
      </c>
      <c r="B196" t="s">
        <v>9070</v>
      </c>
      <c r="C196" t="s">
        <v>9071</v>
      </c>
      <c r="D196">
        <v>682</v>
      </c>
      <c r="E196">
        <v>48611.145268417298</v>
      </c>
    </row>
    <row r="197" spans="1:5" x14ac:dyDescent="0.55000000000000004">
      <c r="A197" t="s">
        <v>9072</v>
      </c>
      <c r="B197" t="s">
        <v>9073</v>
      </c>
      <c r="C197" t="s">
        <v>9074</v>
      </c>
      <c r="D197">
        <v>686</v>
      </c>
      <c r="E197">
        <v>2971.3449826389019</v>
      </c>
    </row>
    <row r="198" spans="1:5" x14ac:dyDescent="0.55000000000000004">
      <c r="A198" t="s">
        <v>9075</v>
      </c>
      <c r="B198" t="s">
        <v>9076</v>
      </c>
      <c r="C198" t="s">
        <v>9077</v>
      </c>
      <c r="D198">
        <v>688</v>
      </c>
      <c r="E198">
        <v>14922.059908879</v>
      </c>
    </row>
    <row r="199" spans="1:5" x14ac:dyDescent="0.55000000000000004">
      <c r="A199" t="s">
        <v>9078</v>
      </c>
      <c r="B199" t="s">
        <v>9079</v>
      </c>
      <c r="C199" t="s">
        <v>9080</v>
      </c>
      <c r="D199">
        <v>690</v>
      </c>
      <c r="E199">
        <v>24067.194593128515</v>
      </c>
    </row>
    <row r="200" spans="1:5" x14ac:dyDescent="0.55000000000000004">
      <c r="A200" t="s">
        <v>9081</v>
      </c>
      <c r="B200" t="s">
        <v>9082</v>
      </c>
      <c r="C200" t="s">
        <v>9083</v>
      </c>
      <c r="D200">
        <v>694</v>
      </c>
      <c r="E200">
        <v>1586.6886479037385</v>
      </c>
    </row>
    <row r="201" spans="1:5" x14ac:dyDescent="0.55000000000000004">
      <c r="A201" t="s">
        <v>9084</v>
      </c>
      <c r="B201" t="s">
        <v>9085</v>
      </c>
      <c r="C201" t="s">
        <v>8244</v>
      </c>
      <c r="D201">
        <v>702</v>
      </c>
      <c r="E201">
        <v>86974.747623062649</v>
      </c>
    </row>
    <row r="202" spans="1:5" x14ac:dyDescent="0.55000000000000004">
      <c r="A202" t="s">
        <v>9086</v>
      </c>
      <c r="B202" t="s">
        <v>9087</v>
      </c>
      <c r="C202" t="s">
        <v>9088</v>
      </c>
      <c r="D202">
        <v>534</v>
      </c>
      <c r="E202">
        <v>32520.092897952865</v>
      </c>
    </row>
    <row r="203" spans="1:5" x14ac:dyDescent="0.55000000000000004">
      <c r="A203" t="s">
        <v>9089</v>
      </c>
      <c r="B203" t="s">
        <v>9090</v>
      </c>
      <c r="C203" t="s">
        <v>9091</v>
      </c>
      <c r="D203">
        <v>703</v>
      </c>
      <c r="E203">
        <v>29924.121548370174</v>
      </c>
    </row>
    <row r="204" spans="1:5" x14ac:dyDescent="0.55000000000000004">
      <c r="A204" t="s">
        <v>9092</v>
      </c>
      <c r="B204" t="s">
        <v>9093</v>
      </c>
      <c r="C204" t="s">
        <v>9094</v>
      </c>
      <c r="D204">
        <v>705</v>
      </c>
      <c r="E204">
        <v>31636.750034272027</v>
      </c>
    </row>
    <row r="205" spans="1:5" x14ac:dyDescent="0.55000000000000004">
      <c r="A205" t="s">
        <v>9095</v>
      </c>
      <c r="B205" t="s">
        <v>9096</v>
      </c>
      <c r="C205" t="s">
        <v>9097</v>
      </c>
      <c r="D205">
        <v>90</v>
      </c>
      <c r="E205">
        <v>2235.8269641723027</v>
      </c>
    </row>
    <row r="206" spans="1:5" x14ac:dyDescent="0.55000000000000004">
      <c r="A206" t="s">
        <v>9098</v>
      </c>
      <c r="B206" t="s">
        <v>9099</v>
      </c>
      <c r="C206" t="s">
        <v>9100</v>
      </c>
      <c r="D206">
        <v>706</v>
      </c>
      <c r="E206">
        <v>0</v>
      </c>
    </row>
    <row r="207" spans="1:5" x14ac:dyDescent="0.55000000000000004">
      <c r="A207" t="s">
        <v>9101</v>
      </c>
      <c r="B207" t="s">
        <v>9102</v>
      </c>
      <c r="C207" t="s">
        <v>9103</v>
      </c>
      <c r="D207">
        <v>710</v>
      </c>
      <c r="E207">
        <v>12552.340126642985</v>
      </c>
    </row>
    <row r="208" spans="1:5" x14ac:dyDescent="0.55000000000000004">
      <c r="A208" t="s">
        <v>9104</v>
      </c>
      <c r="B208" t="s">
        <v>9105</v>
      </c>
      <c r="C208" t="s">
        <v>9106</v>
      </c>
      <c r="D208">
        <v>239</v>
      </c>
    </row>
    <row r="209" spans="1:5" x14ac:dyDescent="0.55000000000000004">
      <c r="A209" t="s">
        <v>9107</v>
      </c>
      <c r="B209" t="s">
        <v>9108</v>
      </c>
      <c r="C209" t="s">
        <v>9109</v>
      </c>
      <c r="D209">
        <v>728</v>
      </c>
      <c r="E209">
        <v>0</v>
      </c>
    </row>
    <row r="210" spans="1:5" x14ac:dyDescent="0.55000000000000004">
      <c r="A210" t="s">
        <v>9110</v>
      </c>
      <c r="B210" t="s">
        <v>9111</v>
      </c>
      <c r="C210" t="s">
        <v>8227</v>
      </c>
      <c r="D210">
        <v>724</v>
      </c>
      <c r="E210">
        <v>34912.476126667898</v>
      </c>
    </row>
    <row r="211" spans="1:5" x14ac:dyDescent="0.55000000000000004">
      <c r="A211" t="s">
        <v>9112</v>
      </c>
      <c r="B211" t="s">
        <v>9113</v>
      </c>
      <c r="C211" t="s">
        <v>9114</v>
      </c>
      <c r="D211">
        <v>144</v>
      </c>
      <c r="E211">
        <v>11557.487051768909</v>
      </c>
    </row>
    <row r="212" spans="1:5" x14ac:dyDescent="0.55000000000000004">
      <c r="A212" t="s">
        <v>9115</v>
      </c>
      <c r="B212" t="s">
        <v>9116</v>
      </c>
      <c r="C212" t="s">
        <v>9117</v>
      </c>
      <c r="D212">
        <v>729</v>
      </c>
      <c r="E212">
        <v>5047.9277884951098</v>
      </c>
    </row>
    <row r="213" spans="1:5" x14ac:dyDescent="0.55000000000000004">
      <c r="A213" t="s">
        <v>9118</v>
      </c>
      <c r="B213" t="s">
        <v>9119</v>
      </c>
      <c r="C213" t="s">
        <v>9120</v>
      </c>
      <c r="D213">
        <v>740</v>
      </c>
      <c r="E213">
        <v>16072.216256620704</v>
      </c>
    </row>
    <row r="214" spans="1:5" x14ac:dyDescent="0.55000000000000004">
      <c r="A214" t="s">
        <v>9121</v>
      </c>
      <c r="B214" t="s">
        <v>9122</v>
      </c>
      <c r="C214" t="s">
        <v>9123</v>
      </c>
      <c r="D214">
        <v>744</v>
      </c>
    </row>
    <row r="215" spans="1:5" x14ac:dyDescent="0.55000000000000004">
      <c r="A215" t="s">
        <v>9124</v>
      </c>
      <c r="B215" t="s">
        <v>9125</v>
      </c>
      <c r="C215" t="s">
        <v>8235</v>
      </c>
      <c r="D215">
        <v>752</v>
      </c>
      <c r="E215">
        <v>49116.307839260393</v>
      </c>
    </row>
    <row r="216" spans="1:5" x14ac:dyDescent="0.55000000000000004">
      <c r="A216" t="s">
        <v>9126</v>
      </c>
      <c r="B216" t="s">
        <v>9127</v>
      </c>
      <c r="C216" t="s">
        <v>8240</v>
      </c>
      <c r="D216">
        <v>756</v>
      </c>
      <c r="E216">
        <v>63938.979975728376</v>
      </c>
    </row>
    <row r="217" spans="1:5" x14ac:dyDescent="0.55000000000000004">
      <c r="A217" t="s">
        <v>9128</v>
      </c>
      <c r="B217" t="s">
        <v>9129</v>
      </c>
      <c r="C217" t="s">
        <v>9130</v>
      </c>
      <c r="D217">
        <v>760</v>
      </c>
      <c r="E217">
        <v>0</v>
      </c>
    </row>
    <row r="218" spans="1:5" x14ac:dyDescent="0.55000000000000004">
      <c r="A218" t="s">
        <v>9131</v>
      </c>
      <c r="B218" t="s">
        <v>9132</v>
      </c>
      <c r="C218" t="s">
        <v>9133</v>
      </c>
      <c r="D218">
        <v>158</v>
      </c>
    </row>
    <row r="219" spans="1:5" x14ac:dyDescent="0.55000000000000004">
      <c r="A219" t="s">
        <v>9134</v>
      </c>
      <c r="B219" t="s">
        <v>9135</v>
      </c>
      <c r="C219" t="s">
        <v>9136</v>
      </c>
      <c r="D219">
        <v>762</v>
      </c>
      <c r="E219">
        <v>2991.6535961595814</v>
      </c>
    </row>
    <row r="220" spans="1:5" x14ac:dyDescent="0.55000000000000004">
      <c r="A220" t="s">
        <v>9137</v>
      </c>
      <c r="B220" t="s">
        <v>9138</v>
      </c>
      <c r="C220" t="s">
        <v>9139</v>
      </c>
      <c r="D220">
        <v>834</v>
      </c>
      <c r="E220">
        <v>2348.4437285336999</v>
      </c>
    </row>
    <row r="221" spans="1:5" x14ac:dyDescent="0.55000000000000004">
      <c r="A221" t="s">
        <v>9140</v>
      </c>
      <c r="B221" t="s">
        <v>9141</v>
      </c>
      <c r="C221" t="s">
        <v>9142</v>
      </c>
      <c r="D221">
        <v>764</v>
      </c>
      <c r="E221">
        <v>15822.35326409379</v>
      </c>
    </row>
    <row r="222" spans="1:5" x14ac:dyDescent="0.55000000000000004">
      <c r="A222" t="s">
        <v>9143</v>
      </c>
      <c r="B222" t="s">
        <v>9144</v>
      </c>
      <c r="C222" t="s">
        <v>9145</v>
      </c>
      <c r="D222">
        <v>626</v>
      </c>
      <c r="E222">
        <v>2916.823572607163</v>
      </c>
    </row>
    <row r="223" spans="1:5" x14ac:dyDescent="0.55000000000000004">
      <c r="A223" t="s">
        <v>9146</v>
      </c>
      <c r="B223" t="s">
        <v>9147</v>
      </c>
      <c r="C223" t="s">
        <v>9148</v>
      </c>
      <c r="D223">
        <v>768</v>
      </c>
      <c r="E223">
        <v>1397.3331649405548</v>
      </c>
    </row>
    <row r="224" spans="1:5" x14ac:dyDescent="0.55000000000000004">
      <c r="A224" t="s">
        <v>9149</v>
      </c>
      <c r="B224" t="s">
        <v>9150</v>
      </c>
      <c r="C224" t="s">
        <v>9151</v>
      </c>
      <c r="D224">
        <v>772</v>
      </c>
    </row>
    <row r="225" spans="1:5" x14ac:dyDescent="0.55000000000000004">
      <c r="A225" t="s">
        <v>9152</v>
      </c>
      <c r="B225" t="s">
        <v>9153</v>
      </c>
      <c r="C225" t="s">
        <v>9154</v>
      </c>
      <c r="D225">
        <v>776</v>
      </c>
      <c r="E225">
        <v>5849.7173350490002</v>
      </c>
    </row>
    <row r="226" spans="1:5" x14ac:dyDescent="0.55000000000000004">
      <c r="A226" t="s">
        <v>9155</v>
      </c>
      <c r="B226" t="s">
        <v>9156</v>
      </c>
      <c r="C226" t="s">
        <v>9157</v>
      </c>
      <c r="D226">
        <v>780</v>
      </c>
      <c r="E226">
        <v>27510.406830391676</v>
      </c>
    </row>
    <row r="227" spans="1:5" x14ac:dyDescent="0.55000000000000004">
      <c r="A227" t="s">
        <v>9158</v>
      </c>
      <c r="B227" t="s">
        <v>9159</v>
      </c>
      <c r="C227" t="s">
        <v>9160</v>
      </c>
      <c r="D227">
        <v>788</v>
      </c>
      <c r="E227">
        <v>10208.739278450041</v>
      </c>
    </row>
    <row r="228" spans="1:5" x14ac:dyDescent="0.55000000000000004">
      <c r="A228" t="s">
        <v>9161</v>
      </c>
      <c r="B228" t="s">
        <v>9162</v>
      </c>
      <c r="C228" t="s">
        <v>9163</v>
      </c>
      <c r="D228">
        <v>792</v>
      </c>
      <c r="E228">
        <v>25625.574634037624</v>
      </c>
    </row>
    <row r="229" spans="1:5" x14ac:dyDescent="0.55000000000000004">
      <c r="A229" t="s">
        <v>9164</v>
      </c>
      <c r="B229" t="s">
        <v>9165</v>
      </c>
      <c r="C229" t="s">
        <v>9166</v>
      </c>
      <c r="D229">
        <v>795</v>
      </c>
      <c r="E229">
        <v>13690.604274337047</v>
      </c>
    </row>
    <row r="230" spans="1:5" x14ac:dyDescent="0.55000000000000004">
      <c r="A230" t="s">
        <v>9167</v>
      </c>
      <c r="B230" t="s">
        <v>9168</v>
      </c>
      <c r="C230" t="s">
        <v>9169</v>
      </c>
      <c r="D230">
        <v>796</v>
      </c>
      <c r="E230">
        <v>22855.165701441289</v>
      </c>
    </row>
    <row r="231" spans="1:5" x14ac:dyDescent="0.55000000000000004">
      <c r="A231" t="s">
        <v>9170</v>
      </c>
      <c r="B231" t="s">
        <v>9171</v>
      </c>
      <c r="C231" t="s">
        <v>9172</v>
      </c>
      <c r="D231">
        <v>798</v>
      </c>
      <c r="E231">
        <v>3619.4103380625047</v>
      </c>
    </row>
    <row r="232" spans="1:5" x14ac:dyDescent="0.55000000000000004">
      <c r="A232" t="s">
        <v>9173</v>
      </c>
      <c r="B232" t="s">
        <v>9174</v>
      </c>
      <c r="C232" t="s">
        <v>9175</v>
      </c>
      <c r="D232">
        <v>800</v>
      </c>
      <c r="E232">
        <v>2111.4941073236691</v>
      </c>
    </row>
    <row r="233" spans="1:5" x14ac:dyDescent="0.55000000000000004">
      <c r="A233" t="s">
        <v>9176</v>
      </c>
      <c r="B233" t="s">
        <v>9177</v>
      </c>
      <c r="C233" t="s">
        <v>9178</v>
      </c>
      <c r="D233">
        <v>804</v>
      </c>
      <c r="E233">
        <v>10164.327334085199</v>
      </c>
    </row>
    <row r="234" spans="1:5" x14ac:dyDescent="0.55000000000000004">
      <c r="A234" t="s">
        <v>9179</v>
      </c>
      <c r="B234" t="s">
        <v>9180</v>
      </c>
      <c r="C234" t="s">
        <v>9181</v>
      </c>
      <c r="D234">
        <v>784</v>
      </c>
      <c r="E234">
        <v>64901.852024643107</v>
      </c>
    </row>
    <row r="235" spans="1:5" x14ac:dyDescent="0.55000000000000004">
      <c r="A235" t="s">
        <v>9182</v>
      </c>
      <c r="B235" t="s">
        <v>9183</v>
      </c>
      <c r="C235" t="s">
        <v>8225</v>
      </c>
      <c r="D235">
        <v>826</v>
      </c>
      <c r="E235">
        <v>42518.141256285249</v>
      </c>
    </row>
    <row r="236" spans="1:5" x14ac:dyDescent="0.55000000000000004">
      <c r="A236" t="s">
        <v>9184</v>
      </c>
      <c r="B236" t="s">
        <v>9185</v>
      </c>
      <c r="C236" t="s">
        <v>9186</v>
      </c>
      <c r="D236">
        <v>581</v>
      </c>
    </row>
    <row r="237" spans="1:5" x14ac:dyDescent="0.55000000000000004">
      <c r="A237" t="s">
        <v>9187</v>
      </c>
      <c r="B237" t="s">
        <v>9188</v>
      </c>
      <c r="C237" t="s">
        <v>8224</v>
      </c>
      <c r="D237">
        <v>840</v>
      </c>
      <c r="E237">
        <v>56822.518820245554</v>
      </c>
    </row>
    <row r="238" spans="1:5" x14ac:dyDescent="0.55000000000000004">
      <c r="A238" t="s">
        <v>9189</v>
      </c>
      <c r="B238" t="s">
        <v>9190</v>
      </c>
      <c r="C238" t="s">
        <v>9191</v>
      </c>
      <c r="D238">
        <v>858</v>
      </c>
      <c r="E238">
        <v>20217.584138213711</v>
      </c>
    </row>
    <row r="239" spans="1:5" x14ac:dyDescent="0.55000000000000004">
      <c r="A239" t="s">
        <v>9192</v>
      </c>
      <c r="B239" t="s">
        <v>9193</v>
      </c>
      <c r="C239" t="s">
        <v>9194</v>
      </c>
      <c r="D239">
        <v>860</v>
      </c>
      <c r="E239">
        <v>6343.1497417051005</v>
      </c>
    </row>
    <row r="240" spans="1:5" x14ac:dyDescent="0.55000000000000004">
      <c r="A240" t="s">
        <v>9195</v>
      </c>
      <c r="B240" t="s">
        <v>9196</v>
      </c>
      <c r="C240" t="s">
        <v>9197</v>
      </c>
      <c r="D240">
        <v>548</v>
      </c>
      <c r="E240">
        <v>2953.1021973520301</v>
      </c>
    </row>
    <row r="241" spans="1:5" x14ac:dyDescent="0.55000000000000004">
      <c r="A241" t="s">
        <v>9198</v>
      </c>
      <c r="B241" t="s">
        <v>9199</v>
      </c>
      <c r="C241" t="s">
        <v>9200</v>
      </c>
      <c r="D241">
        <v>862</v>
      </c>
      <c r="E241">
        <v>0</v>
      </c>
    </row>
    <row r="242" spans="1:5" x14ac:dyDescent="0.55000000000000004">
      <c r="A242" t="s">
        <v>9201</v>
      </c>
      <c r="B242" t="s">
        <v>9202</v>
      </c>
      <c r="C242" t="s">
        <v>9203</v>
      </c>
      <c r="D242">
        <v>704</v>
      </c>
      <c r="E242">
        <v>6102.6372641381986</v>
      </c>
    </row>
    <row r="243" spans="1:5" x14ac:dyDescent="0.55000000000000004">
      <c r="A243" t="s">
        <v>9204</v>
      </c>
      <c r="B243" t="s">
        <v>9205</v>
      </c>
      <c r="C243" t="s">
        <v>9206</v>
      </c>
      <c r="D243">
        <v>92</v>
      </c>
      <c r="E243">
        <v>0</v>
      </c>
    </row>
    <row r="244" spans="1:5" x14ac:dyDescent="0.55000000000000004">
      <c r="A244" t="s">
        <v>9207</v>
      </c>
      <c r="B244" t="s">
        <v>9208</v>
      </c>
      <c r="C244" t="s">
        <v>9209</v>
      </c>
      <c r="D244">
        <v>850</v>
      </c>
      <c r="E244">
        <v>0</v>
      </c>
    </row>
    <row r="245" spans="1:5" x14ac:dyDescent="0.55000000000000004">
      <c r="A245" t="s">
        <v>9210</v>
      </c>
      <c r="B245" t="s">
        <v>9211</v>
      </c>
      <c r="C245" t="s">
        <v>9212</v>
      </c>
      <c r="D245">
        <v>876</v>
      </c>
    </row>
    <row r="246" spans="1:5" x14ac:dyDescent="0.55000000000000004">
      <c r="A246" t="s">
        <v>9213</v>
      </c>
      <c r="B246" t="s">
        <v>9214</v>
      </c>
      <c r="C246" t="s">
        <v>9215</v>
      </c>
      <c r="D246">
        <v>732</v>
      </c>
    </row>
    <row r="247" spans="1:5" x14ac:dyDescent="0.55000000000000004">
      <c r="A247" t="s">
        <v>9216</v>
      </c>
      <c r="B247" t="s">
        <v>9217</v>
      </c>
      <c r="C247" t="s">
        <v>9218</v>
      </c>
      <c r="D247">
        <v>887</v>
      </c>
      <c r="E247">
        <v>0</v>
      </c>
    </row>
    <row r="248" spans="1:5" x14ac:dyDescent="0.55000000000000004">
      <c r="A248" t="s">
        <v>9219</v>
      </c>
      <c r="B248" t="s">
        <v>9220</v>
      </c>
      <c r="C248" t="s">
        <v>9221</v>
      </c>
      <c r="D248">
        <v>894</v>
      </c>
      <c r="E248">
        <v>3430.4035763204238</v>
      </c>
    </row>
    <row r="249" spans="1:5" x14ac:dyDescent="0.55000000000000004">
      <c r="A249" t="s">
        <v>9222</v>
      </c>
      <c r="B249" t="s">
        <v>9223</v>
      </c>
      <c r="C249" t="s">
        <v>9224</v>
      </c>
      <c r="D249">
        <v>716</v>
      </c>
      <c r="E249">
        <v>2679.5101363382837</v>
      </c>
    </row>
    <row r="250" spans="1:5" x14ac:dyDescent="0.55000000000000004">
      <c r="A250" t="s">
        <v>9225</v>
      </c>
      <c r="B250" t="s">
        <v>9226</v>
      </c>
      <c r="C250" t="s">
        <v>9227</v>
      </c>
      <c r="D250">
        <v>248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C598A98-69D9-468C-B5FF-32BB3F9C5447}">
  <ds:schemaRefs/>
</ds:datastoreItem>
</file>

<file path=customXml/itemProps2.xml><?xml version="1.0" encoding="utf-8"?>
<ds:datastoreItem xmlns:ds="http://schemas.openxmlformats.org/officeDocument/2006/customXml" ds:itemID="{77D9515F-B42B-4052-B16C-9D7D03F3C402}">
  <ds:schemaRefs>
    <ds:schemaRef ds:uri="http://schemas.microsoft.com/DataMashup"/>
  </ds:schemaRefs>
</ds:datastoreItem>
</file>

<file path=customXml/itemProps3.xml><?xml version="1.0" encoding="utf-8"?>
<ds:datastoreItem xmlns:ds="http://schemas.openxmlformats.org/officeDocument/2006/customXml" ds:itemID="{D61FFA81-F030-43FE-BBEC-42D91076B2B8}">
  <ds:schemaRefs/>
</ds:datastoreItem>
</file>

<file path=customXml/itemProps4.xml><?xml version="1.0" encoding="utf-8"?>
<ds:datastoreItem xmlns:ds="http://schemas.openxmlformats.org/officeDocument/2006/customXml" ds:itemID="{5B74642E-2C85-4E99-8438-E196B2D9CAE5}">
  <ds:schemaRefs/>
</ds:datastoreItem>
</file>

<file path=customXml/itemProps5.xml><?xml version="1.0" encoding="utf-8"?>
<ds:datastoreItem xmlns:ds="http://schemas.openxmlformats.org/officeDocument/2006/customXml" ds:itemID="{F8D96AD3-C34E-47C0-8B0B-A3F92986EA4A}">
  <ds:schemaRefs/>
</ds:datastoreItem>
</file>

<file path=customXml/itemProps6.xml><?xml version="1.0" encoding="utf-8"?>
<ds:datastoreItem xmlns:ds="http://schemas.openxmlformats.org/officeDocument/2006/customXml" ds:itemID="{AA8CD9D3-E81B-459E-BAFA-E3BAF1A56A2E}">
  <ds:schemaRefs/>
</ds:datastoreItem>
</file>

<file path=customXml/itemProps7.xml><?xml version="1.0" encoding="utf-8"?>
<ds:datastoreItem xmlns:ds="http://schemas.openxmlformats.org/officeDocument/2006/customXml" ds:itemID="{904765EC-983E-45CB-A23E-6BDEC05C57B1}">
  <ds:schemaRefs/>
</ds:datastoreItem>
</file>

<file path=customXml/itemProps8.xml><?xml version="1.0" encoding="utf-8"?>
<ds:datastoreItem xmlns:ds="http://schemas.openxmlformats.org/officeDocument/2006/customXml" ds:itemID="{BEA01477-4D88-404A-9D26-A8925681DB87}">
  <ds:schemaRefs/>
</ds:datastoreItem>
</file>

<file path=customXml/itemProps9.xml><?xml version="1.0" encoding="utf-8"?>
<ds:datastoreItem xmlns:ds="http://schemas.openxmlformats.org/officeDocument/2006/customXml" ds:itemID="{BED16728-A519-4459-9B68-D727A6D9BAAF}">
  <ds:schemaRefs/>
</ds:datastoreItem>
</file>

<file path=customXml/itemProps10.xml><?xml version="1.0" encoding="utf-8"?>
<ds:datastoreItem xmlns:ds="http://schemas.openxmlformats.org/officeDocument/2006/customXml" ds:itemID="{AF2DA11F-37BD-4B3B-86CA-38CE0AF5B2B0}">
  <ds:schemaRefs/>
</ds:datastoreItem>
</file>

<file path=customXml/itemProps11.xml><?xml version="1.0" encoding="utf-8"?>
<ds:datastoreItem xmlns:ds="http://schemas.openxmlformats.org/officeDocument/2006/customXml" ds:itemID="{62D9ED6D-9624-4BD2-8B60-6DC8CA9FFE34}">
  <ds:schemaRefs/>
</ds:datastoreItem>
</file>

<file path=customXml/itemProps12.xml><?xml version="1.0" encoding="utf-8"?>
<ds:datastoreItem xmlns:ds="http://schemas.openxmlformats.org/officeDocument/2006/customXml" ds:itemID="{6F4FAFFF-C19D-474B-8B91-A5E1A82CD9A3}">
  <ds:schemaRefs/>
</ds:datastoreItem>
</file>

<file path=customXml/itemProps13.xml><?xml version="1.0" encoding="utf-8"?>
<ds:datastoreItem xmlns:ds="http://schemas.openxmlformats.org/officeDocument/2006/customXml" ds:itemID="{0077E7C8-8FD8-42E6-BF21-13404EB69A61}">
  <ds:schemaRefs/>
</ds:datastoreItem>
</file>

<file path=customXml/itemProps14.xml><?xml version="1.0" encoding="utf-8"?>
<ds:datastoreItem xmlns:ds="http://schemas.openxmlformats.org/officeDocument/2006/customXml" ds:itemID="{67812DD4-2836-4639-9EB2-A3752015B964}">
  <ds:schemaRefs/>
</ds:datastoreItem>
</file>

<file path=customXml/itemProps15.xml><?xml version="1.0" encoding="utf-8"?>
<ds:datastoreItem xmlns:ds="http://schemas.openxmlformats.org/officeDocument/2006/customXml" ds:itemID="{C00EE901-5DFF-4E4A-8EA2-BFA067038B38}">
  <ds:schemaRefs/>
</ds:datastoreItem>
</file>

<file path=customXml/itemProps16.xml><?xml version="1.0" encoding="utf-8"?>
<ds:datastoreItem xmlns:ds="http://schemas.openxmlformats.org/officeDocument/2006/customXml" ds:itemID="{44930720-CB91-477F-9C57-68A6C0AD8BCA}">
  <ds:schemaRefs/>
</ds:datastoreItem>
</file>

<file path=customXml/itemProps17.xml><?xml version="1.0" encoding="utf-8"?>
<ds:datastoreItem xmlns:ds="http://schemas.openxmlformats.org/officeDocument/2006/customXml" ds:itemID="{475DE9D1-2D20-4932-A5D7-3E9CA10345BF}">
  <ds:schemaRefs/>
</ds:datastoreItem>
</file>

<file path=customXml/itemProps18.xml><?xml version="1.0" encoding="utf-8"?>
<ds:datastoreItem xmlns:ds="http://schemas.openxmlformats.org/officeDocument/2006/customXml" ds:itemID="{8F33D2EE-E29E-413E-B994-C19E889A9E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15</vt:i4>
      </vt:variant>
      <vt:variant>
        <vt:lpstr>Charts</vt:lpstr>
      </vt:variant>
      <vt:variant>
        <vt:i4>1</vt:i4>
      </vt:variant>
      <vt:variant>
        <vt:lpstr>Named Ranges</vt:lpstr>
      </vt:variant>
      <vt:variant>
        <vt:i4>9</vt:i4>
      </vt:variant>
    </vt:vector>
  </HeadingPairs>
  <TitlesOfParts>
    <vt:vector size="25" baseType="lpstr">
      <vt:lpstr>NotesToGrader</vt:lpstr>
      <vt:lpstr>Country_Extra$</vt:lpstr>
      <vt:lpstr>Country_Extra</vt:lpstr>
      <vt:lpstr>Extra_USD</vt:lpstr>
      <vt:lpstr>BonusStatMyWay</vt:lpstr>
      <vt:lpstr>BonusStat_HW</vt:lpstr>
      <vt:lpstr>Bonus</vt:lpstr>
      <vt:lpstr>Date-Extra</vt:lpstr>
      <vt:lpstr>Date-Month</vt:lpstr>
      <vt:lpstr>Sub_CategoryOLD</vt:lpstr>
      <vt:lpstr>Sub-Category</vt:lpstr>
      <vt:lpstr>Category</vt:lpstr>
      <vt:lpstr>Raw_Data</vt:lpstr>
      <vt:lpstr>Tables</vt:lpstr>
      <vt:lpstr>2015PerCapitaGDP_PPP</vt:lpstr>
      <vt:lpstr>Chart1</vt:lpstr>
      <vt:lpstr>backers_count</vt:lpstr>
      <vt:lpstr>country</vt:lpstr>
      <vt:lpstr>currency</vt:lpstr>
      <vt:lpstr>Deadline</vt:lpstr>
      <vt:lpstr>goal</vt:lpstr>
      <vt:lpstr>pledged</vt:lpstr>
      <vt:lpstr>state</vt:lpstr>
      <vt:lpstr>Unix_deadline</vt:lpstr>
      <vt:lpstr>Unix_launched_date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dc:creator>
  <cp:lastModifiedBy>Shirley</cp:lastModifiedBy>
  <dcterms:created xsi:type="dcterms:W3CDTF">2017-04-20T15:17:24Z</dcterms:created>
  <dcterms:modified xsi:type="dcterms:W3CDTF">2020-09-11T20:05:21Z</dcterms:modified>
</cp:coreProperties>
</file>