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eforeDAC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7" i="2" l="1"/>
  <c r="S18" i="2"/>
  <c r="S29" i="2"/>
  <c r="S47" i="2"/>
  <c r="F298" i="2" l="1"/>
  <c r="E298" i="2"/>
  <c r="H288" i="2" l="1"/>
  <c r="J283" i="2" l="1"/>
  <c r="J284" i="2"/>
  <c r="J285" i="2"/>
  <c r="J286" i="2"/>
  <c r="J287" i="2"/>
  <c r="J288" i="2"/>
  <c r="M288" i="2" s="1"/>
  <c r="J289" i="2"/>
  <c r="J290" i="2"/>
  <c r="J291" i="2"/>
  <c r="J292" i="2"/>
  <c r="J293" i="2"/>
  <c r="J282" i="2"/>
  <c r="H293" i="2"/>
  <c r="H292" i="2"/>
  <c r="L292" i="2" s="1"/>
  <c r="H289" i="2"/>
  <c r="L289" i="2" s="1"/>
  <c r="H291" i="2"/>
  <c r="H287" i="2"/>
  <c r="H286" i="2"/>
  <c r="L286" i="2" s="1"/>
  <c r="H285" i="2"/>
  <c r="L285" i="2" s="1"/>
  <c r="H284" i="2"/>
  <c r="L284" i="2" s="1"/>
  <c r="H283" i="2"/>
  <c r="H282" i="2"/>
  <c r="M293" i="2"/>
  <c r="L293" i="2"/>
  <c r="K293" i="2"/>
  <c r="F293" i="2"/>
  <c r="K292" i="2"/>
  <c r="M292" i="2"/>
  <c r="F292" i="2"/>
  <c r="K291" i="2"/>
  <c r="M291" i="2"/>
  <c r="F291" i="2"/>
  <c r="K290" i="2"/>
  <c r="L290" i="2"/>
  <c r="F290" i="2"/>
  <c r="K289" i="2"/>
  <c r="F289" i="2"/>
  <c r="M289" i="2" s="1"/>
  <c r="L288" i="2"/>
  <c r="K288" i="2"/>
  <c r="F288" i="2"/>
  <c r="L287" i="2"/>
  <c r="K287" i="2"/>
  <c r="M287" i="2"/>
  <c r="F287" i="2"/>
  <c r="K286" i="2"/>
  <c r="M286" i="2"/>
  <c r="F286" i="2"/>
  <c r="K285" i="2"/>
  <c r="M285" i="2"/>
  <c r="F285" i="2"/>
  <c r="K284" i="2"/>
  <c r="M284" i="2"/>
  <c r="F284" i="2"/>
  <c r="K283" i="2"/>
  <c r="L283" i="2"/>
  <c r="F283" i="2"/>
  <c r="K282" i="2"/>
  <c r="M282" i="2"/>
  <c r="F282" i="2"/>
  <c r="L282" i="2" l="1"/>
  <c r="M283" i="2"/>
  <c r="M290" i="2"/>
  <c r="L291" i="2"/>
  <c r="J267" i="2" l="1"/>
  <c r="J268" i="2"/>
  <c r="M268" i="2" s="1"/>
  <c r="J269" i="2"/>
  <c r="J270" i="2"/>
  <c r="M270" i="2" s="1"/>
  <c r="J271" i="2"/>
  <c r="M271" i="2" s="1"/>
  <c r="J272" i="2"/>
  <c r="M272" i="2" s="1"/>
  <c r="J273" i="2"/>
  <c r="J274" i="2"/>
  <c r="J275" i="2"/>
  <c r="M275" i="2" s="1"/>
  <c r="J276" i="2"/>
  <c r="J277" i="2"/>
  <c r="J266" i="2"/>
  <c r="M266" i="2" s="1"/>
  <c r="H277" i="2"/>
  <c r="L277" i="2" s="1"/>
  <c r="H275" i="2"/>
  <c r="H274" i="2"/>
  <c r="L274" i="2" s="1"/>
  <c r="H272" i="2"/>
  <c r="L272" i="2" s="1"/>
  <c r="H271" i="2"/>
  <c r="H270" i="2"/>
  <c r="H269" i="2"/>
  <c r="H267" i="2"/>
  <c r="H266" i="2"/>
  <c r="K277" i="2"/>
  <c r="F277" i="2"/>
  <c r="L276" i="2"/>
  <c r="K276" i="2"/>
  <c r="M276" i="2"/>
  <c r="F276" i="2"/>
  <c r="K275" i="2"/>
  <c r="F275" i="2"/>
  <c r="K274" i="2"/>
  <c r="F274" i="2"/>
  <c r="L273" i="2"/>
  <c r="K273" i="2"/>
  <c r="F273" i="2"/>
  <c r="K272" i="2"/>
  <c r="F272" i="2"/>
  <c r="L271" i="2"/>
  <c r="K271" i="2"/>
  <c r="F271" i="2"/>
  <c r="L270" i="2"/>
  <c r="K270" i="2"/>
  <c r="F270" i="2"/>
  <c r="L269" i="2"/>
  <c r="K269" i="2"/>
  <c r="M269" i="2"/>
  <c r="F269" i="2"/>
  <c r="L268" i="2"/>
  <c r="K268" i="2"/>
  <c r="F268" i="2"/>
  <c r="K267" i="2"/>
  <c r="L267" i="2"/>
  <c r="F267" i="2"/>
  <c r="K266" i="2"/>
  <c r="F266" i="2"/>
  <c r="M277" i="2" l="1"/>
  <c r="M273" i="2"/>
  <c r="L266" i="2"/>
  <c r="M267" i="2"/>
  <c r="M274" i="2"/>
  <c r="L275" i="2"/>
  <c r="J235" i="2" l="1"/>
  <c r="M235" i="2" s="1"/>
  <c r="J236" i="2"/>
  <c r="J237" i="2"/>
  <c r="M237" i="2" s="1"/>
  <c r="J238" i="2"/>
  <c r="J239" i="2"/>
  <c r="M239" i="2" s="1"/>
  <c r="J240" i="2"/>
  <c r="M240" i="2" s="1"/>
  <c r="J241" i="2"/>
  <c r="M241" i="2" s="1"/>
  <c r="J242" i="2"/>
  <c r="J243" i="2"/>
  <c r="M243" i="2" s="1"/>
  <c r="J244" i="2"/>
  <c r="J245" i="2"/>
  <c r="M245" i="2" s="1"/>
  <c r="J234" i="2"/>
  <c r="M234" i="2" s="1"/>
  <c r="H243" i="2"/>
  <c r="L243" i="2" s="1"/>
  <c r="H242" i="2"/>
  <c r="L242" i="2" s="1"/>
  <c r="H240" i="2"/>
  <c r="L240" i="2" s="1"/>
  <c r="H239" i="2"/>
  <c r="L239" i="2" s="1"/>
  <c r="H238" i="2"/>
  <c r="H237" i="2"/>
  <c r="L237" i="2" s="1"/>
  <c r="H235" i="2"/>
  <c r="L235" i="2" s="1"/>
  <c r="H234" i="2"/>
  <c r="L234" i="2" s="1"/>
  <c r="F245" i="2"/>
  <c r="F244" i="2"/>
  <c r="M244" i="2" s="1"/>
  <c r="F243" i="2"/>
  <c r="F242" i="2"/>
  <c r="F241" i="2"/>
  <c r="F240" i="2"/>
  <c r="F239" i="2"/>
  <c r="F238" i="2"/>
  <c r="F237" i="2"/>
  <c r="F236" i="2"/>
  <c r="M236" i="2" s="1"/>
  <c r="F235" i="2"/>
  <c r="F234" i="2"/>
  <c r="L245" i="2"/>
  <c r="K245" i="2"/>
  <c r="L244" i="2"/>
  <c r="K244" i="2"/>
  <c r="K243" i="2"/>
  <c r="K242" i="2"/>
  <c r="L241" i="2"/>
  <c r="K241" i="2"/>
  <c r="K240" i="2"/>
  <c r="K239" i="2"/>
  <c r="L238" i="2"/>
  <c r="K238" i="2"/>
  <c r="M238" i="2"/>
  <c r="K237" i="2"/>
  <c r="L236" i="2"/>
  <c r="K236" i="2"/>
  <c r="K235" i="2"/>
  <c r="K234" i="2"/>
  <c r="M242" i="2" l="1"/>
  <c r="L228" i="2"/>
  <c r="M228" i="2"/>
  <c r="K228" i="2"/>
  <c r="J227" i="2"/>
  <c r="J226" i="2"/>
  <c r="J225" i="2"/>
  <c r="M225" i="2" s="1"/>
  <c r="J224" i="2"/>
  <c r="M224" i="2"/>
  <c r="M226" i="2"/>
  <c r="J223" i="2"/>
  <c r="F224" i="2"/>
  <c r="F225" i="2"/>
  <c r="F226" i="2"/>
  <c r="F227" i="2"/>
  <c r="F223" i="2"/>
  <c r="M227" i="2"/>
  <c r="L227" i="2"/>
  <c r="K227" i="2"/>
  <c r="L226" i="2"/>
  <c r="K226" i="2"/>
  <c r="L225" i="2"/>
  <c r="K225" i="2"/>
  <c r="L224" i="2"/>
  <c r="K224" i="2"/>
  <c r="L223" i="2"/>
  <c r="K223" i="2"/>
  <c r="M223" i="2" l="1"/>
  <c r="N32" i="2" l="1"/>
  <c r="N31" i="2"/>
  <c r="N30" i="2"/>
  <c r="N29" i="2"/>
  <c r="N28" i="2"/>
  <c r="N27" i="2"/>
  <c r="N26" i="2"/>
  <c r="N25" i="2"/>
  <c r="N21" i="2"/>
  <c r="N20" i="2"/>
  <c r="N19" i="2"/>
  <c r="N18" i="2"/>
  <c r="N17" i="2"/>
  <c r="N16" i="2"/>
  <c r="N15" i="2"/>
  <c r="N14" i="2"/>
  <c r="N42" i="2"/>
  <c r="N41" i="2"/>
  <c r="N40" i="2"/>
  <c r="N39" i="2"/>
  <c r="N38" i="2"/>
  <c r="N37" i="2"/>
  <c r="N36" i="2"/>
  <c r="N48" i="2"/>
  <c r="N49" i="2"/>
  <c r="N50" i="2"/>
  <c r="N51" i="2"/>
  <c r="N52" i="2"/>
  <c r="N53" i="2"/>
  <c r="N47" i="2"/>
  <c r="N4" i="2"/>
  <c r="N5" i="2"/>
  <c r="N6" i="2"/>
  <c r="N7" i="2"/>
  <c r="N8" i="2"/>
  <c r="N9" i="2"/>
  <c r="N10" i="2"/>
  <c r="N3" i="2"/>
  <c r="D218" i="2" l="1"/>
  <c r="F218" i="2" s="1"/>
  <c r="D217" i="2"/>
  <c r="F217" i="2" s="1"/>
  <c r="D216" i="2"/>
  <c r="F216" i="2" s="1"/>
  <c r="D215" i="2"/>
  <c r="F215" i="2" s="1"/>
  <c r="F214" i="2"/>
  <c r="F213" i="2"/>
  <c r="D213" i="2"/>
  <c r="F212" i="2"/>
  <c r="D212" i="2"/>
  <c r="F211" i="2"/>
  <c r="D211" i="2"/>
  <c r="F210" i="2"/>
  <c r="D210" i="2"/>
  <c r="F209" i="2"/>
  <c r="F208" i="2"/>
  <c r="F207" i="2"/>
  <c r="D207" i="2"/>
  <c r="L218" i="2" l="1"/>
  <c r="K218" i="2"/>
  <c r="J218" i="2"/>
  <c r="M218" i="2"/>
  <c r="L217" i="2"/>
  <c r="K217" i="2"/>
  <c r="J217" i="2"/>
  <c r="M217" i="2"/>
  <c r="L216" i="2"/>
  <c r="K216" i="2"/>
  <c r="J216" i="2"/>
  <c r="M216" i="2"/>
  <c r="L215" i="2"/>
  <c r="K215" i="2"/>
  <c r="J215" i="2"/>
  <c r="M215" i="2"/>
  <c r="L214" i="2"/>
  <c r="K214" i="2"/>
  <c r="J214" i="2"/>
  <c r="M214" i="2"/>
  <c r="L213" i="2"/>
  <c r="K213" i="2"/>
  <c r="J213" i="2"/>
  <c r="M213" i="2"/>
  <c r="L212" i="2"/>
  <c r="K212" i="2"/>
  <c r="J212" i="2"/>
  <c r="M212" i="2"/>
  <c r="L211" i="2"/>
  <c r="K211" i="2"/>
  <c r="J211" i="2"/>
  <c r="M211" i="2"/>
  <c r="L210" i="2"/>
  <c r="K210" i="2"/>
  <c r="J210" i="2"/>
  <c r="M210" i="2"/>
  <c r="L209" i="2"/>
  <c r="K209" i="2"/>
  <c r="J209" i="2"/>
  <c r="M209" i="2"/>
  <c r="L208" i="2"/>
  <c r="K208" i="2"/>
  <c r="J208" i="2"/>
  <c r="M208" i="2"/>
  <c r="L207" i="2"/>
  <c r="K207" i="2"/>
  <c r="J207" i="2"/>
  <c r="M207" i="2"/>
  <c r="L201" i="2" l="1"/>
  <c r="M201" i="2"/>
  <c r="K201" i="2"/>
  <c r="M190" i="2"/>
  <c r="M191" i="2"/>
  <c r="M192" i="2"/>
  <c r="M193" i="2"/>
  <c r="M194" i="2"/>
  <c r="M195" i="2"/>
  <c r="M196" i="2"/>
  <c r="M197" i="2"/>
  <c r="M198" i="2"/>
  <c r="M199" i="2"/>
  <c r="M200" i="2"/>
  <c r="M189" i="2"/>
  <c r="K190" i="2"/>
  <c r="K191" i="2"/>
  <c r="K192" i="2"/>
  <c r="K193" i="2"/>
  <c r="K194" i="2"/>
  <c r="K195" i="2"/>
  <c r="K196" i="2"/>
  <c r="K197" i="2"/>
  <c r="K198" i="2"/>
  <c r="K199" i="2"/>
  <c r="K200" i="2"/>
  <c r="K189" i="2"/>
  <c r="F190" i="2"/>
  <c r="F191" i="2"/>
  <c r="F192" i="2"/>
  <c r="F193" i="2"/>
  <c r="F194" i="2"/>
  <c r="F195" i="2"/>
  <c r="F196" i="2"/>
  <c r="F197" i="2"/>
  <c r="F198" i="2"/>
  <c r="F199" i="2"/>
  <c r="F200" i="2"/>
  <c r="F189" i="2"/>
  <c r="L190" i="2"/>
  <c r="L191" i="2"/>
  <c r="L192" i="2"/>
  <c r="L193" i="2"/>
  <c r="L194" i="2"/>
  <c r="L195" i="2"/>
  <c r="L196" i="2"/>
  <c r="L197" i="2"/>
  <c r="L198" i="2"/>
  <c r="L199" i="2"/>
  <c r="L200" i="2"/>
  <c r="L189" i="2"/>
  <c r="D200" i="2"/>
  <c r="D199" i="2"/>
  <c r="D198" i="2"/>
  <c r="D195" i="2"/>
  <c r="D197" i="2"/>
  <c r="D189" i="2"/>
  <c r="D194" i="2"/>
  <c r="D193" i="2"/>
  <c r="D192" i="2"/>
  <c r="J190" i="2"/>
  <c r="J191" i="2"/>
  <c r="J192" i="2"/>
  <c r="J193" i="2"/>
  <c r="J194" i="2"/>
  <c r="J195" i="2"/>
  <c r="J196" i="2"/>
  <c r="J197" i="2"/>
  <c r="J198" i="2"/>
  <c r="J199" i="2"/>
  <c r="J200" i="2"/>
  <c r="J189" i="2"/>
  <c r="F183" i="2" l="1"/>
  <c r="D183" i="2"/>
  <c r="F175" i="2"/>
  <c r="D175" i="2"/>
  <c r="G166" i="2" l="1"/>
  <c r="G163" i="2"/>
  <c r="G157" i="2"/>
  <c r="G158" i="2"/>
  <c r="G156" i="2"/>
  <c r="G168" i="2" l="1"/>
  <c r="F166" i="2"/>
  <c r="F158" i="2"/>
  <c r="D166" i="2"/>
  <c r="D158" i="2"/>
  <c r="T7" i="2" l="1"/>
  <c r="H149" i="2" l="1"/>
  <c r="G149" i="2"/>
  <c r="G142" i="2"/>
  <c r="G144" i="2"/>
  <c r="G143" i="2"/>
  <c r="F149" i="2" l="1"/>
  <c r="H131" i="2"/>
  <c r="H120" i="2"/>
  <c r="H109" i="2"/>
  <c r="H98" i="2"/>
  <c r="H87" i="2"/>
  <c r="H76" i="2"/>
  <c r="H65" i="2"/>
  <c r="H54" i="2"/>
  <c r="H43" i="2"/>
  <c r="H32" i="2"/>
  <c r="H21" i="2"/>
  <c r="H10" i="2"/>
  <c r="H125" i="2"/>
  <c r="H126" i="2"/>
  <c r="H127" i="2"/>
  <c r="H128" i="2"/>
  <c r="H129" i="2"/>
  <c r="H130" i="2"/>
  <c r="H114" i="2"/>
  <c r="H115" i="2"/>
  <c r="H116" i="2"/>
  <c r="H117" i="2"/>
  <c r="H118" i="2"/>
  <c r="H119" i="2"/>
  <c r="H103" i="2"/>
  <c r="H104" i="2"/>
  <c r="H105" i="2"/>
  <c r="H106" i="2"/>
  <c r="H107" i="2"/>
  <c r="H108" i="2"/>
  <c r="H97" i="2"/>
  <c r="H92" i="2"/>
  <c r="H93" i="2"/>
  <c r="H94" i="2"/>
  <c r="H95" i="2"/>
  <c r="H96" i="2"/>
  <c r="H81" i="2"/>
  <c r="H82" i="2"/>
  <c r="H83" i="2"/>
  <c r="H84" i="2"/>
  <c r="H85" i="2"/>
  <c r="H86" i="2"/>
  <c r="H70" i="2"/>
  <c r="H71" i="2"/>
  <c r="H72" i="2"/>
  <c r="H73" i="2"/>
  <c r="H74" i="2"/>
  <c r="H75" i="2"/>
  <c r="H59" i="2"/>
  <c r="H60" i="2"/>
  <c r="H61" i="2"/>
  <c r="H62" i="2"/>
  <c r="H63" i="2"/>
  <c r="H64" i="2"/>
  <c r="H48" i="2"/>
  <c r="H49" i="2"/>
  <c r="H50" i="2"/>
  <c r="H51" i="2"/>
  <c r="H52" i="2"/>
  <c r="H53" i="2"/>
  <c r="H37" i="2"/>
  <c r="H38" i="2"/>
  <c r="H39" i="2"/>
  <c r="H40" i="2"/>
  <c r="H41" i="2"/>
  <c r="H42" i="2"/>
  <c r="H26" i="2"/>
  <c r="H27" i="2"/>
  <c r="H28" i="2"/>
  <c r="H29" i="2"/>
  <c r="H30" i="2"/>
  <c r="H31" i="2"/>
  <c r="H7" i="2"/>
  <c r="H9" i="2"/>
  <c r="H15" i="2"/>
  <c r="H16" i="2"/>
  <c r="H17" i="2"/>
  <c r="H18" i="2"/>
  <c r="H19" i="2"/>
  <c r="H20" i="2"/>
  <c r="H4" i="2"/>
  <c r="H5" i="2"/>
  <c r="H6" i="2"/>
  <c r="H8" i="2"/>
  <c r="H124" i="2"/>
  <c r="H113" i="2"/>
  <c r="H102" i="2"/>
  <c r="H80" i="2"/>
  <c r="H69" i="2"/>
  <c r="H91" i="2"/>
  <c r="H58" i="2"/>
  <c r="H47" i="2"/>
  <c r="H36" i="2"/>
  <c r="H25" i="2"/>
  <c r="H14" i="2"/>
  <c r="H3" i="2"/>
  <c r="D109" i="2"/>
  <c r="S53" i="2" l="1"/>
  <c r="S52" i="2"/>
  <c r="S51" i="2"/>
  <c r="S50" i="2"/>
  <c r="V48" i="2"/>
  <c r="U48" i="2"/>
  <c r="P48" i="2" s="1"/>
  <c r="O48" i="2" s="1"/>
  <c r="S48" i="2"/>
  <c r="V47" i="2"/>
  <c r="V49" i="2" s="1"/>
  <c r="U47" i="2"/>
  <c r="S49" i="2"/>
  <c r="P47" i="2"/>
  <c r="O47" i="2" s="1"/>
  <c r="S42" i="2"/>
  <c r="S41" i="2"/>
  <c r="S40" i="2"/>
  <c r="S39" i="2"/>
  <c r="V37" i="2"/>
  <c r="U37" i="2"/>
  <c r="P37" i="2" s="1"/>
  <c r="O37" i="2" s="1"/>
  <c r="S37" i="2"/>
  <c r="V36" i="2"/>
  <c r="V38" i="2" s="1"/>
  <c r="U36" i="2"/>
  <c r="P36" i="2" s="1"/>
  <c r="O36" i="2" s="1"/>
  <c r="S36" i="2"/>
  <c r="S38" i="2" s="1"/>
  <c r="S32" i="2"/>
  <c r="S31" i="2"/>
  <c r="S30" i="2"/>
  <c r="V28" i="2"/>
  <c r="U28" i="2"/>
  <c r="P28" i="2" s="1"/>
  <c r="O28" i="2" s="1"/>
  <c r="S28" i="2"/>
  <c r="V27" i="2"/>
  <c r="U27" i="2"/>
  <c r="P27" i="2" s="1"/>
  <c r="O27" i="2" s="1"/>
  <c r="S27" i="2"/>
  <c r="V26" i="2"/>
  <c r="U26" i="2"/>
  <c r="P26" i="2" s="1"/>
  <c r="O26" i="2" s="1"/>
  <c r="S26" i="2"/>
  <c r="V25" i="2"/>
  <c r="V29" i="2" s="1"/>
  <c r="U25" i="2"/>
  <c r="S25" i="2"/>
  <c r="P25" i="2"/>
  <c r="O25" i="2" s="1"/>
  <c r="S21" i="2"/>
  <c r="S20" i="2"/>
  <c r="S19" i="2"/>
  <c r="V17" i="2"/>
  <c r="U17" i="2"/>
  <c r="P17" i="2" s="1"/>
  <c r="O17" i="2" s="1"/>
  <c r="S17" i="2"/>
  <c r="V16" i="2"/>
  <c r="U16" i="2"/>
  <c r="P16" i="2" s="1"/>
  <c r="O16" i="2" s="1"/>
  <c r="S16" i="2"/>
  <c r="V15" i="2"/>
  <c r="U15" i="2"/>
  <c r="S15" i="2"/>
  <c r="P15" i="2"/>
  <c r="O15" i="2" s="1"/>
  <c r="V14" i="2"/>
  <c r="V18" i="2" s="1"/>
  <c r="U14" i="2"/>
  <c r="S14" i="2"/>
  <c r="P14" i="2"/>
  <c r="O14" i="2" s="1"/>
  <c r="S10" i="2"/>
  <c r="S9" i="2"/>
  <c r="S8" i="2"/>
  <c r="V6" i="2"/>
  <c r="U6" i="2"/>
  <c r="P6" i="2" s="1"/>
  <c r="O6" i="2" s="1"/>
  <c r="S6" i="2"/>
  <c r="V5" i="2"/>
  <c r="U5" i="2"/>
  <c r="P5" i="2" s="1"/>
  <c r="O5" i="2" s="1"/>
  <c r="S5" i="2"/>
  <c r="V4" i="2"/>
  <c r="U4" i="2"/>
  <c r="P4" i="2" s="1"/>
  <c r="O4" i="2" s="1"/>
  <c r="S4" i="2"/>
  <c r="V3" i="2"/>
  <c r="V7" i="2" s="1"/>
  <c r="AB7" i="2" s="1"/>
  <c r="U3" i="2"/>
  <c r="P3" i="2" s="1"/>
  <c r="O3" i="2" s="1"/>
  <c r="S3" i="2"/>
  <c r="V15" i="1"/>
  <c r="L10" i="2"/>
  <c r="L32" i="2"/>
  <c r="L21" i="2"/>
  <c r="AB8" i="2" l="1"/>
  <c r="D149" i="2"/>
  <c r="C149" i="2"/>
  <c r="E149" i="2"/>
  <c r="I10" i="2"/>
  <c r="I32" i="2"/>
  <c r="I21" i="2"/>
  <c r="D131" i="2" l="1"/>
  <c r="D120" i="2"/>
  <c r="D98" i="2"/>
  <c r="D87" i="2"/>
  <c r="D65" i="2"/>
  <c r="D54" i="2"/>
  <c r="D43" i="2"/>
  <c r="D32" i="2"/>
  <c r="D21" i="2"/>
  <c r="D10" i="2"/>
  <c r="D125" i="2" l="1"/>
  <c r="D126" i="2"/>
  <c r="D127" i="2"/>
  <c r="D128" i="2"/>
  <c r="D129" i="2"/>
  <c r="D130" i="2"/>
  <c r="D124" i="2"/>
  <c r="D114" i="2"/>
  <c r="D115" i="2"/>
  <c r="D116" i="2"/>
  <c r="D117" i="2"/>
  <c r="D118" i="2"/>
  <c r="D119" i="2"/>
  <c r="D113" i="2"/>
  <c r="D103" i="2"/>
  <c r="D104" i="2"/>
  <c r="D105" i="2"/>
  <c r="D106" i="2"/>
  <c r="D107" i="2"/>
  <c r="D108" i="2"/>
  <c r="D102" i="2"/>
  <c r="D92" i="2"/>
  <c r="D93" i="2"/>
  <c r="D94" i="2"/>
  <c r="D95" i="2"/>
  <c r="D96" i="2"/>
  <c r="D97" i="2"/>
  <c r="D91" i="2"/>
  <c r="D81" i="2"/>
  <c r="D82" i="2"/>
  <c r="D83" i="2"/>
  <c r="D84" i="2"/>
  <c r="D85" i="2"/>
  <c r="D86" i="2"/>
  <c r="D80" i="2"/>
  <c r="D70" i="2"/>
  <c r="D71" i="2"/>
  <c r="D72" i="2"/>
  <c r="D73" i="2"/>
  <c r="D74" i="2"/>
  <c r="D75" i="2"/>
  <c r="D76" i="2" s="1"/>
  <c r="D69" i="2"/>
  <c r="D59" i="2"/>
  <c r="D60" i="2"/>
  <c r="D61" i="2"/>
  <c r="D62" i="2"/>
  <c r="D63" i="2"/>
  <c r="D64" i="2"/>
  <c r="D58" i="2"/>
  <c r="D48" i="2"/>
  <c r="D49" i="2"/>
  <c r="D50" i="2"/>
  <c r="D51" i="2"/>
  <c r="D52" i="2"/>
  <c r="D53" i="2"/>
  <c r="D47" i="2"/>
  <c r="D37" i="2"/>
  <c r="D38" i="2"/>
  <c r="D39" i="2"/>
  <c r="D40" i="2"/>
  <c r="D41" i="2"/>
  <c r="D42" i="2"/>
  <c r="D36" i="2"/>
  <c r="D26" i="2"/>
  <c r="D27" i="2"/>
  <c r="D28" i="2"/>
  <c r="D29" i="2"/>
  <c r="D30" i="2"/>
  <c r="D31" i="2"/>
  <c r="D25" i="2"/>
  <c r="D15" i="2"/>
  <c r="D16" i="2"/>
  <c r="D17" i="2"/>
  <c r="D18" i="2"/>
  <c r="D19" i="2"/>
  <c r="D20" i="2"/>
  <c r="D14" i="2"/>
  <c r="D4" i="2"/>
  <c r="D5" i="2"/>
  <c r="D6" i="2"/>
  <c r="D7" i="2"/>
  <c r="D8" i="2"/>
  <c r="D9" i="2"/>
  <c r="D3" i="2"/>
  <c r="I48" i="2"/>
  <c r="I49" i="2" s="1"/>
  <c r="I50" i="2" s="1"/>
  <c r="I51" i="2" s="1"/>
  <c r="I52" i="2" s="1"/>
  <c r="I53" i="2" s="1"/>
  <c r="I42" i="2"/>
  <c r="I41" i="2"/>
  <c r="I40" i="2"/>
  <c r="I39" i="2"/>
  <c r="I38" i="2"/>
  <c r="I37" i="2"/>
  <c r="I26" i="2"/>
  <c r="I27" i="2" s="1"/>
  <c r="I28" i="2" s="1"/>
  <c r="I29" i="2" s="1"/>
  <c r="I30" i="2" s="1"/>
  <c r="I31" i="2" s="1"/>
  <c r="I15" i="2"/>
  <c r="I16" i="2" s="1"/>
  <c r="I17" i="2" s="1"/>
  <c r="I18" i="2" s="1"/>
  <c r="I19" i="2" s="1"/>
  <c r="I20" i="2" s="1"/>
  <c r="I9" i="2"/>
  <c r="I8" i="2"/>
  <c r="I7" i="2"/>
  <c r="I6" i="2"/>
  <c r="I5" i="2"/>
  <c r="I4" i="2"/>
  <c r="M84" i="1" l="1"/>
  <c r="F162" i="1" l="1"/>
  <c r="E160" i="1"/>
  <c r="F160" i="1"/>
  <c r="D160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D157" i="1"/>
  <c r="AH8" i="1" l="1"/>
  <c r="AH7" i="1"/>
  <c r="Y49" i="1"/>
  <c r="Y38" i="1"/>
  <c r="Y29" i="1"/>
  <c r="Y18" i="1"/>
  <c r="Y7" i="1"/>
  <c r="U5" i="1"/>
  <c r="Q92" i="1"/>
  <c r="R92" i="1"/>
  <c r="P92" i="1"/>
  <c r="P91" i="1"/>
  <c r="R91" i="1"/>
  <c r="Q91" i="1"/>
  <c r="D134" i="1"/>
  <c r="E134" i="1" s="1"/>
  <c r="U48" i="1" l="1"/>
  <c r="U47" i="1"/>
  <c r="U37" i="1"/>
  <c r="U36" i="1"/>
  <c r="U26" i="1"/>
  <c r="U27" i="1"/>
  <c r="U28" i="1"/>
  <c r="U25" i="1"/>
  <c r="U15" i="1"/>
  <c r="U16" i="1"/>
  <c r="U17" i="1"/>
  <c r="U14" i="1"/>
  <c r="U4" i="1"/>
  <c r="U6" i="1"/>
  <c r="U3" i="1"/>
  <c r="AB49" i="1"/>
  <c r="AB38" i="1"/>
  <c r="AB29" i="1"/>
  <c r="AB18" i="1"/>
  <c r="AB7" i="1"/>
  <c r="AB48" i="1"/>
  <c r="AB47" i="1"/>
  <c r="AB37" i="1"/>
  <c r="AB36" i="1"/>
  <c r="AB26" i="1"/>
  <c r="AB27" i="1"/>
  <c r="AB28" i="1"/>
  <c r="AB25" i="1"/>
  <c r="AB15" i="1"/>
  <c r="AB16" i="1"/>
  <c r="AB17" i="1"/>
  <c r="AB14" i="1"/>
  <c r="AB4" i="1"/>
  <c r="AB5" i="1"/>
  <c r="AB6" i="1"/>
  <c r="AB3" i="1"/>
  <c r="V48" i="1"/>
  <c r="V47" i="1"/>
  <c r="AA48" i="1"/>
  <c r="AA47" i="1"/>
  <c r="V37" i="1"/>
  <c r="V36" i="1"/>
  <c r="V26" i="1"/>
  <c r="V27" i="1"/>
  <c r="V28" i="1"/>
  <c r="V25" i="1"/>
  <c r="V16" i="1"/>
  <c r="V17" i="1"/>
  <c r="V14" i="1"/>
  <c r="V4" i="1"/>
  <c r="V5" i="1"/>
  <c r="V6" i="1"/>
  <c r="V3" i="1"/>
  <c r="AA37" i="1"/>
  <c r="AA36" i="1"/>
  <c r="AA15" i="1"/>
  <c r="AA16" i="1"/>
  <c r="AA17" i="1"/>
  <c r="AA14" i="1"/>
  <c r="AA4" i="1"/>
  <c r="AA5" i="1"/>
  <c r="AA6" i="1"/>
  <c r="AA3" i="1"/>
  <c r="AA26" i="1"/>
  <c r="AA27" i="1"/>
  <c r="AA28" i="1"/>
  <c r="AA25" i="1"/>
  <c r="K80" i="1" l="1"/>
  <c r="K81" i="1"/>
  <c r="K82" i="1"/>
  <c r="K83" i="1"/>
  <c r="K84" i="1"/>
  <c r="K85" i="1"/>
  <c r="K86" i="1"/>
  <c r="K87" i="1"/>
  <c r="K88" i="1"/>
  <c r="K89" i="1"/>
  <c r="K90" i="1"/>
  <c r="K79" i="1"/>
  <c r="T63" i="1" l="1"/>
  <c r="T64" i="1"/>
  <c r="T65" i="1"/>
  <c r="T66" i="1"/>
  <c r="T67" i="1"/>
  <c r="T68" i="1"/>
  <c r="T69" i="1"/>
  <c r="T70" i="1"/>
  <c r="T71" i="1"/>
  <c r="T72" i="1"/>
  <c r="T73" i="1"/>
  <c r="T62" i="1"/>
  <c r="M73" i="1" l="1"/>
  <c r="M72" i="1"/>
  <c r="M71" i="1"/>
  <c r="M70" i="1"/>
  <c r="M69" i="1"/>
  <c r="M68" i="1"/>
  <c r="M67" i="1"/>
  <c r="M66" i="1"/>
  <c r="M65" i="1"/>
  <c r="M64" i="1"/>
  <c r="M63" i="1"/>
  <c r="M62" i="1"/>
  <c r="Y53" i="1" l="1"/>
  <c r="Y52" i="1"/>
  <c r="Y51" i="1"/>
  <c r="Y50" i="1"/>
  <c r="Y48" i="1"/>
  <c r="Y47" i="1"/>
  <c r="Y42" i="1"/>
  <c r="Y41" i="1"/>
  <c r="Y40" i="1"/>
  <c r="Y39" i="1"/>
  <c r="Y37" i="1"/>
  <c r="Y36" i="1"/>
  <c r="Y32" i="1"/>
  <c r="Y31" i="1"/>
  <c r="Y30" i="1"/>
  <c r="Y28" i="1"/>
  <c r="Y27" i="1"/>
  <c r="Y26" i="1"/>
  <c r="Y25" i="1"/>
  <c r="Y21" i="1"/>
  <c r="Y20" i="1"/>
  <c r="Y19" i="1"/>
  <c r="Y17" i="1"/>
  <c r="Y16" i="1"/>
  <c r="Y15" i="1"/>
  <c r="Y14" i="1"/>
  <c r="Y10" i="1"/>
  <c r="Y9" i="1"/>
  <c r="Y8" i="1"/>
  <c r="Y6" i="1"/>
  <c r="Y5" i="1"/>
  <c r="Y4" i="1"/>
  <c r="Y3" i="1"/>
  <c r="P53" i="1" l="1"/>
  <c r="P52" i="1"/>
  <c r="P51" i="1"/>
  <c r="P50" i="1"/>
  <c r="P49" i="1"/>
  <c r="P48" i="1"/>
  <c r="P47" i="1"/>
  <c r="P37" i="1"/>
  <c r="P38" i="1"/>
  <c r="P39" i="1"/>
  <c r="P40" i="1"/>
  <c r="P41" i="1"/>
  <c r="P42" i="1"/>
  <c r="P36" i="1"/>
  <c r="P32" i="1"/>
  <c r="P31" i="1"/>
  <c r="P30" i="1"/>
  <c r="P29" i="1"/>
  <c r="P28" i="1"/>
  <c r="P27" i="1"/>
  <c r="P26" i="1"/>
  <c r="P25" i="1"/>
  <c r="P21" i="1"/>
  <c r="P20" i="1"/>
  <c r="P19" i="1"/>
  <c r="P18" i="1"/>
  <c r="P17" i="1"/>
  <c r="P16" i="1"/>
  <c r="P15" i="1"/>
  <c r="P14" i="1"/>
  <c r="P4" i="1"/>
  <c r="P5" i="1"/>
  <c r="P6" i="1"/>
  <c r="P7" i="1"/>
  <c r="P8" i="1"/>
  <c r="P9" i="1"/>
  <c r="P10" i="1"/>
  <c r="P3" i="1"/>
  <c r="S3" i="1" l="1"/>
  <c r="S4" i="1"/>
  <c r="S5" i="1"/>
  <c r="S6" i="1"/>
  <c r="S7" i="1"/>
  <c r="S8" i="1"/>
  <c r="S9" i="1"/>
  <c r="S10" i="1"/>
  <c r="S14" i="1"/>
  <c r="S15" i="1"/>
  <c r="S16" i="1"/>
  <c r="S17" i="1"/>
  <c r="S18" i="1"/>
  <c r="S19" i="1"/>
  <c r="S20" i="1"/>
  <c r="S21" i="1"/>
  <c r="S25" i="1"/>
  <c r="S26" i="1"/>
  <c r="S27" i="1"/>
  <c r="S28" i="1"/>
  <c r="S29" i="1"/>
  <c r="S30" i="1"/>
  <c r="S31" i="1"/>
  <c r="S32" i="1"/>
  <c r="S36" i="1"/>
  <c r="S37" i="1"/>
  <c r="S38" i="1"/>
  <c r="S39" i="1"/>
  <c r="S40" i="1"/>
  <c r="S41" i="1"/>
  <c r="S42" i="1"/>
  <c r="S47" i="1"/>
  <c r="S48" i="1"/>
  <c r="S49" i="1"/>
  <c r="S50" i="1"/>
  <c r="S51" i="1"/>
  <c r="S52" i="1"/>
  <c r="S53" i="1"/>
  <c r="O21" i="1" l="1"/>
  <c r="O10" i="1"/>
  <c r="O32" i="1"/>
  <c r="L10" i="1" l="1"/>
  <c r="L32" i="1"/>
  <c r="L21" i="1"/>
  <c r="D109" i="1" l="1"/>
  <c r="D76" i="1"/>
  <c r="D131" i="1"/>
  <c r="D120" i="1"/>
  <c r="D98" i="1"/>
  <c r="D87" i="1"/>
  <c r="D65" i="1"/>
  <c r="D54" i="1"/>
  <c r="D43" i="1"/>
  <c r="D32" i="1"/>
  <c r="D21" i="1"/>
  <c r="D10" i="1"/>
  <c r="L53" i="2" l="1"/>
  <c r="L52" i="2"/>
  <c r="L51" i="2"/>
  <c r="L50" i="2"/>
  <c r="L49" i="2"/>
  <c r="L48" i="2"/>
  <c r="L47" i="2"/>
  <c r="L42" i="2"/>
  <c r="L41" i="2"/>
  <c r="L40" i="2"/>
  <c r="L39" i="2"/>
  <c r="L38" i="2"/>
  <c r="L37" i="2"/>
  <c r="L36" i="2"/>
  <c r="L31" i="2"/>
  <c r="L30" i="2"/>
  <c r="L29" i="2"/>
  <c r="L28" i="2"/>
  <c r="L27" i="2"/>
  <c r="L26" i="2"/>
  <c r="L25" i="2"/>
  <c r="L20" i="2"/>
  <c r="L19" i="2"/>
  <c r="L18" i="2"/>
  <c r="L17" i="2"/>
  <c r="L16" i="2"/>
  <c r="L15" i="2"/>
  <c r="L14" i="2"/>
  <c r="L9" i="2"/>
  <c r="L8" i="2"/>
  <c r="L7" i="2"/>
  <c r="L6" i="2"/>
  <c r="L5" i="2"/>
  <c r="L4" i="2"/>
  <c r="L3" i="2"/>
  <c r="D75" i="1"/>
  <c r="D74" i="1"/>
  <c r="D73" i="1"/>
  <c r="D72" i="1"/>
  <c r="D71" i="1"/>
  <c r="D70" i="1"/>
  <c r="D53" i="1"/>
  <c r="D52" i="1"/>
  <c r="D51" i="1"/>
  <c r="D50" i="1"/>
  <c r="D49" i="1"/>
  <c r="D48" i="1"/>
  <c r="D42" i="1"/>
  <c r="D41" i="1"/>
  <c r="D40" i="1"/>
  <c r="D39" i="1"/>
  <c r="D38" i="1"/>
  <c r="D37" i="1"/>
  <c r="D125" i="1"/>
  <c r="D126" i="1"/>
  <c r="D127" i="1"/>
  <c r="D128" i="1"/>
  <c r="D129" i="1"/>
  <c r="D130" i="1"/>
  <c r="D124" i="1"/>
  <c r="D114" i="1"/>
  <c r="D115" i="1"/>
  <c r="D116" i="1"/>
  <c r="D117" i="1"/>
  <c r="D118" i="1"/>
  <c r="D119" i="1"/>
  <c r="D113" i="1"/>
  <c r="D103" i="1"/>
  <c r="D104" i="1"/>
  <c r="D105" i="1"/>
  <c r="D106" i="1"/>
  <c r="D107" i="1"/>
  <c r="D108" i="1"/>
  <c r="D102" i="1"/>
  <c r="D92" i="1"/>
  <c r="D93" i="1"/>
  <c r="D94" i="1"/>
  <c r="D95" i="1"/>
  <c r="D96" i="1"/>
  <c r="D97" i="1"/>
  <c r="D91" i="1"/>
  <c r="D81" i="1"/>
  <c r="D82" i="1"/>
  <c r="D83" i="1"/>
  <c r="D84" i="1"/>
  <c r="D85" i="1"/>
  <c r="D86" i="1"/>
  <c r="D80" i="1"/>
  <c r="D59" i="1"/>
  <c r="D60" i="1"/>
  <c r="D61" i="1"/>
  <c r="D62" i="1"/>
  <c r="D63" i="1"/>
  <c r="D64" i="1"/>
  <c r="D58" i="1"/>
  <c r="L48" i="1"/>
  <c r="L49" i="1"/>
  <c r="L50" i="1"/>
  <c r="L51" i="1"/>
  <c r="L52" i="1"/>
  <c r="L53" i="1"/>
  <c r="L47" i="1"/>
  <c r="L37" i="1"/>
  <c r="L38" i="1"/>
  <c r="L39" i="1"/>
  <c r="L40" i="1"/>
  <c r="L41" i="1"/>
  <c r="L42" i="1"/>
  <c r="L36" i="1"/>
  <c r="L26" i="1"/>
  <c r="L27" i="1"/>
  <c r="L28" i="1"/>
  <c r="L29" i="1"/>
  <c r="L30" i="1"/>
  <c r="L31" i="1"/>
  <c r="L25" i="1"/>
  <c r="L4" i="1"/>
  <c r="L5" i="1"/>
  <c r="L6" i="1"/>
  <c r="L7" i="1"/>
  <c r="L8" i="1"/>
  <c r="L9" i="1"/>
  <c r="L3" i="1"/>
  <c r="L15" i="1"/>
  <c r="L16" i="1"/>
  <c r="L17" i="1"/>
  <c r="L18" i="1"/>
  <c r="L19" i="1"/>
  <c r="L20" i="1"/>
  <c r="L14" i="1"/>
  <c r="D69" i="1"/>
  <c r="D47" i="1"/>
  <c r="D36" i="1"/>
  <c r="D26" i="1"/>
  <c r="D27" i="1"/>
  <c r="D28" i="1"/>
  <c r="D29" i="1"/>
  <c r="D30" i="1"/>
  <c r="D31" i="1"/>
  <c r="D25" i="1"/>
  <c r="D15" i="1"/>
  <c r="D16" i="1"/>
  <c r="D17" i="1"/>
  <c r="D18" i="1"/>
  <c r="D19" i="1"/>
  <c r="D20" i="1"/>
  <c r="D14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<sst xmlns="http://schemas.openxmlformats.org/spreadsheetml/2006/main" count="979" uniqueCount="269">
  <si>
    <t>c880</t>
    <phoneticPr fontId="1" type="noConversion"/>
  </si>
  <si>
    <t>threshold</t>
    <phoneticPr fontId="1" type="noConversion"/>
  </si>
  <si>
    <t>original</t>
    <phoneticPr fontId="1" type="noConversion"/>
  </si>
  <si>
    <t>appro</t>
    <phoneticPr fontId="1" type="noConversion"/>
  </si>
  <si>
    <t>ratio</t>
    <phoneticPr fontId="1" type="noConversion"/>
  </si>
  <si>
    <t>time/s</t>
    <phoneticPr fontId="1" type="noConversion"/>
  </si>
  <si>
    <t>c2670</t>
    <phoneticPr fontId="1" type="noConversion"/>
  </si>
  <si>
    <t>c3540</t>
    <phoneticPr fontId="1" type="noConversion"/>
  </si>
  <si>
    <t>c5315</t>
    <phoneticPr fontId="1" type="noConversion"/>
  </si>
  <si>
    <t>c7552</t>
    <phoneticPr fontId="1" type="noConversion"/>
  </si>
  <si>
    <t>alu4</t>
    <phoneticPr fontId="1" type="noConversion"/>
  </si>
  <si>
    <t>RCA32</t>
    <phoneticPr fontId="1" type="noConversion"/>
  </si>
  <si>
    <t>CLA32</t>
    <phoneticPr fontId="1" type="noConversion"/>
  </si>
  <si>
    <t>KSA32</t>
    <phoneticPr fontId="1" type="noConversion"/>
  </si>
  <si>
    <t>MUL8</t>
    <phoneticPr fontId="1" type="noConversion"/>
  </si>
  <si>
    <t>WTM8</t>
    <phoneticPr fontId="1" type="noConversion"/>
  </si>
  <si>
    <t>c1908</t>
    <phoneticPr fontId="1" type="noConversion"/>
  </si>
  <si>
    <t>error rate</t>
    <phoneticPr fontId="1" type="noConversion"/>
  </si>
  <si>
    <t>average error</t>
    <phoneticPr fontId="1" type="noConversion"/>
  </si>
  <si>
    <t>比师姐差的结果用蓝色标出</t>
    <phoneticPr fontId="1" type="noConversion"/>
  </si>
  <si>
    <t>师姐</t>
    <phoneticPr fontId="1" type="noConversion"/>
  </si>
  <si>
    <t>师姐的结果都是single-selection的</t>
    <phoneticPr fontId="1" type="noConversion"/>
  </si>
  <si>
    <t>这里差距较大，我感觉可能是没用经过预处理后的芯片</t>
    <phoneticPr fontId="1" type="noConversion"/>
  </si>
  <si>
    <t>average</t>
    <phoneticPr fontId="1" type="noConversion"/>
  </si>
  <si>
    <t>rate %</t>
    <phoneticPr fontId="1" type="noConversion"/>
  </si>
  <si>
    <t>没有用我的方法而是用SASIMI估计误差的方法时</t>
    <phoneticPr fontId="1" type="noConversion"/>
  </si>
  <si>
    <t>circuit</t>
    <phoneticPr fontId="1" type="noConversion"/>
  </si>
  <si>
    <t>I/O</t>
    <phoneticPr fontId="1" type="noConversion"/>
  </si>
  <si>
    <t>60/26</t>
    <phoneticPr fontId="1" type="noConversion"/>
  </si>
  <si>
    <t>33/25</t>
    <phoneticPr fontId="1" type="noConversion"/>
  </si>
  <si>
    <t>233/140</t>
    <phoneticPr fontId="1" type="noConversion"/>
  </si>
  <si>
    <t>50/22</t>
    <phoneticPr fontId="1" type="noConversion"/>
  </si>
  <si>
    <t>178/123</t>
    <phoneticPr fontId="1" type="noConversion"/>
  </si>
  <si>
    <t>207/108</t>
    <phoneticPr fontId="1" type="noConversion"/>
  </si>
  <si>
    <t>14/8</t>
    <phoneticPr fontId="1" type="noConversion"/>
  </si>
  <si>
    <t>64/33</t>
    <phoneticPr fontId="1" type="noConversion"/>
  </si>
  <si>
    <t>16/16</t>
    <phoneticPr fontId="1" type="noConversion"/>
  </si>
  <si>
    <t>Our area</t>
    <phoneticPr fontId="1" type="noConversion"/>
  </si>
  <si>
    <t>1%error rate constraint</t>
    <phoneticPr fontId="1" type="noConversion"/>
  </si>
  <si>
    <t>circle</t>
    <phoneticPr fontId="1" type="noConversion"/>
  </si>
  <si>
    <t>circuit</t>
  </si>
  <si>
    <t>I/O</t>
  </si>
  <si>
    <t>c880</t>
  </si>
  <si>
    <t>60/26</t>
  </si>
  <si>
    <t>c1908</t>
  </si>
  <si>
    <t>33/25</t>
  </si>
  <si>
    <t>c2670</t>
  </si>
  <si>
    <t>233/140</t>
  </si>
  <si>
    <t>c3540</t>
  </si>
  <si>
    <t>50/22</t>
  </si>
  <si>
    <t>c5315</t>
  </si>
  <si>
    <t>178/123</t>
  </si>
  <si>
    <t>c7552</t>
  </si>
  <si>
    <t>207/108</t>
  </si>
  <si>
    <t>alu4</t>
  </si>
  <si>
    <t>14/8</t>
  </si>
  <si>
    <t>RCA32</t>
  </si>
  <si>
    <t>64/33</t>
  </si>
  <si>
    <t>CLA32</t>
  </si>
  <si>
    <t>KSA32</t>
  </si>
  <si>
    <t>MUL8</t>
  </si>
  <si>
    <t>16/16</t>
  </si>
  <si>
    <t>WTM8</t>
  </si>
  <si>
    <t>不使用error estimation时结果</t>
    <phoneticPr fontId="1" type="noConversion"/>
  </si>
  <si>
    <t>使用了error estimation时的结果</t>
    <phoneticPr fontId="1" type="noConversion"/>
  </si>
  <si>
    <t>Our area</t>
  </si>
  <si>
    <t>original</t>
  </si>
  <si>
    <t>appro</t>
  </si>
  <si>
    <t>ratio</t>
  </si>
  <si>
    <t>circle</t>
    <phoneticPr fontId="1" type="noConversion"/>
  </si>
  <si>
    <t>time ratio</t>
    <phoneticPr fontId="1" type="noConversion"/>
  </si>
  <si>
    <t>time
ratio %</t>
    <phoneticPr fontId="1" type="noConversion"/>
  </si>
  <si>
    <t>mul8</t>
    <phoneticPr fontId="1" type="noConversion"/>
  </si>
  <si>
    <t>threshold</t>
    <phoneticPr fontId="1" type="noConversion"/>
  </si>
  <si>
    <t xml:space="preserve">appro </t>
    <phoneticPr fontId="1" type="noConversion"/>
  </si>
  <si>
    <t>real</t>
    <phoneticPr fontId="1" type="noConversion"/>
  </si>
  <si>
    <t>average error</t>
    <phoneticPr fontId="1" type="noConversion"/>
  </si>
  <si>
    <t>wtm8</t>
    <phoneticPr fontId="1" type="noConversion"/>
  </si>
  <si>
    <t>simulation error</t>
    <phoneticPr fontId="1" type="noConversion"/>
  </si>
  <si>
    <t>accurate error</t>
    <phoneticPr fontId="1" type="noConversion"/>
  </si>
  <si>
    <t>c880</t>
    <phoneticPr fontId="1" type="noConversion"/>
  </si>
  <si>
    <t>c2670</t>
    <phoneticPr fontId="1" type="noConversion"/>
  </si>
  <si>
    <t>rca32</t>
    <phoneticPr fontId="1" type="noConversion"/>
  </si>
  <si>
    <t>c5315</t>
    <phoneticPr fontId="1" type="noConversion"/>
  </si>
  <si>
    <t>SASIMI</t>
    <phoneticPr fontId="1" type="noConversion"/>
  </si>
  <si>
    <t>appro ratio</t>
    <phoneticPr fontId="1" type="noConversion"/>
  </si>
  <si>
    <t>error rate</t>
    <phoneticPr fontId="1" type="noConversion"/>
  </si>
  <si>
    <t>Geomean</t>
    <phoneticPr fontId="1" type="noConversion"/>
  </si>
  <si>
    <t>SASIMI</t>
    <phoneticPr fontId="1" type="noConversion"/>
  </si>
  <si>
    <t>Wu</t>
    <phoneticPr fontId="1" type="noConversion"/>
  </si>
  <si>
    <t>Our</t>
    <phoneticPr fontId="1" type="noConversion"/>
  </si>
  <si>
    <t>Mean</t>
    <phoneticPr fontId="1" type="noConversion"/>
  </si>
  <si>
    <t>OUR</t>
    <phoneticPr fontId="1" type="noConversion"/>
  </si>
  <si>
    <t>Arithmean</t>
    <phoneticPr fontId="1" type="noConversion"/>
  </si>
  <si>
    <t>c7552 with and without method</t>
    <phoneticPr fontId="1" type="noConversion"/>
  </si>
  <si>
    <t>with</t>
    <phoneticPr fontId="1" type="noConversion"/>
  </si>
  <si>
    <t>without</t>
    <phoneticPr fontId="1" type="noConversion"/>
  </si>
  <si>
    <t>areanow</t>
    <phoneticPr fontId="1" type="noConversion"/>
  </si>
  <si>
    <t>reduced area ratio</t>
    <phoneticPr fontId="1" type="noConversion"/>
  </si>
  <si>
    <t>error</t>
    <phoneticPr fontId="1" type="noConversion"/>
  </si>
  <si>
    <t>error%</t>
    <phoneticPr fontId="1" type="noConversion"/>
  </si>
  <si>
    <t>alu4</t>
    <phoneticPr fontId="1" type="noConversion"/>
  </si>
  <si>
    <t>threshold</t>
    <phoneticPr fontId="1" type="noConversion"/>
  </si>
  <si>
    <t>appro</t>
    <phoneticPr fontId="1" type="noConversion"/>
  </si>
  <si>
    <t>real</t>
    <phoneticPr fontId="1" type="noConversion"/>
  </si>
  <si>
    <t>wtm8</t>
    <phoneticPr fontId="1" type="noConversion"/>
  </si>
  <si>
    <t>ER %</t>
    <phoneticPr fontId="1" type="noConversion"/>
  </si>
  <si>
    <t>用1W IP仿真</t>
    <phoneticPr fontId="1" type="noConversion"/>
  </si>
  <si>
    <t>threshold %</t>
    <phoneticPr fontId="1" type="noConversion"/>
  </si>
  <si>
    <t>144m</t>
    <phoneticPr fontId="1" type="noConversion"/>
  </si>
  <si>
    <t>204m</t>
    <phoneticPr fontId="1" type="noConversion"/>
  </si>
  <si>
    <t>42m19s</t>
    <phoneticPr fontId="1" type="noConversion"/>
  </si>
  <si>
    <t>14m39s</t>
    <phoneticPr fontId="1" type="noConversion"/>
  </si>
  <si>
    <t>51m13s</t>
    <phoneticPr fontId="1" type="noConversion"/>
  </si>
  <si>
    <t>90m50s</t>
    <phoneticPr fontId="1" type="noConversion"/>
  </si>
  <si>
    <t>1m49s</t>
    <phoneticPr fontId="1" type="noConversion"/>
  </si>
  <si>
    <t>3m13s</t>
    <phoneticPr fontId="1" type="noConversion"/>
  </si>
  <si>
    <t>28m25s</t>
    <phoneticPr fontId="1" type="noConversion"/>
  </si>
  <si>
    <t>55m55s</t>
    <phoneticPr fontId="1" type="noConversion"/>
  </si>
  <si>
    <t>52m11s</t>
    <phoneticPr fontId="1" type="noConversion"/>
  </si>
  <si>
    <t>31m5s</t>
    <phoneticPr fontId="1" type="noConversion"/>
  </si>
  <si>
    <t>726m</t>
    <phoneticPr fontId="1" type="noConversion"/>
  </si>
  <si>
    <t>57m18s</t>
    <phoneticPr fontId="1" type="noConversion"/>
  </si>
  <si>
    <t>42m54s</t>
    <phoneticPr fontId="1" type="noConversion"/>
  </si>
  <si>
    <t>75m22s</t>
    <phoneticPr fontId="1" type="noConversion"/>
  </si>
  <si>
    <t>43m55s</t>
    <phoneticPr fontId="1" type="noConversion"/>
  </si>
  <si>
    <t>213m</t>
    <phoneticPr fontId="1" type="noConversion"/>
  </si>
  <si>
    <t>210m</t>
    <phoneticPr fontId="1" type="noConversion"/>
  </si>
  <si>
    <t>115m</t>
    <phoneticPr fontId="1" type="noConversion"/>
  </si>
  <si>
    <t>101m</t>
    <phoneticPr fontId="1" type="noConversion"/>
  </si>
  <si>
    <t>153m</t>
    <phoneticPr fontId="1" type="noConversion"/>
  </si>
  <si>
    <t>152m</t>
    <phoneticPr fontId="1" type="noConversion"/>
  </si>
  <si>
    <t>155m</t>
    <phoneticPr fontId="1" type="noConversion"/>
  </si>
  <si>
    <t>212m</t>
    <phoneticPr fontId="1" type="noConversion"/>
  </si>
  <si>
    <t>87m15s</t>
    <phoneticPr fontId="1" type="noConversion"/>
  </si>
  <si>
    <t>167m</t>
    <phoneticPr fontId="1" type="noConversion"/>
  </si>
  <si>
    <t>44m2s</t>
    <phoneticPr fontId="1" type="noConversion"/>
  </si>
  <si>
    <t>10m59s</t>
    <phoneticPr fontId="1" type="noConversion"/>
  </si>
  <si>
    <t>41m55s</t>
    <phoneticPr fontId="1" type="noConversion"/>
  </si>
  <si>
    <t>56m9s</t>
    <phoneticPr fontId="1" type="noConversion"/>
  </si>
  <si>
    <t>1m42s</t>
    <phoneticPr fontId="1" type="noConversion"/>
  </si>
  <si>
    <t>24m15s</t>
    <phoneticPr fontId="1" type="noConversion"/>
  </si>
  <si>
    <t>44m47s</t>
    <phoneticPr fontId="1" type="noConversion"/>
  </si>
  <si>
    <t>25m47s</t>
    <phoneticPr fontId="1" type="noConversion"/>
  </si>
  <si>
    <t>56s</t>
    <phoneticPr fontId="1" type="noConversion"/>
  </si>
  <si>
    <t>41m33s</t>
    <phoneticPr fontId="1" type="noConversion"/>
  </si>
  <si>
    <t>278m</t>
    <phoneticPr fontId="1" type="noConversion"/>
  </si>
  <si>
    <t>543m</t>
    <phoneticPr fontId="1" type="noConversion"/>
  </si>
  <si>
    <t>473m</t>
    <phoneticPr fontId="1" type="noConversion"/>
  </si>
  <si>
    <t>13m13s</t>
    <phoneticPr fontId="1" type="noConversion"/>
  </si>
  <si>
    <t>43m51s</t>
    <phoneticPr fontId="1" type="noConversion"/>
  </si>
  <si>
    <t>66m37s</t>
    <phoneticPr fontId="1" type="noConversion"/>
  </si>
  <si>
    <t>125m</t>
    <phoneticPr fontId="1" type="noConversion"/>
  </si>
  <si>
    <t>110m</t>
    <phoneticPr fontId="1" type="noConversion"/>
  </si>
  <si>
    <t>473m</t>
    <phoneticPr fontId="1" type="noConversion"/>
  </si>
  <si>
    <t>1m52s</t>
    <phoneticPr fontId="1" type="noConversion"/>
  </si>
  <si>
    <t>392m</t>
    <phoneticPr fontId="1" type="noConversion"/>
  </si>
  <si>
    <t>1m24s</t>
    <phoneticPr fontId="1" type="noConversion"/>
  </si>
  <si>
    <t>24m32s</t>
    <phoneticPr fontId="1" type="noConversion"/>
  </si>
  <si>
    <t>47m8s</t>
    <phoneticPr fontId="1" type="noConversion"/>
  </si>
  <si>
    <t>25m6s</t>
    <phoneticPr fontId="1" type="noConversion"/>
  </si>
  <si>
    <t>42m53s</t>
    <phoneticPr fontId="1" type="noConversion"/>
  </si>
  <si>
    <t>14m30s</t>
    <phoneticPr fontId="1" type="noConversion"/>
  </si>
  <si>
    <t>44m40s</t>
    <phoneticPr fontId="1" type="noConversion"/>
  </si>
  <si>
    <t>69m34s</t>
    <phoneticPr fontId="1" type="noConversion"/>
  </si>
  <si>
    <t>125m</t>
    <phoneticPr fontId="1" type="noConversion"/>
  </si>
  <si>
    <t>485m</t>
    <phoneticPr fontId="1" type="noConversion"/>
  </si>
  <si>
    <t>2m41s</t>
    <phoneticPr fontId="1" type="noConversion"/>
  </si>
  <si>
    <t>550m</t>
    <phoneticPr fontId="1" type="noConversion"/>
  </si>
  <si>
    <t>1m53s</t>
    <phoneticPr fontId="1" type="noConversion"/>
  </si>
  <si>
    <t>26m53s</t>
    <phoneticPr fontId="1" type="noConversion"/>
  </si>
  <si>
    <t>52m43s</t>
    <phoneticPr fontId="1" type="noConversion"/>
  </si>
  <si>
    <t>30m12s</t>
    <phoneticPr fontId="1" type="noConversion"/>
  </si>
  <si>
    <t>46m32s</t>
    <phoneticPr fontId="1" type="noConversion"/>
  </si>
  <si>
    <t>要调查原因</t>
    <phoneticPr fontId="1" type="noConversion"/>
  </si>
  <si>
    <t>145m</t>
    <phoneticPr fontId="1" type="noConversion"/>
  </si>
  <si>
    <t>215m</t>
    <phoneticPr fontId="1" type="noConversion"/>
  </si>
  <si>
    <t>112m</t>
    <phoneticPr fontId="1" type="noConversion"/>
  </si>
  <si>
    <t>44m54s</t>
    <phoneticPr fontId="1" type="noConversion"/>
  </si>
  <si>
    <t>204m</t>
    <phoneticPr fontId="1" type="noConversion"/>
  </si>
  <si>
    <t>45m56s</t>
    <phoneticPr fontId="1" type="noConversion"/>
  </si>
  <si>
    <t>154m</t>
    <phoneticPr fontId="1" type="noConversion"/>
  </si>
  <si>
    <t>215m</t>
    <phoneticPr fontId="1" type="noConversion"/>
  </si>
  <si>
    <t>157m</t>
    <phoneticPr fontId="1" type="noConversion"/>
  </si>
  <si>
    <t>244m</t>
    <phoneticPr fontId="1" type="noConversion"/>
  </si>
  <si>
    <t>282m</t>
    <phoneticPr fontId="1" type="noConversion"/>
  </si>
  <si>
    <t>160m</t>
    <phoneticPr fontId="1" type="noConversion"/>
  </si>
  <si>
    <t>214m</t>
    <phoneticPr fontId="1" type="noConversion"/>
  </si>
  <si>
    <t>156m</t>
    <phoneticPr fontId="1" type="noConversion"/>
  </si>
  <si>
    <t>46m17s</t>
    <phoneticPr fontId="1" type="noConversion"/>
  </si>
  <si>
    <t>190m</t>
    <phoneticPr fontId="1" type="noConversion"/>
  </si>
  <si>
    <t>337m</t>
    <phoneticPr fontId="1" type="noConversion"/>
  </si>
  <si>
    <t>2m47s</t>
    <phoneticPr fontId="1" type="noConversion"/>
  </si>
  <si>
    <t>12m56s</t>
    <phoneticPr fontId="1" type="noConversion"/>
  </si>
  <si>
    <t>49m21s</t>
    <phoneticPr fontId="1" type="noConversion"/>
  </si>
  <si>
    <t>83m20s</t>
    <phoneticPr fontId="1" type="noConversion"/>
  </si>
  <si>
    <t>166m</t>
    <phoneticPr fontId="1" type="noConversion"/>
  </si>
  <si>
    <t>564m</t>
    <phoneticPr fontId="1" type="noConversion"/>
  </si>
  <si>
    <t>651m</t>
    <phoneticPr fontId="1" type="noConversion"/>
  </si>
  <si>
    <t>1m51s</t>
    <phoneticPr fontId="1" type="noConversion"/>
  </si>
  <si>
    <t>28m7s</t>
    <phoneticPr fontId="1" type="noConversion"/>
  </si>
  <si>
    <t>54m47s</t>
    <phoneticPr fontId="1" type="noConversion"/>
  </si>
  <si>
    <t>31m17s</t>
    <phoneticPr fontId="1" type="noConversion"/>
  </si>
  <si>
    <t>52m35s</t>
    <phoneticPr fontId="1" type="noConversion"/>
  </si>
  <si>
    <t>40m40s</t>
    <phoneticPr fontId="1" type="noConversion"/>
  </si>
  <si>
    <t>68m5s</t>
    <phoneticPr fontId="1" type="noConversion"/>
  </si>
  <si>
    <t>4m4s</t>
    <phoneticPr fontId="1" type="noConversion"/>
  </si>
  <si>
    <t>134m29s</t>
    <phoneticPr fontId="1" type="noConversion"/>
  </si>
  <si>
    <t>576m</t>
    <phoneticPr fontId="1" type="noConversion"/>
  </si>
  <si>
    <t>1075m</t>
    <phoneticPr fontId="1" type="noConversion"/>
  </si>
  <si>
    <t>2m57s</t>
    <phoneticPr fontId="1" type="noConversion"/>
  </si>
  <si>
    <t>34m15s</t>
    <phoneticPr fontId="1" type="noConversion"/>
  </si>
  <si>
    <t>71m46s</t>
    <phoneticPr fontId="1" type="noConversion"/>
  </si>
  <si>
    <t>30m1s</t>
    <phoneticPr fontId="1" type="noConversion"/>
  </si>
  <si>
    <t>64m52s</t>
    <phoneticPr fontId="1" type="noConversion"/>
  </si>
  <si>
    <t>40m57s</t>
    <phoneticPr fontId="1" type="noConversion"/>
  </si>
  <si>
    <t>84m11s</t>
    <phoneticPr fontId="1" type="noConversion"/>
  </si>
  <si>
    <t>291m24s</t>
    <phoneticPr fontId="1" type="noConversion"/>
  </si>
  <si>
    <t>6m11s</t>
    <phoneticPr fontId="1" type="noConversion"/>
  </si>
  <si>
    <t>255m</t>
    <phoneticPr fontId="1" type="noConversion"/>
  </si>
  <si>
    <t>188m</t>
    <phoneticPr fontId="1" type="noConversion"/>
  </si>
  <si>
    <t>407m</t>
    <phoneticPr fontId="1" type="noConversion"/>
  </si>
  <si>
    <t>597m</t>
    <phoneticPr fontId="1" type="noConversion"/>
  </si>
  <si>
    <t>3m43s</t>
    <phoneticPr fontId="1" type="noConversion"/>
  </si>
  <si>
    <t>39m20s</t>
    <phoneticPr fontId="1" type="noConversion"/>
  </si>
  <si>
    <t>74m23s</t>
    <phoneticPr fontId="1" type="noConversion"/>
  </si>
  <si>
    <t>34m58s</t>
    <phoneticPr fontId="1" type="noConversion"/>
  </si>
  <si>
    <t>70m36s</t>
    <phoneticPr fontId="1" type="noConversion"/>
  </si>
  <si>
    <t>Average area ratio</t>
    <phoneticPr fontId="1" type="noConversion"/>
  </si>
  <si>
    <t>1284m</t>
    <phoneticPr fontId="1" type="noConversion"/>
  </si>
  <si>
    <t>46m28s</t>
    <phoneticPr fontId="1" type="noConversion"/>
  </si>
  <si>
    <t>156m</t>
    <phoneticPr fontId="1" type="noConversion"/>
  </si>
  <si>
    <t>217m</t>
    <phoneticPr fontId="1" type="noConversion"/>
  </si>
  <si>
    <t>whole time</t>
    <phoneticPr fontId="1" type="noConversion"/>
  </si>
  <si>
    <t>error propagation time</t>
    <phoneticPr fontId="1" type="noConversion"/>
  </si>
  <si>
    <t>time ratio</t>
    <phoneticPr fontId="1" type="noConversion"/>
  </si>
  <si>
    <t>time ratio %</t>
    <phoneticPr fontId="1" type="noConversion"/>
  </si>
  <si>
    <t>Area</t>
    <phoneticPr fontId="1" type="noConversion"/>
  </si>
  <si>
    <t>Exact Estimation</t>
    <phoneticPr fontId="1" type="noConversion"/>
  </si>
  <si>
    <t>Our</t>
    <phoneticPr fontId="1" type="noConversion"/>
  </si>
  <si>
    <t>Area</t>
    <phoneticPr fontId="1" type="noConversion"/>
  </si>
  <si>
    <t>time/s</t>
    <phoneticPr fontId="1" type="noConversion"/>
  </si>
  <si>
    <t>speed-up</t>
    <phoneticPr fontId="1" type="noConversion"/>
  </si>
  <si>
    <t>SASIMI method</t>
    <phoneticPr fontId="1" type="noConversion"/>
  </si>
  <si>
    <t>Our</t>
    <phoneticPr fontId="1" type="noConversion"/>
  </si>
  <si>
    <t>Area</t>
    <phoneticPr fontId="1" type="noConversion"/>
  </si>
  <si>
    <t>single time/s</t>
    <phoneticPr fontId="1" type="noConversion"/>
  </si>
  <si>
    <t>whole time/s</t>
    <phoneticPr fontId="1" type="noConversion"/>
  </si>
  <si>
    <t>whole time</t>
    <phoneticPr fontId="1" type="noConversion"/>
  </si>
  <si>
    <t>ratio</t>
    <phoneticPr fontId="1" type="noConversion"/>
  </si>
  <si>
    <t>single time</t>
    <phoneticPr fontId="1" type="noConversion"/>
  </si>
  <si>
    <t>step</t>
    <phoneticPr fontId="1" type="noConversion"/>
  </si>
  <si>
    <t>area</t>
    <phoneticPr fontId="1" type="noConversion"/>
  </si>
  <si>
    <t>ratio</t>
    <phoneticPr fontId="1" type="noConversion"/>
  </si>
  <si>
    <t>把SASIMI方法修改成和原文一致</t>
    <phoneticPr fontId="1" type="noConversion"/>
  </si>
  <si>
    <t>AEM value</t>
    <phoneticPr fontId="1" type="noConversion"/>
  </si>
  <si>
    <t>在AEM方面的比较</t>
    <phoneticPr fontId="1" type="noConversion"/>
  </si>
  <si>
    <t>Our Previous</t>
    <phoneticPr fontId="1" type="noConversion"/>
  </si>
  <si>
    <t>Mini-batch</t>
    <phoneticPr fontId="1" type="noConversion"/>
  </si>
  <si>
    <t>Max PI in</t>
    <phoneticPr fontId="1" type="noConversion"/>
  </si>
  <si>
    <t>one PO</t>
    <phoneticPr fontId="1" type="noConversion"/>
  </si>
  <si>
    <t xml:space="preserve">Number of </t>
    <phoneticPr fontId="1" type="noConversion"/>
  </si>
  <si>
    <t>PO</t>
    <phoneticPr fontId="1" type="noConversion"/>
  </si>
  <si>
    <t>第二次尝试</t>
    <phoneticPr fontId="1" type="noConversion"/>
  </si>
  <si>
    <t>始终保持10万的input pattern</t>
    <phoneticPr fontId="1" type="noConversion"/>
  </si>
  <si>
    <t>估计误差</t>
    <phoneticPr fontId="1" type="noConversion"/>
  </si>
  <si>
    <t>全仿真误差</t>
    <phoneticPr fontId="1" type="noConversion"/>
  </si>
  <si>
    <t>差值</t>
    <phoneticPr fontId="1" type="noConversion"/>
  </si>
  <si>
    <t>差值/全仿真误差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</si>
</sst>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_ "/>
    <numFmt numFmtId="178" formatCode="0.00_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4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0" xfId="0" applyNumberFormat="1"/>
    <xf numFmtId="177" fontId="0" fillId="0" borderId="1" xfId="0" applyNumberFormat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2"/>
  <sheetViews>
    <sheetView topLeftCell="N1" zoomScaleNormal="100" workbookViewId="0">
      <selection activeCell="U6" sqref="U6"/>
    </sheetView>
  </sheetViews>
  <sheetFormatPr defaultRowHeight="13.5" x14ac:dyDescent="0.15"/>
  <cols>
    <col min="1" max="1" width="13.625" customWidth="1"/>
    <col min="2" max="5" width="9" style="6"/>
    <col min="15" max="15" width="9.5" bestFit="1" customWidth="1"/>
    <col min="16" max="16" width="12.75" bestFit="1" customWidth="1"/>
    <col min="21" max="21" width="12.75" bestFit="1" customWidth="1"/>
    <col min="27" max="27" width="15.375" customWidth="1"/>
    <col min="28" max="28" width="14.75" customWidth="1"/>
  </cols>
  <sheetData>
    <row r="1" spans="1:34" x14ac:dyDescent="0.15">
      <c r="A1" t="s">
        <v>0</v>
      </c>
      <c r="B1" t="s">
        <v>17</v>
      </c>
      <c r="I1" s="5" t="s">
        <v>11</v>
      </c>
      <c r="J1" s="6" t="s">
        <v>23</v>
      </c>
      <c r="K1" s="6"/>
      <c r="L1" s="6"/>
      <c r="M1" s="6"/>
      <c r="O1" s="5" t="s">
        <v>11</v>
      </c>
      <c r="U1" s="5" t="s">
        <v>11</v>
      </c>
      <c r="V1" t="s">
        <v>25</v>
      </c>
      <c r="AA1" s="28" t="s">
        <v>84</v>
      </c>
    </row>
    <row r="2" spans="1:34" x14ac:dyDescent="0.1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1" t="s">
        <v>19</v>
      </c>
      <c r="I2" s="3" t="s">
        <v>1</v>
      </c>
      <c r="J2" s="1" t="s">
        <v>2</v>
      </c>
      <c r="K2" s="1" t="s">
        <v>3</v>
      </c>
      <c r="L2" s="1" t="s">
        <v>4</v>
      </c>
      <c r="M2" s="1" t="s">
        <v>5</v>
      </c>
      <c r="O2" s="3" t="s">
        <v>1</v>
      </c>
      <c r="P2" s="1" t="s">
        <v>24</v>
      </c>
      <c r="Q2" s="1" t="s">
        <v>2</v>
      </c>
      <c r="R2" s="1" t="s">
        <v>3</v>
      </c>
      <c r="S2" s="1" t="s">
        <v>4</v>
      </c>
      <c r="U2" s="3" t="s">
        <v>1</v>
      </c>
      <c r="V2" s="1" t="s">
        <v>24</v>
      </c>
      <c r="W2" s="1" t="s">
        <v>2</v>
      </c>
      <c r="X2" s="1" t="s">
        <v>3</v>
      </c>
      <c r="Y2" s="1" t="s">
        <v>4</v>
      </c>
      <c r="AA2" s="23" t="s">
        <v>86</v>
      </c>
      <c r="AB2" s="23" t="s">
        <v>85</v>
      </c>
    </row>
    <row r="3" spans="1:34" x14ac:dyDescent="0.15">
      <c r="A3" s="4">
        <v>1E-3</v>
      </c>
      <c r="B3" s="1">
        <v>599</v>
      </c>
      <c r="C3" s="1">
        <v>548</v>
      </c>
      <c r="D3" s="1">
        <f>C3/B3</f>
        <v>0.91485809682804675</v>
      </c>
      <c r="E3" s="1">
        <v>16</v>
      </c>
      <c r="F3" t="s">
        <v>21</v>
      </c>
      <c r="I3" s="1">
        <v>4</v>
      </c>
      <c r="J3" s="1">
        <v>691</v>
      </c>
      <c r="K3" s="1">
        <v>642</v>
      </c>
      <c r="L3" s="1">
        <f>K3/J3</f>
        <v>0.9290882778581766</v>
      </c>
      <c r="M3" s="1"/>
      <c r="O3" s="1">
        <v>131072</v>
      </c>
      <c r="P3" s="1">
        <f>O3/(2^33-1)*100</f>
        <v>1.5258789064276357E-3</v>
      </c>
      <c r="Q3" s="1">
        <v>691</v>
      </c>
      <c r="R3" s="1">
        <v>284</v>
      </c>
      <c r="S3" s="1">
        <f>R3/Q3</f>
        <v>0.4109985528219971</v>
      </c>
      <c r="U3" s="1">
        <f>V3/100*(2^33-1)</f>
        <v>4354033.6433752459</v>
      </c>
      <c r="V3" s="1">
        <f>AA3</f>
        <v>5.0687622789783886E-2</v>
      </c>
      <c r="W3" s="1">
        <v>691</v>
      </c>
      <c r="X3" s="1">
        <v>181</v>
      </c>
      <c r="Y3" s="1">
        <f>X3/W3</f>
        <v>0.26193921852387841</v>
      </c>
      <c r="AA3" s="22">
        <f>AC3/AD3*0.6</f>
        <v>5.0687622789783886E-2</v>
      </c>
      <c r="AB3" s="22">
        <f>1-0.7*AE3/AF3</f>
        <v>0.70972222222222225</v>
      </c>
      <c r="AC3">
        <v>43</v>
      </c>
      <c r="AD3">
        <v>509</v>
      </c>
      <c r="AE3">
        <v>209</v>
      </c>
      <c r="AF3">
        <v>504</v>
      </c>
    </row>
    <row r="4" spans="1:34" x14ac:dyDescent="0.15">
      <c r="A4" s="4">
        <v>3.0000000000000001E-3</v>
      </c>
      <c r="B4" s="1">
        <v>599</v>
      </c>
      <c r="C4" s="1">
        <v>548</v>
      </c>
      <c r="D4" s="1">
        <f t="shared" ref="D4:D9" si="0">C4/B4</f>
        <v>0.91485809682804675</v>
      </c>
      <c r="E4" s="1"/>
      <c r="I4" s="4">
        <v>8</v>
      </c>
      <c r="J4" s="1">
        <v>691</v>
      </c>
      <c r="K4" s="1">
        <v>612</v>
      </c>
      <c r="L4" s="1">
        <f t="shared" ref="L4:L10" si="1">K4/J4</f>
        <v>0.88567293777134593</v>
      </c>
      <c r="M4" s="1"/>
      <c r="O4" s="1">
        <v>262144</v>
      </c>
      <c r="P4" s="1">
        <f t="shared" ref="P4:P10" si="2">O4/(2^33-1)*100</f>
        <v>3.0517578128552714E-3</v>
      </c>
      <c r="Q4" s="1">
        <v>691</v>
      </c>
      <c r="R4" s="1">
        <v>277</v>
      </c>
      <c r="S4" s="1">
        <f t="shared" ref="S4:S10" si="3">R4/Q4</f>
        <v>0.40086830680173663</v>
      </c>
      <c r="U4" s="27">
        <f>V4/100*(2^33-1)</f>
        <v>8809323.8831080552</v>
      </c>
      <c r="V4" s="27">
        <f>AA4</f>
        <v>0.10255402750491159</v>
      </c>
      <c r="W4" s="1">
        <v>691</v>
      </c>
      <c r="X4" s="1">
        <v>152</v>
      </c>
      <c r="Y4" s="1">
        <f t="shared" ref="Y4:Y10" si="4">X4/W4</f>
        <v>0.21997105643994211</v>
      </c>
      <c r="AA4" s="22">
        <f>AC4/AD4*0.6</f>
        <v>0.10255402750491159</v>
      </c>
      <c r="AB4" s="22">
        <f>1-0.7*AE4/AF4</f>
        <v>0.6430555555555556</v>
      </c>
      <c r="AC4">
        <v>87</v>
      </c>
      <c r="AD4">
        <v>509</v>
      </c>
      <c r="AE4">
        <v>257</v>
      </c>
      <c r="AF4">
        <v>504</v>
      </c>
    </row>
    <row r="5" spans="1:34" x14ac:dyDescent="0.15">
      <c r="A5" s="4">
        <v>5.0000000000000001E-3</v>
      </c>
      <c r="B5" s="1">
        <v>599</v>
      </c>
      <c r="C5" s="1">
        <v>526</v>
      </c>
      <c r="D5" s="1">
        <f t="shared" si="0"/>
        <v>0.87813021702838068</v>
      </c>
      <c r="E5" s="1"/>
      <c r="I5" s="4">
        <v>16</v>
      </c>
      <c r="J5" s="1">
        <v>691</v>
      </c>
      <c r="K5" s="1">
        <v>604</v>
      </c>
      <c r="L5" s="1">
        <f t="shared" si="1"/>
        <v>0.87409551374819106</v>
      </c>
      <c r="M5" s="1"/>
      <c r="O5" s="4">
        <v>524288</v>
      </c>
      <c r="P5" s="1">
        <f t="shared" si="2"/>
        <v>6.1035156257105427E-3</v>
      </c>
      <c r="Q5" s="1">
        <v>691</v>
      </c>
      <c r="R5" s="1">
        <v>241</v>
      </c>
      <c r="S5" s="1">
        <f t="shared" si="3"/>
        <v>0.34876989869753977</v>
      </c>
      <c r="U5" s="27">
        <f>V5/100*(2^33-1)</f>
        <v>21567655.0241611</v>
      </c>
      <c r="V5" s="27">
        <f>AA5</f>
        <v>0.25108055009823183</v>
      </c>
      <c r="W5" s="1">
        <v>691</v>
      </c>
      <c r="X5" s="1">
        <v>129</v>
      </c>
      <c r="Y5" s="1">
        <f t="shared" si="4"/>
        <v>0.18668596237337193</v>
      </c>
      <c r="AA5" s="22">
        <f>AC5/AD5*0.6</f>
        <v>0.25108055009823183</v>
      </c>
      <c r="AB5" s="22">
        <f>1-0.7*AE5/AF5</f>
        <v>0.47361111111111109</v>
      </c>
      <c r="AC5">
        <v>213</v>
      </c>
      <c r="AD5">
        <v>509</v>
      </c>
      <c r="AE5">
        <v>379</v>
      </c>
      <c r="AF5">
        <v>504</v>
      </c>
    </row>
    <row r="6" spans="1:34" x14ac:dyDescent="0.15">
      <c r="A6" s="4">
        <v>8.0000000000000002E-3</v>
      </c>
      <c r="B6" s="1">
        <v>599</v>
      </c>
      <c r="C6" s="1">
        <v>526</v>
      </c>
      <c r="D6" s="1">
        <f t="shared" si="0"/>
        <v>0.87813021702838068</v>
      </c>
      <c r="E6" s="1"/>
      <c r="I6" s="4">
        <v>32</v>
      </c>
      <c r="J6" s="1">
        <v>691</v>
      </c>
      <c r="K6" s="1">
        <v>547</v>
      </c>
      <c r="L6" s="1">
        <f t="shared" si="1"/>
        <v>0.79160636758321279</v>
      </c>
      <c r="M6" s="1"/>
      <c r="O6" s="4">
        <v>1048576</v>
      </c>
      <c r="P6" s="1">
        <f t="shared" si="2"/>
        <v>1.2207031251421085E-2</v>
      </c>
      <c r="Q6" s="1">
        <v>691</v>
      </c>
      <c r="R6" s="1">
        <v>234</v>
      </c>
      <c r="S6" s="1">
        <f t="shared" si="3"/>
        <v>0.3386396526772793</v>
      </c>
      <c r="U6" s="27">
        <f>V6/100*(2^33-1)</f>
        <v>34427242.761571698</v>
      </c>
      <c r="V6" s="27">
        <f>AA6</f>
        <v>0.40078585461689581</v>
      </c>
      <c r="W6" s="1">
        <v>691</v>
      </c>
      <c r="X6" s="1">
        <v>110</v>
      </c>
      <c r="Y6" s="1">
        <f t="shared" si="4"/>
        <v>0.15918958031837915</v>
      </c>
      <c r="AA6" s="22">
        <f>AC6/AD6*0.6</f>
        <v>0.40078585461689581</v>
      </c>
      <c r="AB6" s="22">
        <f>1-0.7*AE6/AF6</f>
        <v>0.39444444444444449</v>
      </c>
      <c r="AC6">
        <v>340</v>
      </c>
      <c r="AD6">
        <v>509</v>
      </c>
      <c r="AE6">
        <v>436</v>
      </c>
      <c r="AF6">
        <v>504</v>
      </c>
      <c r="AH6" t="s">
        <v>93</v>
      </c>
    </row>
    <row r="7" spans="1:34" x14ac:dyDescent="0.15">
      <c r="A7" s="4">
        <v>0.01</v>
      </c>
      <c r="B7" s="1">
        <v>599</v>
      </c>
      <c r="C7" s="2">
        <v>521</v>
      </c>
      <c r="D7" s="1">
        <f t="shared" si="0"/>
        <v>0.86978297161936557</v>
      </c>
      <c r="E7" s="1"/>
      <c r="I7" s="4">
        <v>64</v>
      </c>
      <c r="J7" s="1">
        <v>691</v>
      </c>
      <c r="K7" s="2">
        <v>526</v>
      </c>
      <c r="L7" s="1">
        <f t="shared" si="1"/>
        <v>0.76121562952243127</v>
      </c>
      <c r="M7" s="1"/>
      <c r="O7" s="4">
        <v>2097152</v>
      </c>
      <c r="P7" s="1">
        <f t="shared" si="2"/>
        <v>2.4414062502842171E-2</v>
      </c>
      <c r="Q7" s="1">
        <v>691</v>
      </c>
      <c r="R7" s="2">
        <v>220</v>
      </c>
      <c r="S7" s="1">
        <f t="shared" si="3"/>
        <v>0.31837916063675831</v>
      </c>
      <c r="U7" s="4"/>
      <c r="V7" s="1"/>
      <c r="W7" s="1">
        <v>691</v>
      </c>
      <c r="X7" s="2"/>
      <c r="Y7" s="1">
        <f>X7/W7+AVERAGE(Y3:Y6)</f>
        <v>0.20694645441389292</v>
      </c>
      <c r="AA7" s="22"/>
      <c r="AB7" s="22">
        <f>AVERAGE(AB3:AB6)</f>
        <v>0.5552083333333333</v>
      </c>
      <c r="AG7" t="s">
        <v>84</v>
      </c>
      <c r="AH7">
        <f>AVERAGE(AB7,AB18,AB29,AB38,AB49)</f>
        <v>0.62777777777777788</v>
      </c>
    </row>
    <row r="8" spans="1:34" x14ac:dyDescent="0.15">
      <c r="A8" s="4">
        <v>0.03</v>
      </c>
      <c r="B8" s="1">
        <v>599</v>
      </c>
      <c r="C8" s="1">
        <v>505</v>
      </c>
      <c r="D8" s="1">
        <f t="shared" si="0"/>
        <v>0.84307178631051749</v>
      </c>
      <c r="E8" s="1"/>
      <c r="I8" s="4">
        <v>128</v>
      </c>
      <c r="J8" s="1">
        <v>691</v>
      </c>
      <c r="K8" s="1">
        <v>493</v>
      </c>
      <c r="L8" s="1">
        <f t="shared" si="1"/>
        <v>0.7134587554269175</v>
      </c>
      <c r="M8" s="1"/>
      <c r="O8" s="4">
        <v>4194304</v>
      </c>
      <c r="P8" s="1">
        <f t="shared" si="2"/>
        <v>4.8828125005684342E-2</v>
      </c>
      <c r="Q8" s="1">
        <v>691</v>
      </c>
      <c r="R8" s="1">
        <v>181</v>
      </c>
      <c r="S8" s="1">
        <f t="shared" si="3"/>
        <v>0.26193921852387841</v>
      </c>
      <c r="U8" s="4"/>
      <c r="V8" s="1"/>
      <c r="W8" s="1">
        <v>691</v>
      </c>
      <c r="X8" s="1"/>
      <c r="Y8" s="1">
        <f t="shared" si="4"/>
        <v>0</v>
      </c>
      <c r="AA8" s="22"/>
      <c r="AB8" s="22"/>
      <c r="AG8" t="s">
        <v>92</v>
      </c>
      <c r="AH8">
        <f>AVERAGE(Y7,Y18,Y29,Y38,Y49)</f>
        <v>0.3079504697501303</v>
      </c>
    </row>
    <row r="9" spans="1:34" x14ac:dyDescent="0.15">
      <c r="A9" s="4">
        <v>0.05</v>
      </c>
      <c r="B9" s="1">
        <v>599</v>
      </c>
      <c r="C9" s="2">
        <v>487</v>
      </c>
      <c r="D9" s="1">
        <f t="shared" si="0"/>
        <v>0.81302170283806341</v>
      </c>
      <c r="E9" s="1"/>
      <c r="I9" s="4">
        <v>256</v>
      </c>
      <c r="J9" s="1">
        <v>691</v>
      </c>
      <c r="K9" s="2">
        <v>478</v>
      </c>
      <c r="L9" s="1">
        <f t="shared" si="1"/>
        <v>0.69175108538350216</v>
      </c>
      <c r="M9" s="1"/>
      <c r="O9" s="4">
        <v>8388608</v>
      </c>
      <c r="P9" s="1">
        <f t="shared" si="2"/>
        <v>9.7656250011368684E-2</v>
      </c>
      <c r="Q9" s="1">
        <v>691</v>
      </c>
      <c r="R9" s="2">
        <v>158</v>
      </c>
      <c r="S9" s="1">
        <f t="shared" si="3"/>
        <v>0.22865412445730826</v>
      </c>
      <c r="U9" s="4"/>
      <c r="V9" s="1"/>
      <c r="W9" s="1">
        <v>691</v>
      </c>
      <c r="X9" s="2"/>
      <c r="Y9" s="1">
        <f t="shared" si="4"/>
        <v>0</v>
      </c>
      <c r="AA9" s="22"/>
      <c r="AB9" s="22"/>
    </row>
    <row r="10" spans="1:34" x14ac:dyDescent="0.15">
      <c r="A10" t="s">
        <v>20</v>
      </c>
      <c r="B10" s="6">
        <v>0.89300000000000002</v>
      </c>
      <c r="D10" s="6">
        <f>AVERAGE(D3:D9)</f>
        <v>0.87312186978297146</v>
      </c>
      <c r="I10" s="14">
        <v>32768</v>
      </c>
      <c r="J10" s="1">
        <v>691</v>
      </c>
      <c r="K10" s="6">
        <v>340</v>
      </c>
      <c r="L10" s="6">
        <f t="shared" si="1"/>
        <v>0.49204052098408102</v>
      </c>
      <c r="M10" s="6"/>
      <c r="O10" s="4">
        <f>8388608*2</f>
        <v>16777216</v>
      </c>
      <c r="P10" s="1">
        <f t="shared" si="2"/>
        <v>0.19531250002273737</v>
      </c>
      <c r="Q10" s="1">
        <v>691</v>
      </c>
      <c r="R10" s="1">
        <v>144</v>
      </c>
      <c r="S10" s="1">
        <f t="shared" si="3"/>
        <v>0.20839363241678727</v>
      </c>
      <c r="U10" s="4"/>
      <c r="V10" s="1"/>
      <c r="W10" s="1">
        <v>691</v>
      </c>
      <c r="X10" s="1"/>
      <c r="Y10" s="1">
        <f t="shared" si="4"/>
        <v>0</v>
      </c>
      <c r="AA10" s="22"/>
      <c r="AB10" s="22"/>
    </row>
    <row r="11" spans="1:34" x14ac:dyDescent="0.15">
      <c r="I11" s="14">
        <v>65535</v>
      </c>
      <c r="J11" s="6"/>
      <c r="K11" s="6"/>
      <c r="L11" s="6"/>
      <c r="M11" s="6"/>
      <c r="P11" s="6"/>
      <c r="Q11" s="6"/>
      <c r="R11" s="6"/>
      <c r="S11" s="6"/>
      <c r="V11" s="6"/>
      <c r="W11" s="6"/>
      <c r="X11" s="6"/>
      <c r="Y11" s="6"/>
      <c r="AA11" s="22"/>
      <c r="AB11" s="22"/>
    </row>
    <row r="12" spans="1:34" x14ac:dyDescent="0.15">
      <c r="A12" t="s">
        <v>16</v>
      </c>
      <c r="I12" s="5" t="s">
        <v>12</v>
      </c>
      <c r="J12" s="6"/>
      <c r="K12" s="6"/>
      <c r="L12" s="6"/>
      <c r="M12" s="6"/>
      <c r="O12" s="5" t="s">
        <v>12</v>
      </c>
      <c r="P12" s="6"/>
      <c r="Q12" s="6"/>
      <c r="R12" s="6"/>
      <c r="S12" s="6"/>
      <c r="U12" s="5" t="s">
        <v>12</v>
      </c>
      <c r="V12" s="6"/>
      <c r="W12" s="6"/>
      <c r="X12" s="6"/>
      <c r="Y12" s="6"/>
      <c r="AA12" s="22"/>
      <c r="AB12" s="22"/>
    </row>
    <row r="13" spans="1:34" x14ac:dyDescent="0.15">
      <c r="A13" s="3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I13" s="3" t="s">
        <v>1</v>
      </c>
      <c r="J13" s="1" t="s">
        <v>2</v>
      </c>
      <c r="K13" s="1" t="s">
        <v>3</v>
      </c>
      <c r="L13" s="1" t="s">
        <v>4</v>
      </c>
      <c r="M13" s="1" t="s">
        <v>5</v>
      </c>
      <c r="O13" s="3" t="s">
        <v>1</v>
      </c>
      <c r="P13" s="1" t="s">
        <v>24</v>
      </c>
      <c r="Q13" s="1" t="s">
        <v>2</v>
      </c>
      <c r="R13" s="1" t="s">
        <v>3</v>
      </c>
      <c r="S13" s="1" t="s">
        <v>4</v>
      </c>
      <c r="U13" s="3" t="s">
        <v>1</v>
      </c>
      <c r="V13" s="1" t="s">
        <v>24</v>
      </c>
      <c r="W13" s="1" t="s">
        <v>2</v>
      </c>
      <c r="X13" s="1" t="s">
        <v>3</v>
      </c>
      <c r="Y13" s="1" t="s">
        <v>4</v>
      </c>
      <c r="AA13" s="22"/>
      <c r="AB13" s="22"/>
    </row>
    <row r="14" spans="1:34" x14ac:dyDescent="0.15">
      <c r="A14" s="4">
        <v>1E-3</v>
      </c>
      <c r="B14" s="1">
        <v>1013</v>
      </c>
      <c r="C14" s="1">
        <v>742</v>
      </c>
      <c r="D14" s="12">
        <f>C14/B14</f>
        <v>0.7324777887462981</v>
      </c>
      <c r="E14" s="1">
        <v>128</v>
      </c>
      <c r="I14" s="1">
        <v>4</v>
      </c>
      <c r="J14" s="1">
        <v>1063</v>
      </c>
      <c r="K14" s="1">
        <v>861</v>
      </c>
      <c r="L14" s="1">
        <f>K14/J14</f>
        <v>0.80997177798682973</v>
      </c>
      <c r="M14" s="1"/>
      <c r="O14" s="1">
        <v>131072</v>
      </c>
      <c r="P14" s="1">
        <f>O14/(2^33-1)*100</f>
        <v>1.5258789064276357E-3</v>
      </c>
      <c r="Q14" s="1">
        <v>1063</v>
      </c>
      <c r="R14" s="1">
        <v>557</v>
      </c>
      <c r="S14" s="1">
        <f>R14/Q14</f>
        <v>0.52398871119473189</v>
      </c>
      <c r="U14" s="1">
        <f>V14/100*(2^33-1)</f>
        <v>4252777.0470176823</v>
      </c>
      <c r="V14" s="1">
        <f>AA14</f>
        <v>4.950884086444008E-2</v>
      </c>
      <c r="W14" s="1">
        <v>1063</v>
      </c>
      <c r="X14" s="1">
        <v>399</v>
      </c>
      <c r="Y14" s="1">
        <f>X14/W14</f>
        <v>0.37535277516462839</v>
      </c>
      <c r="AA14" s="22">
        <f>AC14/AD14*0.6</f>
        <v>4.950884086444008E-2</v>
      </c>
      <c r="AB14" s="22">
        <f>1-0.7*AE14/AF14</f>
        <v>0.59166666666666667</v>
      </c>
      <c r="AC14">
        <v>42</v>
      </c>
      <c r="AD14">
        <v>509</v>
      </c>
      <c r="AE14">
        <v>294</v>
      </c>
      <c r="AF14">
        <v>504</v>
      </c>
    </row>
    <row r="15" spans="1:34" x14ac:dyDescent="0.15">
      <c r="A15" s="4">
        <v>3.0000000000000001E-3</v>
      </c>
      <c r="B15" s="1">
        <v>1013</v>
      </c>
      <c r="C15" s="1">
        <v>725</v>
      </c>
      <c r="D15" s="12">
        <f t="shared" ref="D15:D20" si="5">C15/B15</f>
        <v>0.71569595261599206</v>
      </c>
      <c r="E15" s="1"/>
      <c r="I15" s="4">
        <v>8</v>
      </c>
      <c r="J15" s="1">
        <v>1063</v>
      </c>
      <c r="K15" s="1">
        <v>856</v>
      </c>
      <c r="L15" s="1">
        <f t="shared" ref="L15:L21" si="6">K15/J15</f>
        <v>0.80526810912511759</v>
      </c>
      <c r="M15" s="1"/>
      <c r="O15" s="1">
        <v>262144</v>
      </c>
      <c r="P15" s="1">
        <f t="shared" ref="P15:P21" si="7">O15/(2^33-1)*100</f>
        <v>3.0517578128552714E-3</v>
      </c>
      <c r="Q15" s="1">
        <v>1063</v>
      </c>
      <c r="R15" s="1">
        <v>544</v>
      </c>
      <c r="S15" s="1">
        <f t="shared" ref="S15:S21" si="8">R15/Q15</f>
        <v>0.51175917215428035</v>
      </c>
      <c r="U15" s="27">
        <f>V15/100*(2^33-1)</f>
        <v>13062100.930125738</v>
      </c>
      <c r="V15" s="27">
        <f>AA15</f>
        <v>0.15206286836935168</v>
      </c>
      <c r="W15" s="1">
        <v>1063</v>
      </c>
      <c r="X15" s="1">
        <v>194</v>
      </c>
      <c r="Y15" s="1">
        <f t="shared" ref="Y15:Y21" si="9">X15/W15</f>
        <v>0.18250235183443086</v>
      </c>
      <c r="AA15" s="22">
        <f>AC15/AD15*0.6</f>
        <v>0.15206286836935168</v>
      </c>
      <c r="AB15" s="22">
        <f>1-0.7*AE15/AF15</f>
        <v>0.38750000000000007</v>
      </c>
      <c r="AC15">
        <v>129</v>
      </c>
      <c r="AD15">
        <v>509</v>
      </c>
      <c r="AE15">
        <v>441</v>
      </c>
      <c r="AF15">
        <v>504</v>
      </c>
    </row>
    <row r="16" spans="1:34" x14ac:dyDescent="0.15">
      <c r="A16" s="4">
        <v>5.0000000000000001E-3</v>
      </c>
      <c r="B16" s="1">
        <v>1013</v>
      </c>
      <c r="C16" s="1">
        <v>711</v>
      </c>
      <c r="D16" s="1">
        <f t="shared" si="5"/>
        <v>0.70187561697926948</v>
      </c>
      <c r="E16" s="1"/>
      <c r="I16" s="4">
        <v>16</v>
      </c>
      <c r="J16" s="1">
        <v>1063</v>
      </c>
      <c r="K16" s="1">
        <v>851</v>
      </c>
      <c r="L16" s="1">
        <f t="shared" si="6"/>
        <v>0.80056444026340545</v>
      </c>
      <c r="M16" s="1"/>
      <c r="O16" s="4">
        <v>524288</v>
      </c>
      <c r="P16" s="1">
        <f t="shared" si="7"/>
        <v>6.1035156257105427E-3</v>
      </c>
      <c r="Q16" s="1">
        <v>1063</v>
      </c>
      <c r="R16" s="1">
        <v>535</v>
      </c>
      <c r="S16" s="1">
        <f t="shared" si="8"/>
        <v>0.50329256820319845</v>
      </c>
      <c r="U16" s="27">
        <f>V16/100*(2^33-1)</f>
        <v>30174465.714554023</v>
      </c>
      <c r="V16" s="27">
        <f>AA16</f>
        <v>0.35127701375245574</v>
      </c>
      <c r="W16" s="1">
        <v>1063</v>
      </c>
      <c r="X16" s="1">
        <v>151</v>
      </c>
      <c r="Y16" s="1">
        <f t="shared" si="9"/>
        <v>0.14205079962370648</v>
      </c>
      <c r="AA16" s="22">
        <f>AC16/AD16*0.6</f>
        <v>0.35127701375245574</v>
      </c>
      <c r="AB16" s="22">
        <f>1-0.7*AE16/AF16</f>
        <v>0.36250000000000004</v>
      </c>
      <c r="AC16">
        <v>298</v>
      </c>
      <c r="AD16">
        <v>509</v>
      </c>
      <c r="AE16">
        <v>459</v>
      </c>
      <c r="AF16">
        <v>504</v>
      </c>
    </row>
    <row r="17" spans="1:32" x14ac:dyDescent="0.15">
      <c r="A17" s="4">
        <v>8.0000000000000002E-3</v>
      </c>
      <c r="B17" s="1">
        <v>1013</v>
      </c>
      <c r="C17" s="1">
        <v>692</v>
      </c>
      <c r="D17" s="12">
        <f t="shared" si="5"/>
        <v>0.68311944718657458</v>
      </c>
      <c r="E17" s="1"/>
      <c r="I17" s="4">
        <v>32</v>
      </c>
      <c r="J17" s="1">
        <v>1063</v>
      </c>
      <c r="K17" s="1">
        <v>846</v>
      </c>
      <c r="L17" s="1">
        <f t="shared" si="6"/>
        <v>0.79586077140169331</v>
      </c>
      <c r="M17" s="1"/>
      <c r="O17" s="4">
        <v>1048576</v>
      </c>
      <c r="P17" s="1">
        <f t="shared" si="7"/>
        <v>1.2207031251421085E-2</v>
      </c>
      <c r="Q17" s="1">
        <v>1063</v>
      </c>
      <c r="R17" s="1">
        <v>519</v>
      </c>
      <c r="S17" s="1">
        <f t="shared" si="8"/>
        <v>0.48824082784571965</v>
      </c>
      <c r="U17" s="27">
        <f>V17/100*(2^33-1)</f>
        <v>38882533.001304515</v>
      </c>
      <c r="V17" s="27">
        <f>AA17</f>
        <v>0.45265225933202358</v>
      </c>
      <c r="W17" s="1">
        <v>1063</v>
      </c>
      <c r="X17" s="1">
        <v>151</v>
      </c>
      <c r="Y17" s="1">
        <f t="shared" si="9"/>
        <v>0.14205079962370648</v>
      </c>
      <c r="AA17" s="22">
        <f>AC17/AD17*0.6</f>
        <v>0.45265225933202358</v>
      </c>
      <c r="AB17" s="22">
        <f>1-0.7*AE17/AF17</f>
        <v>0.3486111111111112</v>
      </c>
      <c r="AC17">
        <v>384</v>
      </c>
      <c r="AD17">
        <v>509</v>
      </c>
      <c r="AE17">
        <v>469</v>
      </c>
      <c r="AF17">
        <v>504</v>
      </c>
    </row>
    <row r="18" spans="1:32" x14ac:dyDescent="0.15">
      <c r="A18" s="4">
        <v>0.01</v>
      </c>
      <c r="B18" s="1">
        <v>1013</v>
      </c>
      <c r="C18" s="2">
        <v>667</v>
      </c>
      <c r="D18" s="12">
        <f t="shared" si="5"/>
        <v>0.65844027640671277</v>
      </c>
      <c r="E18" s="1"/>
      <c r="I18" s="4">
        <v>64</v>
      </c>
      <c r="J18" s="1">
        <v>1063</v>
      </c>
      <c r="K18" s="2">
        <v>772</v>
      </c>
      <c r="L18" s="1">
        <f t="shared" si="6"/>
        <v>0.7262464722483537</v>
      </c>
      <c r="M18" s="1"/>
      <c r="O18" s="4">
        <v>2097152</v>
      </c>
      <c r="P18" s="1">
        <f t="shared" si="7"/>
        <v>2.4414062502842171E-2</v>
      </c>
      <c r="Q18" s="1">
        <v>1063</v>
      </c>
      <c r="R18" s="2">
        <v>278</v>
      </c>
      <c r="S18" s="1">
        <f t="shared" si="8"/>
        <v>0.26152398871119475</v>
      </c>
      <c r="U18" s="4"/>
      <c r="V18" s="1"/>
      <c r="W18" s="1">
        <v>1063</v>
      </c>
      <c r="X18" s="2"/>
      <c r="Y18" s="1">
        <f>X18/W18+AVERAGE(Y14:Y17)</f>
        <v>0.21048918156161806</v>
      </c>
      <c r="AA18" s="22"/>
      <c r="AB18" s="22">
        <f>AVERAGE(AB14:AB17)</f>
        <v>0.4225694444444445</v>
      </c>
    </row>
    <row r="19" spans="1:32" x14ac:dyDescent="0.15">
      <c r="A19" s="4">
        <v>0.03</v>
      </c>
      <c r="B19" s="1">
        <v>1013</v>
      </c>
      <c r="C19" s="1">
        <v>526</v>
      </c>
      <c r="D19" s="12">
        <f t="shared" si="5"/>
        <v>0.51924975320829225</v>
      </c>
      <c r="E19" s="1"/>
      <c r="I19" s="4">
        <v>128</v>
      </c>
      <c r="J19" s="1">
        <v>1063</v>
      </c>
      <c r="K19" s="1">
        <v>726</v>
      </c>
      <c r="L19" s="1">
        <f t="shared" si="6"/>
        <v>0.68297271872060206</v>
      </c>
      <c r="M19" s="1"/>
      <c r="O19" s="4">
        <v>4194304</v>
      </c>
      <c r="P19" s="1">
        <f t="shared" si="7"/>
        <v>4.8828125005684342E-2</v>
      </c>
      <c r="Q19" s="1">
        <v>1063</v>
      </c>
      <c r="R19" s="1">
        <v>241</v>
      </c>
      <c r="S19" s="1">
        <f t="shared" si="8"/>
        <v>0.22671683913452492</v>
      </c>
      <c r="U19" s="4"/>
      <c r="V19" s="1"/>
      <c r="W19" s="1">
        <v>1063</v>
      </c>
      <c r="X19" s="1"/>
      <c r="Y19" s="1">
        <f t="shared" si="9"/>
        <v>0</v>
      </c>
      <c r="AA19" s="22"/>
      <c r="AB19" s="22"/>
    </row>
    <row r="20" spans="1:32" x14ac:dyDescent="0.15">
      <c r="A20" s="4">
        <v>0.05</v>
      </c>
      <c r="B20" s="1">
        <v>1013</v>
      </c>
      <c r="C20" s="2">
        <v>285</v>
      </c>
      <c r="D20" s="12">
        <f t="shared" si="5"/>
        <v>0.28134254689042448</v>
      </c>
      <c r="E20" s="1"/>
      <c r="I20" s="4">
        <v>256</v>
      </c>
      <c r="J20" s="1">
        <v>1063</v>
      </c>
      <c r="K20" s="2">
        <v>705</v>
      </c>
      <c r="L20" s="1">
        <f t="shared" si="6"/>
        <v>0.66321730950141111</v>
      </c>
      <c r="M20" s="1"/>
      <c r="O20" s="4">
        <v>8388608</v>
      </c>
      <c r="P20" s="1">
        <f t="shared" si="7"/>
        <v>9.7656250011368684E-2</v>
      </c>
      <c r="Q20" s="1">
        <v>1063</v>
      </c>
      <c r="R20" s="2">
        <v>205</v>
      </c>
      <c r="S20" s="1">
        <f t="shared" si="8"/>
        <v>0.19285042333019756</v>
      </c>
      <c r="U20" s="4"/>
      <c r="V20" s="1"/>
      <c r="W20" s="1">
        <v>1063</v>
      </c>
      <c r="X20" s="2"/>
      <c r="Y20" s="1">
        <f t="shared" si="9"/>
        <v>0</v>
      </c>
      <c r="AA20" s="22"/>
      <c r="AB20" s="22"/>
    </row>
    <row r="21" spans="1:32" x14ac:dyDescent="0.15">
      <c r="A21" t="s">
        <v>20</v>
      </c>
      <c r="B21" s="6">
        <v>0.58499999999999996</v>
      </c>
      <c r="D21" s="13">
        <f>AVERAGE(D14:D20)</f>
        <v>0.61317162600479491</v>
      </c>
      <c r="I21" s="14">
        <v>32768</v>
      </c>
      <c r="J21" s="1">
        <v>1063</v>
      </c>
      <c r="K21" s="6">
        <v>663</v>
      </c>
      <c r="L21" s="1">
        <f t="shared" si="6"/>
        <v>0.62370649106302911</v>
      </c>
      <c r="M21" s="6"/>
      <c r="O21" s="4">
        <f>8388608*2</f>
        <v>16777216</v>
      </c>
      <c r="P21" s="1">
        <f t="shared" si="7"/>
        <v>0.19531250002273737</v>
      </c>
      <c r="Q21" s="1">
        <v>1063</v>
      </c>
      <c r="R21" s="1">
        <v>173</v>
      </c>
      <c r="S21" s="1">
        <f t="shared" si="8"/>
        <v>0.16274694261523989</v>
      </c>
      <c r="U21" s="4"/>
      <c r="V21" s="1"/>
      <c r="W21" s="1">
        <v>1063</v>
      </c>
      <c r="X21" s="1"/>
      <c r="Y21" s="1">
        <f t="shared" si="9"/>
        <v>0</v>
      </c>
      <c r="AA21" s="22"/>
      <c r="AB21" s="22"/>
    </row>
    <row r="22" spans="1:32" x14ac:dyDescent="0.15">
      <c r="J22" s="6"/>
      <c r="K22" s="6"/>
      <c r="L22" s="6"/>
      <c r="M22" s="6"/>
      <c r="P22" s="6"/>
      <c r="Q22" s="6"/>
      <c r="R22" s="6"/>
      <c r="S22" s="6"/>
      <c r="V22" s="6"/>
      <c r="W22" s="6"/>
      <c r="X22" s="6"/>
      <c r="Y22" s="6"/>
      <c r="AA22" s="22"/>
      <c r="AB22" s="22"/>
    </row>
    <row r="23" spans="1:32" x14ac:dyDescent="0.15">
      <c r="A23" s="5" t="s">
        <v>6</v>
      </c>
      <c r="I23" s="5" t="s">
        <v>13</v>
      </c>
      <c r="J23" s="6"/>
      <c r="K23" s="6"/>
      <c r="L23" s="6"/>
      <c r="M23" s="6"/>
      <c r="O23" s="5" t="s">
        <v>13</v>
      </c>
      <c r="P23" s="6"/>
      <c r="Q23" s="6"/>
      <c r="R23" s="6"/>
      <c r="S23" s="6"/>
      <c r="U23" s="5" t="s">
        <v>13</v>
      </c>
      <c r="V23" s="6"/>
      <c r="W23" s="6"/>
      <c r="X23" s="6"/>
      <c r="Y23" s="6"/>
      <c r="AA23" s="22"/>
      <c r="AB23" s="22"/>
    </row>
    <row r="24" spans="1:32" x14ac:dyDescent="0.15">
      <c r="A24" s="3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I24" s="3" t="s">
        <v>1</v>
      </c>
      <c r="J24" s="1" t="s">
        <v>2</v>
      </c>
      <c r="K24" s="1" t="s">
        <v>3</v>
      </c>
      <c r="L24" s="1" t="s">
        <v>4</v>
      </c>
      <c r="M24" s="1" t="s">
        <v>5</v>
      </c>
      <c r="O24" s="3" t="s">
        <v>1</v>
      </c>
      <c r="P24" s="1" t="s">
        <v>24</v>
      </c>
      <c r="Q24" s="1" t="s">
        <v>2</v>
      </c>
      <c r="R24" s="1" t="s">
        <v>3</v>
      </c>
      <c r="S24" s="1" t="s">
        <v>4</v>
      </c>
      <c r="U24" s="3" t="s">
        <v>1</v>
      </c>
      <c r="V24" s="1" t="s">
        <v>24</v>
      </c>
      <c r="W24" s="1" t="s">
        <v>2</v>
      </c>
      <c r="X24" s="1" t="s">
        <v>3</v>
      </c>
      <c r="Y24" s="1" t="s">
        <v>4</v>
      </c>
      <c r="AA24" s="22"/>
      <c r="AB24" s="22"/>
    </row>
    <row r="25" spans="1:32" x14ac:dyDescent="0.15">
      <c r="A25" s="4">
        <v>1E-3</v>
      </c>
      <c r="B25" s="1">
        <v>1434</v>
      </c>
      <c r="C25" s="1">
        <v>982</v>
      </c>
      <c r="D25" s="12">
        <f>C25/B25</f>
        <v>0.6847977684797768</v>
      </c>
      <c r="E25" s="1">
        <v>43</v>
      </c>
      <c r="I25" s="1">
        <v>4</v>
      </c>
      <c r="J25" s="1">
        <v>1128</v>
      </c>
      <c r="K25" s="1">
        <v>975</v>
      </c>
      <c r="L25" s="1">
        <f>K25/J25</f>
        <v>0.86436170212765961</v>
      </c>
      <c r="M25" s="1"/>
      <c r="O25" s="1">
        <v>131072</v>
      </c>
      <c r="P25" s="1">
        <f>O25/(2^33-1)*100</f>
        <v>1.5258789064276357E-3</v>
      </c>
      <c r="Q25" s="1">
        <v>1128</v>
      </c>
      <c r="R25" s="1">
        <v>452</v>
      </c>
      <c r="S25" s="1">
        <f>R25/Q25</f>
        <v>0.40070921985815605</v>
      </c>
      <c r="U25" s="1">
        <f>V25/100*(2^33-1)</f>
        <v>4354033.6433752459</v>
      </c>
      <c r="V25" s="1">
        <f>AA25</f>
        <v>5.0687622789783886E-2</v>
      </c>
      <c r="W25" s="1">
        <v>1128</v>
      </c>
      <c r="X25" s="1">
        <v>263</v>
      </c>
      <c r="Y25" s="1">
        <f>X25/W25</f>
        <v>0.23315602836879432</v>
      </c>
      <c r="AA25" s="22">
        <f>AC25/AD25*0.6</f>
        <v>5.0687622789783886E-2</v>
      </c>
      <c r="AB25" s="22">
        <f>1-0.7*AE25/AF25</f>
        <v>0.83888888888888891</v>
      </c>
      <c r="AC25">
        <v>43</v>
      </c>
      <c r="AD25">
        <v>509</v>
      </c>
      <c r="AE25">
        <v>116</v>
      </c>
      <c r="AF25">
        <v>504</v>
      </c>
    </row>
    <row r="26" spans="1:32" x14ac:dyDescent="0.15">
      <c r="A26" s="4">
        <v>3.0000000000000001E-3</v>
      </c>
      <c r="B26" s="1">
        <v>1434</v>
      </c>
      <c r="C26" s="1">
        <v>974</v>
      </c>
      <c r="D26" s="12">
        <f t="shared" ref="D26:D31" si="10">C26/B26</f>
        <v>0.67921896792189684</v>
      </c>
      <c r="E26" s="1"/>
      <c r="I26" s="4">
        <v>8</v>
      </c>
      <c r="J26" s="1">
        <v>1128</v>
      </c>
      <c r="K26" s="1">
        <v>934</v>
      </c>
      <c r="L26" s="1">
        <f t="shared" ref="L26:L32" si="11">K26/J26</f>
        <v>0.82801418439716312</v>
      </c>
      <c r="M26" s="1"/>
      <c r="O26" s="1">
        <v>262144</v>
      </c>
      <c r="P26" s="1">
        <f t="shared" ref="P26:P32" si="12">O26/(2^33-1)*100</f>
        <v>3.0517578128552714E-3</v>
      </c>
      <c r="Q26" s="1">
        <v>1128</v>
      </c>
      <c r="R26" s="1">
        <v>423</v>
      </c>
      <c r="S26" s="1">
        <f t="shared" ref="S26:S32" si="13">R26/Q26</f>
        <v>0.375</v>
      </c>
      <c r="U26" s="27">
        <f>V26/100*(2^33-1)</f>
        <v>21466398.427803535</v>
      </c>
      <c r="V26" s="27">
        <f>AA26</f>
        <v>0.24990176817288801</v>
      </c>
      <c r="W26" s="1">
        <v>1128</v>
      </c>
      <c r="X26" s="1">
        <v>159</v>
      </c>
      <c r="Y26" s="1">
        <f t="shared" ref="Y26:Y32" si="14">X26/W26</f>
        <v>0.14095744680851063</v>
      </c>
      <c r="AA26" s="22">
        <f>AC26/AD26*0.6</f>
        <v>0.24990176817288801</v>
      </c>
      <c r="AB26" s="22">
        <f>1-0.7*AE26/AF26</f>
        <v>0.74583333333333335</v>
      </c>
      <c r="AC26">
        <v>212</v>
      </c>
      <c r="AD26">
        <v>509</v>
      </c>
      <c r="AE26">
        <v>183</v>
      </c>
      <c r="AF26">
        <v>504</v>
      </c>
    </row>
    <row r="27" spans="1:32" x14ac:dyDescent="0.15">
      <c r="A27" s="4">
        <v>5.0000000000000001E-3</v>
      </c>
      <c r="B27" s="1">
        <v>1434</v>
      </c>
      <c r="C27" s="1">
        <v>974</v>
      </c>
      <c r="D27" s="12">
        <f t="shared" si="10"/>
        <v>0.67921896792189684</v>
      </c>
      <c r="E27" s="1"/>
      <c r="I27" s="4">
        <v>16</v>
      </c>
      <c r="J27" s="1">
        <v>1128</v>
      </c>
      <c r="K27" s="1">
        <v>934</v>
      </c>
      <c r="L27" s="1">
        <f t="shared" si="11"/>
        <v>0.82801418439716312</v>
      </c>
      <c r="M27" s="1"/>
      <c r="O27" s="4">
        <v>524288</v>
      </c>
      <c r="P27" s="1">
        <f t="shared" si="12"/>
        <v>6.1035156257105427E-3</v>
      </c>
      <c r="Q27" s="1">
        <v>1128</v>
      </c>
      <c r="R27" s="1">
        <v>355</v>
      </c>
      <c r="S27" s="1">
        <f t="shared" si="13"/>
        <v>0.31471631205673761</v>
      </c>
      <c r="U27" s="27">
        <f>V27/100*(2^33-1)</f>
        <v>25719175.474821217</v>
      </c>
      <c r="V27" s="27">
        <f>AA27</f>
        <v>0.29941060903732808</v>
      </c>
      <c r="W27" s="1">
        <v>1128</v>
      </c>
      <c r="X27" s="1">
        <v>156</v>
      </c>
      <c r="Y27" s="1">
        <f t="shared" si="14"/>
        <v>0.13829787234042554</v>
      </c>
      <c r="AA27" s="22">
        <f>AC27/AD27*0.6</f>
        <v>0.29941060903732808</v>
      </c>
      <c r="AB27" s="22">
        <f>1-0.7*AE27/AF27</f>
        <v>0.59722222222222221</v>
      </c>
      <c r="AC27">
        <v>254</v>
      </c>
      <c r="AD27">
        <v>509</v>
      </c>
      <c r="AE27">
        <v>290</v>
      </c>
      <c r="AF27">
        <v>504</v>
      </c>
    </row>
    <row r="28" spans="1:32" x14ac:dyDescent="0.15">
      <c r="A28" s="4">
        <v>8.0000000000000002E-3</v>
      </c>
      <c r="B28" s="1">
        <v>1434</v>
      </c>
      <c r="C28" s="1">
        <v>961</v>
      </c>
      <c r="D28" s="12">
        <f t="shared" si="10"/>
        <v>0.6701534170153417</v>
      </c>
      <c r="E28" s="1"/>
      <c r="I28" s="4">
        <v>32</v>
      </c>
      <c r="J28" s="1">
        <v>1128</v>
      </c>
      <c r="K28" s="1">
        <v>869</v>
      </c>
      <c r="L28" s="1">
        <f t="shared" si="11"/>
        <v>0.77039007092198586</v>
      </c>
      <c r="M28" s="1"/>
      <c r="O28" s="4">
        <v>1048576</v>
      </c>
      <c r="P28" s="1">
        <f t="shared" si="12"/>
        <v>1.2207031251421085E-2</v>
      </c>
      <c r="Q28" s="1">
        <v>1128</v>
      </c>
      <c r="R28" s="1">
        <v>327</v>
      </c>
      <c r="S28" s="1">
        <f t="shared" si="13"/>
        <v>0.28989361702127658</v>
      </c>
      <c r="U28" s="27">
        <f>V28/100*(2^33-1)</f>
        <v>38781276.404946961</v>
      </c>
      <c r="V28" s="27">
        <f>AA28</f>
        <v>0.45147347740667976</v>
      </c>
      <c r="W28" s="1">
        <v>1128</v>
      </c>
      <c r="X28" s="1">
        <v>146</v>
      </c>
      <c r="Y28" s="1">
        <f t="shared" si="14"/>
        <v>0.12943262411347517</v>
      </c>
      <c r="AA28" s="22">
        <f>AC28/AD28*0.6</f>
        <v>0.45147347740667976</v>
      </c>
      <c r="AB28" s="22">
        <f>1-0.7*AE28/AF28</f>
        <v>0.50972222222222219</v>
      </c>
      <c r="AC28">
        <v>383</v>
      </c>
      <c r="AD28">
        <v>509</v>
      </c>
      <c r="AE28">
        <v>353</v>
      </c>
      <c r="AF28">
        <v>504</v>
      </c>
    </row>
    <row r="29" spans="1:32" x14ac:dyDescent="0.15">
      <c r="A29" s="4">
        <v>0.01</v>
      </c>
      <c r="B29" s="1">
        <v>1434</v>
      </c>
      <c r="C29" s="2">
        <v>956</v>
      </c>
      <c r="D29" s="12">
        <f t="shared" si="10"/>
        <v>0.66666666666666663</v>
      </c>
      <c r="E29" s="1"/>
      <c r="I29" s="4">
        <v>64</v>
      </c>
      <c r="J29" s="1">
        <v>1128</v>
      </c>
      <c r="K29" s="2">
        <v>810</v>
      </c>
      <c r="L29" s="1">
        <f t="shared" si="11"/>
        <v>0.71808510638297873</v>
      </c>
      <c r="M29" s="1"/>
      <c r="O29" s="4">
        <v>2097152</v>
      </c>
      <c r="P29" s="1">
        <f t="shared" si="12"/>
        <v>2.4414062502842171E-2</v>
      </c>
      <c r="Q29" s="1">
        <v>1128</v>
      </c>
      <c r="R29" s="2">
        <v>296</v>
      </c>
      <c r="S29" s="1">
        <f t="shared" si="13"/>
        <v>0.26241134751773049</v>
      </c>
      <c r="U29" s="4"/>
      <c r="V29" s="1"/>
      <c r="W29" s="1">
        <v>1128</v>
      </c>
      <c r="X29" s="2"/>
      <c r="Y29" s="1">
        <f>X29/W29+AVERAGE(Y25:Y28)</f>
        <v>0.16046099290780141</v>
      </c>
      <c r="AA29" s="22"/>
      <c r="AB29" s="22">
        <f>AVERAGE(AB25:AB28)</f>
        <v>0.67291666666666661</v>
      </c>
    </row>
    <row r="30" spans="1:32" x14ac:dyDescent="0.15">
      <c r="A30" s="4">
        <v>0.03</v>
      </c>
      <c r="B30" s="1">
        <v>1434</v>
      </c>
      <c r="C30" s="1">
        <v>932</v>
      </c>
      <c r="D30" s="1">
        <f t="shared" si="10"/>
        <v>0.64993026499302653</v>
      </c>
      <c r="E30" s="1"/>
      <c r="I30" s="4">
        <v>128</v>
      </c>
      <c r="J30" s="1">
        <v>1128</v>
      </c>
      <c r="K30" s="1">
        <v>791</v>
      </c>
      <c r="L30" s="1">
        <f t="shared" si="11"/>
        <v>0.70124113475177308</v>
      </c>
      <c r="M30" s="1"/>
      <c r="O30" s="4">
        <v>4194304</v>
      </c>
      <c r="P30" s="1">
        <f t="shared" si="12"/>
        <v>4.8828125005684342E-2</v>
      </c>
      <c r="Q30" s="1">
        <v>1128</v>
      </c>
      <c r="R30" s="1">
        <v>239</v>
      </c>
      <c r="S30" s="1">
        <f t="shared" si="13"/>
        <v>0.21187943262411346</v>
      </c>
      <c r="U30" s="4"/>
      <c r="V30" s="1"/>
      <c r="W30" s="1">
        <v>1128</v>
      </c>
      <c r="X30" s="1"/>
      <c r="Y30" s="1">
        <f t="shared" si="14"/>
        <v>0</v>
      </c>
      <c r="AA30" s="22"/>
      <c r="AB30" s="22"/>
    </row>
    <row r="31" spans="1:32" x14ac:dyDescent="0.15">
      <c r="A31" s="4">
        <v>0.05</v>
      </c>
      <c r="B31" s="1">
        <v>1434</v>
      </c>
      <c r="C31" s="2">
        <v>906</v>
      </c>
      <c r="D31" s="1">
        <f t="shared" si="10"/>
        <v>0.63179916317991636</v>
      </c>
      <c r="E31" s="1"/>
      <c r="I31" s="4">
        <v>256</v>
      </c>
      <c r="J31" s="1">
        <v>1128</v>
      </c>
      <c r="K31" s="2">
        <v>744</v>
      </c>
      <c r="L31" s="1">
        <f t="shared" si="11"/>
        <v>0.65957446808510634</v>
      </c>
      <c r="M31" s="1"/>
      <c r="O31" s="4">
        <v>8388608</v>
      </c>
      <c r="P31" s="1">
        <f t="shared" si="12"/>
        <v>9.7656250011368684E-2</v>
      </c>
      <c r="Q31" s="1">
        <v>1128</v>
      </c>
      <c r="R31" s="2">
        <v>224</v>
      </c>
      <c r="S31" s="1">
        <f t="shared" si="13"/>
        <v>0.19858156028368795</v>
      </c>
      <c r="U31" s="4"/>
      <c r="V31" s="1"/>
      <c r="W31" s="1">
        <v>1128</v>
      </c>
      <c r="X31" s="2"/>
      <c r="Y31" s="1">
        <f t="shared" si="14"/>
        <v>0</v>
      </c>
      <c r="AA31" s="22"/>
      <c r="AB31" s="22"/>
    </row>
    <row r="32" spans="1:32" x14ac:dyDescent="0.15">
      <c r="A32" t="s">
        <v>20</v>
      </c>
      <c r="B32" s="6">
        <v>0.67300000000000004</v>
      </c>
      <c r="D32" s="6">
        <f>AVERAGE(D25:D31)</f>
        <v>0.6659693165969317</v>
      </c>
      <c r="I32" s="14">
        <v>32768</v>
      </c>
      <c r="J32" s="1">
        <v>1128</v>
      </c>
      <c r="K32" s="6">
        <v>482</v>
      </c>
      <c r="L32" s="1">
        <f t="shared" si="11"/>
        <v>0.42730496453900707</v>
      </c>
      <c r="M32" s="6"/>
      <c r="O32" s="4">
        <f>8388608*2</f>
        <v>16777216</v>
      </c>
      <c r="P32" s="1">
        <f t="shared" si="12"/>
        <v>0.19531250002273737</v>
      </c>
      <c r="Q32" s="1">
        <v>1128</v>
      </c>
      <c r="R32" s="1">
        <v>175</v>
      </c>
      <c r="S32" s="1">
        <f t="shared" si="13"/>
        <v>0.15514184397163119</v>
      </c>
      <c r="U32" s="4"/>
      <c r="V32" s="1"/>
      <c r="W32" s="1">
        <v>1128</v>
      </c>
      <c r="X32" s="1"/>
      <c r="Y32" s="1">
        <f t="shared" si="14"/>
        <v>0</v>
      </c>
      <c r="AA32" s="22"/>
      <c r="AB32" s="22"/>
    </row>
    <row r="33" spans="1:32" x14ac:dyDescent="0.15">
      <c r="J33" s="6"/>
      <c r="K33" s="6"/>
      <c r="L33" s="6"/>
      <c r="M33" s="6"/>
      <c r="P33" s="6"/>
      <c r="Q33" s="6"/>
      <c r="R33" s="6"/>
      <c r="S33" s="6"/>
      <c r="V33" s="6"/>
      <c r="W33" s="6"/>
      <c r="X33" s="6"/>
      <c r="Y33" s="6"/>
      <c r="AA33" s="22"/>
      <c r="AB33" s="22"/>
    </row>
    <row r="34" spans="1:32" x14ac:dyDescent="0.15">
      <c r="A34" s="5" t="s">
        <v>7</v>
      </c>
      <c r="I34" s="5" t="s">
        <v>14</v>
      </c>
      <c r="J34" s="6"/>
      <c r="K34" s="6"/>
      <c r="L34" s="6"/>
      <c r="M34" s="6"/>
      <c r="O34" s="5" t="s">
        <v>14</v>
      </c>
      <c r="P34" s="6"/>
      <c r="Q34" s="6"/>
      <c r="R34" s="6"/>
      <c r="S34" s="6"/>
      <c r="U34" s="5" t="s">
        <v>14</v>
      </c>
      <c r="V34" s="6"/>
      <c r="W34" s="6"/>
      <c r="X34" s="6"/>
      <c r="Y34" s="6"/>
      <c r="AA34" s="22"/>
      <c r="AB34" s="22"/>
    </row>
    <row r="35" spans="1:32" x14ac:dyDescent="0.15">
      <c r="A35" s="3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I35" s="3" t="s">
        <v>1</v>
      </c>
      <c r="J35" s="1" t="s">
        <v>2</v>
      </c>
      <c r="K35" s="1" t="s">
        <v>3</v>
      </c>
      <c r="L35" s="1" t="s">
        <v>4</v>
      </c>
      <c r="M35" s="1" t="s">
        <v>5</v>
      </c>
      <c r="O35" s="3" t="s">
        <v>1</v>
      </c>
      <c r="P35" s="1" t="s">
        <v>24</v>
      </c>
      <c r="Q35" s="1" t="s">
        <v>2</v>
      </c>
      <c r="R35" s="1" t="s">
        <v>3</v>
      </c>
      <c r="S35" s="1" t="s">
        <v>4</v>
      </c>
      <c r="U35" s="3" t="s">
        <v>1</v>
      </c>
      <c r="V35" s="1" t="s">
        <v>24</v>
      </c>
      <c r="W35" s="1" t="s">
        <v>2</v>
      </c>
      <c r="X35" s="1" t="s">
        <v>3</v>
      </c>
      <c r="Y35" s="1" t="s">
        <v>4</v>
      </c>
      <c r="AA35" s="22"/>
      <c r="AB35" s="22"/>
    </row>
    <row r="36" spans="1:32" x14ac:dyDescent="0.15">
      <c r="A36" s="4">
        <v>1E-3</v>
      </c>
      <c r="B36" s="1">
        <v>1615</v>
      </c>
      <c r="C36" s="1">
        <v>1597</v>
      </c>
      <c r="D36" s="1">
        <f>C36/B36</f>
        <v>0.98885448916408669</v>
      </c>
      <c r="E36" s="1">
        <v>147</v>
      </c>
      <c r="I36" s="1">
        <v>4</v>
      </c>
      <c r="J36" s="1">
        <v>1276</v>
      </c>
      <c r="K36" s="1">
        <v>1005</v>
      </c>
      <c r="L36" s="1">
        <f>K36/J36</f>
        <v>0.78761755485893414</v>
      </c>
      <c r="M36" s="1"/>
      <c r="N36">
        <v>15692.853256</v>
      </c>
      <c r="O36" s="1">
        <v>2</v>
      </c>
      <c r="P36" s="1">
        <f>O36/(2^16-1)*100</f>
        <v>3.0518043793392844E-3</v>
      </c>
      <c r="Q36" s="1">
        <v>1276</v>
      </c>
      <c r="R36" s="1">
        <v>1030</v>
      </c>
      <c r="S36" s="1">
        <f>R36/Q36</f>
        <v>0.80721003134796243</v>
      </c>
      <c r="U36" s="1">
        <f>V36/100*(2^16-1)</f>
        <v>98.881886051080528</v>
      </c>
      <c r="V36" s="1">
        <f>AA36</f>
        <v>0.15088408644400783</v>
      </c>
      <c r="W36" s="1">
        <v>1276</v>
      </c>
      <c r="X36" s="1">
        <v>733</v>
      </c>
      <c r="Y36" s="1">
        <f>X36/W36</f>
        <v>0.57445141065830718</v>
      </c>
      <c r="AA36" s="22">
        <f>AC36/AD36*0.6</f>
        <v>0.15088408644400783</v>
      </c>
      <c r="AB36" s="22">
        <f>1-0.7*AE36/AF36</f>
        <v>0.66250000000000009</v>
      </c>
      <c r="AC36">
        <v>128</v>
      </c>
      <c r="AD36">
        <v>509</v>
      </c>
      <c r="AE36">
        <v>243</v>
      </c>
      <c r="AF36">
        <v>504</v>
      </c>
    </row>
    <row r="37" spans="1:32" x14ac:dyDescent="0.15">
      <c r="A37" s="4">
        <v>3.0000000000000001E-3</v>
      </c>
      <c r="B37" s="1">
        <v>1615</v>
      </c>
      <c r="C37" s="1">
        <v>1587</v>
      </c>
      <c r="D37" s="1">
        <f t="shared" ref="D37:D42" si="15">C37/B37</f>
        <v>0.98266253869969045</v>
      </c>
      <c r="E37" s="1"/>
      <c r="I37" s="4">
        <v>8</v>
      </c>
      <c r="J37" s="1">
        <v>1276</v>
      </c>
      <c r="K37" s="1">
        <v>976</v>
      </c>
      <c r="L37" s="1">
        <f t="shared" ref="L37:L42" si="16">K37/J37</f>
        <v>0.76489028213166144</v>
      </c>
      <c r="M37" s="1"/>
      <c r="O37" s="1">
        <v>4</v>
      </c>
      <c r="P37" s="1">
        <f t="shared" ref="P37:P42" si="17">O37/(2^16-1)*100</f>
        <v>6.1036087586785687E-3</v>
      </c>
      <c r="Q37" s="1">
        <v>1276</v>
      </c>
      <c r="R37" s="1">
        <v>1005</v>
      </c>
      <c r="S37" s="1">
        <f t="shared" ref="S37:S42" si="18">R37/Q37</f>
        <v>0.78761755485893414</v>
      </c>
      <c r="U37" s="27">
        <f>V37/100*(2^16-1)</f>
        <v>329.09127701375246</v>
      </c>
      <c r="V37" s="27">
        <f>AA37</f>
        <v>0.50216110019646365</v>
      </c>
      <c r="W37" s="1">
        <v>1276</v>
      </c>
      <c r="X37" s="1">
        <v>604</v>
      </c>
      <c r="Y37" s="1">
        <f t="shared" ref="Y37:Y42" si="19">X37/W37</f>
        <v>0.47335423197492166</v>
      </c>
      <c r="AA37" s="22">
        <f>AC37/AD37*0.6</f>
        <v>0.50216110019646365</v>
      </c>
      <c r="AB37" s="22">
        <f>1-0.7*AE37/AF37</f>
        <v>0.58888888888888891</v>
      </c>
      <c r="AC37">
        <v>426</v>
      </c>
      <c r="AD37">
        <v>509</v>
      </c>
      <c r="AE37">
        <v>296</v>
      </c>
      <c r="AF37">
        <v>504</v>
      </c>
    </row>
    <row r="38" spans="1:32" x14ac:dyDescent="0.15">
      <c r="A38" s="4">
        <v>5.0000000000000001E-3</v>
      </c>
      <c r="B38" s="1">
        <v>1615</v>
      </c>
      <c r="C38" s="1">
        <v>1579</v>
      </c>
      <c r="D38" s="1">
        <f t="shared" si="15"/>
        <v>0.97770897832817338</v>
      </c>
      <c r="E38" s="1"/>
      <c r="I38" s="4">
        <v>16</v>
      </c>
      <c r="J38" s="1">
        <v>1276</v>
      </c>
      <c r="K38" s="1">
        <v>944</v>
      </c>
      <c r="L38" s="1">
        <f t="shared" si="16"/>
        <v>0.7398119122257053</v>
      </c>
      <c r="M38" s="1"/>
      <c r="O38" s="4">
        <v>8</v>
      </c>
      <c r="P38" s="1">
        <f t="shared" si="17"/>
        <v>1.2207217517357137E-2</v>
      </c>
      <c r="Q38" s="1">
        <v>1276</v>
      </c>
      <c r="R38" s="1">
        <v>976</v>
      </c>
      <c r="S38" s="1">
        <f t="shared" si="18"/>
        <v>0.76489028213166144</v>
      </c>
      <c r="U38" s="4"/>
      <c r="V38" s="1"/>
      <c r="W38" s="1">
        <v>1276</v>
      </c>
      <c r="X38" s="1"/>
      <c r="Y38" s="1">
        <f>X38/W38+AVERAGE(Y36:Y37)</f>
        <v>0.52390282131661436</v>
      </c>
      <c r="AA38" s="22"/>
      <c r="AB38" s="22">
        <f>AVERAGE(AB36:AB37)</f>
        <v>0.62569444444444455</v>
      </c>
    </row>
    <row r="39" spans="1:32" x14ac:dyDescent="0.15">
      <c r="A39" s="4">
        <v>8.0000000000000002E-3</v>
      </c>
      <c r="B39" s="1">
        <v>1615</v>
      </c>
      <c r="C39" s="1">
        <v>1571</v>
      </c>
      <c r="D39" s="1">
        <f t="shared" si="15"/>
        <v>0.97275541795665632</v>
      </c>
      <c r="E39" s="1"/>
      <c r="I39" s="4">
        <v>32</v>
      </c>
      <c r="J39" s="1">
        <v>1276</v>
      </c>
      <c r="K39" s="1">
        <v>858</v>
      </c>
      <c r="L39" s="1">
        <f t="shared" si="16"/>
        <v>0.67241379310344829</v>
      </c>
      <c r="M39" s="1"/>
      <c r="O39" s="4">
        <v>16</v>
      </c>
      <c r="P39" s="1">
        <f t="shared" si="17"/>
        <v>2.4414435034714275E-2</v>
      </c>
      <c r="Q39" s="1">
        <v>1276</v>
      </c>
      <c r="R39" s="1">
        <v>944</v>
      </c>
      <c r="S39" s="1">
        <f t="shared" si="18"/>
        <v>0.7398119122257053</v>
      </c>
      <c r="U39" s="4"/>
      <c r="V39" s="1"/>
      <c r="W39" s="1">
        <v>1276</v>
      </c>
      <c r="X39" s="1"/>
      <c r="Y39" s="1">
        <f t="shared" si="19"/>
        <v>0</v>
      </c>
      <c r="AA39" s="22"/>
      <c r="AB39" s="22"/>
    </row>
    <row r="40" spans="1:32" x14ac:dyDescent="0.15">
      <c r="A40" s="4">
        <v>0.01</v>
      </c>
      <c r="B40" s="1">
        <v>1615</v>
      </c>
      <c r="C40" s="2">
        <v>1564</v>
      </c>
      <c r="D40" s="1">
        <f t="shared" si="15"/>
        <v>0.96842105263157896</v>
      </c>
      <c r="E40" s="1"/>
      <c r="I40" s="4">
        <v>64</v>
      </c>
      <c r="J40" s="1">
        <v>1276</v>
      </c>
      <c r="K40" s="1">
        <v>827</v>
      </c>
      <c r="L40" s="1">
        <f t="shared" si="16"/>
        <v>0.64811912225705326</v>
      </c>
      <c r="M40" s="1"/>
      <c r="O40" s="4">
        <v>32</v>
      </c>
      <c r="P40" s="1">
        <f t="shared" si="17"/>
        <v>4.882887006942855E-2</v>
      </c>
      <c r="Q40" s="1">
        <v>1276</v>
      </c>
      <c r="R40" s="1">
        <v>858</v>
      </c>
      <c r="S40" s="1">
        <f t="shared" si="18"/>
        <v>0.67241379310344829</v>
      </c>
      <c r="U40" s="4"/>
      <c r="V40" s="1"/>
      <c r="W40" s="1">
        <v>1276</v>
      </c>
      <c r="X40" s="1"/>
      <c r="Y40" s="1">
        <f t="shared" si="19"/>
        <v>0</v>
      </c>
      <c r="AA40" s="22"/>
      <c r="AB40" s="22"/>
    </row>
    <row r="41" spans="1:32" x14ac:dyDescent="0.15">
      <c r="A41" s="4">
        <v>0.03</v>
      </c>
      <c r="B41" s="1">
        <v>1615</v>
      </c>
      <c r="C41" s="1">
        <v>1456</v>
      </c>
      <c r="D41" s="1">
        <f t="shared" si="15"/>
        <v>0.90154798761609911</v>
      </c>
      <c r="E41" s="1"/>
      <c r="I41" s="4">
        <v>128</v>
      </c>
      <c r="J41" s="1">
        <v>1276</v>
      </c>
      <c r="K41" s="2">
        <v>713</v>
      </c>
      <c r="L41" s="1">
        <f t="shared" si="16"/>
        <v>0.55877742946708464</v>
      </c>
      <c r="M41" s="1"/>
      <c r="O41" s="4">
        <v>64</v>
      </c>
      <c r="P41" s="1">
        <f t="shared" si="17"/>
        <v>9.7657740138857099E-2</v>
      </c>
      <c r="Q41" s="1">
        <v>1276</v>
      </c>
      <c r="R41" s="1">
        <v>827</v>
      </c>
      <c r="S41" s="1">
        <f t="shared" si="18"/>
        <v>0.64811912225705326</v>
      </c>
      <c r="U41" s="4"/>
      <c r="V41" s="1"/>
      <c r="W41" s="1">
        <v>1276</v>
      </c>
      <c r="X41" s="1"/>
      <c r="Y41" s="1">
        <f t="shared" si="19"/>
        <v>0</v>
      </c>
      <c r="AA41" s="22"/>
      <c r="AB41" s="22"/>
    </row>
    <row r="42" spans="1:32" x14ac:dyDescent="0.15">
      <c r="A42" s="4">
        <v>0.05</v>
      </c>
      <c r="B42" s="1">
        <v>1615</v>
      </c>
      <c r="C42" s="2">
        <v>1303</v>
      </c>
      <c r="D42" s="1">
        <f t="shared" si="15"/>
        <v>0.80681114551083588</v>
      </c>
      <c r="E42" s="1"/>
      <c r="I42" s="4">
        <v>256</v>
      </c>
      <c r="J42" s="1">
        <v>1276</v>
      </c>
      <c r="K42" s="2">
        <v>612</v>
      </c>
      <c r="L42" s="1">
        <f t="shared" si="16"/>
        <v>0.47962382445141066</v>
      </c>
      <c r="M42" s="1"/>
      <c r="N42">
        <v>15671.329895000001</v>
      </c>
      <c r="O42" s="4">
        <v>128</v>
      </c>
      <c r="P42" s="1">
        <f t="shared" si="17"/>
        <v>0.1953154802777142</v>
      </c>
      <c r="Q42" s="1">
        <v>1276</v>
      </c>
      <c r="R42" s="2">
        <v>713</v>
      </c>
      <c r="S42" s="1">
        <f t="shared" si="18"/>
        <v>0.55877742946708464</v>
      </c>
      <c r="U42" s="4"/>
      <c r="V42" s="1"/>
      <c r="W42" s="1">
        <v>1276</v>
      </c>
      <c r="X42" s="2"/>
      <c r="Y42" s="1">
        <f t="shared" si="19"/>
        <v>0</v>
      </c>
      <c r="AA42" s="22"/>
      <c r="AB42" s="22"/>
    </row>
    <row r="43" spans="1:32" x14ac:dyDescent="0.15">
      <c r="A43" t="s">
        <v>20</v>
      </c>
      <c r="B43" s="6">
        <v>0.96599999999999997</v>
      </c>
      <c r="D43" s="6">
        <f>AVERAGE(D36:D42)</f>
        <v>0.94268022998673151</v>
      </c>
      <c r="J43" s="6"/>
      <c r="K43" s="6"/>
      <c r="L43" s="6"/>
      <c r="M43" s="6"/>
      <c r="P43" s="1"/>
      <c r="Q43" s="6"/>
      <c r="R43" s="6"/>
      <c r="S43" s="6"/>
      <c r="V43" s="1"/>
      <c r="W43" s="6"/>
      <c r="X43" s="6"/>
      <c r="Y43" s="6"/>
      <c r="AA43" s="22"/>
      <c r="AB43" s="22"/>
    </row>
    <row r="44" spans="1:32" x14ac:dyDescent="0.15">
      <c r="J44" s="6"/>
      <c r="K44" s="6"/>
      <c r="L44" s="6"/>
      <c r="M44" s="6"/>
      <c r="P44" s="6"/>
      <c r="Q44" s="6"/>
      <c r="R44" s="6"/>
      <c r="S44" s="6"/>
      <c r="V44" s="6"/>
      <c r="W44" s="6"/>
      <c r="X44" s="6"/>
      <c r="Y44" s="6"/>
      <c r="AA44" s="22"/>
      <c r="AB44" s="22"/>
    </row>
    <row r="45" spans="1:32" x14ac:dyDescent="0.15">
      <c r="A45" s="5" t="s">
        <v>8</v>
      </c>
      <c r="I45" s="5" t="s">
        <v>15</v>
      </c>
      <c r="J45" s="6"/>
      <c r="K45" s="6"/>
      <c r="L45" s="6"/>
      <c r="M45" s="6"/>
      <c r="O45" s="5" t="s">
        <v>15</v>
      </c>
      <c r="P45" s="6"/>
      <c r="Q45" s="6"/>
      <c r="R45" s="6"/>
      <c r="S45" s="6"/>
      <c r="U45" s="5" t="s">
        <v>15</v>
      </c>
      <c r="V45" s="6"/>
      <c r="W45" s="6"/>
      <c r="X45" s="6"/>
      <c r="Y45" s="6"/>
      <c r="AA45" s="22"/>
      <c r="AB45" s="22"/>
    </row>
    <row r="46" spans="1:32" x14ac:dyDescent="0.15">
      <c r="A46" s="3" t="s">
        <v>1</v>
      </c>
      <c r="B46" s="1" t="s">
        <v>2</v>
      </c>
      <c r="C46" s="1" t="s">
        <v>3</v>
      </c>
      <c r="D46" s="1" t="s">
        <v>4</v>
      </c>
      <c r="E46" s="1" t="s">
        <v>5</v>
      </c>
      <c r="I46" s="3" t="s">
        <v>1</v>
      </c>
      <c r="J46" s="1" t="s">
        <v>2</v>
      </c>
      <c r="K46" s="1" t="s">
        <v>3</v>
      </c>
      <c r="L46" s="1" t="s">
        <v>4</v>
      </c>
      <c r="M46" s="1" t="s">
        <v>5</v>
      </c>
      <c r="O46" s="3" t="s">
        <v>1</v>
      </c>
      <c r="P46" s="1" t="s">
        <v>24</v>
      </c>
      <c r="Q46" s="1" t="s">
        <v>2</v>
      </c>
      <c r="R46" s="1" t="s">
        <v>3</v>
      </c>
      <c r="S46" s="1" t="s">
        <v>4</v>
      </c>
      <c r="U46" s="3" t="s">
        <v>1</v>
      </c>
      <c r="V46" s="1" t="s">
        <v>24</v>
      </c>
      <c r="W46" s="1" t="s">
        <v>2</v>
      </c>
      <c r="X46" s="1" t="s">
        <v>3</v>
      </c>
      <c r="Y46" s="1" t="s">
        <v>4</v>
      </c>
      <c r="AA46" s="22"/>
      <c r="AB46" s="22"/>
    </row>
    <row r="47" spans="1:32" x14ac:dyDescent="0.15">
      <c r="A47" s="4">
        <v>1E-3</v>
      </c>
      <c r="B47" s="1">
        <v>2432</v>
      </c>
      <c r="C47" s="1">
        <v>2418</v>
      </c>
      <c r="D47" s="1">
        <f>C47/B47</f>
        <v>0.99424342105263153</v>
      </c>
      <c r="E47" s="1">
        <v>183</v>
      </c>
      <c r="I47" s="1">
        <v>4</v>
      </c>
      <c r="J47" s="1">
        <v>1104</v>
      </c>
      <c r="K47" s="1">
        <v>1009</v>
      </c>
      <c r="L47" s="1">
        <f>K47/J47</f>
        <v>0.91394927536231885</v>
      </c>
      <c r="M47" s="1"/>
      <c r="O47" s="1">
        <v>2</v>
      </c>
      <c r="P47" s="1">
        <f>O47/(2^16-1)*100</f>
        <v>3.0518043793392844E-3</v>
      </c>
      <c r="Q47" s="1">
        <v>1104</v>
      </c>
      <c r="R47" s="1">
        <v>1021</v>
      </c>
      <c r="S47" s="1">
        <f>R47/Q47</f>
        <v>0.9248188405797102</v>
      </c>
      <c r="U47" s="1">
        <f>V47/100*(2^16-1)</f>
        <v>195.4462278978389</v>
      </c>
      <c r="V47" s="1">
        <f>AA47</f>
        <v>0.29823182711198426</v>
      </c>
      <c r="W47" s="1">
        <v>1104</v>
      </c>
      <c r="X47" s="1">
        <v>511</v>
      </c>
      <c r="Y47" s="1">
        <f>X47/W47</f>
        <v>0.46286231884057971</v>
      </c>
      <c r="AA47" s="22">
        <f>AC47/AD47*0.6</f>
        <v>0.29823182711198426</v>
      </c>
      <c r="AB47" s="22">
        <f>1-0.7*AE47/AF47</f>
        <v>0.88749999999999996</v>
      </c>
      <c r="AC47">
        <v>253</v>
      </c>
      <c r="AD47">
        <v>509</v>
      </c>
      <c r="AE47">
        <v>81</v>
      </c>
      <c r="AF47">
        <v>504</v>
      </c>
    </row>
    <row r="48" spans="1:32" x14ac:dyDescent="0.15">
      <c r="A48" s="4">
        <v>3.0000000000000001E-3</v>
      </c>
      <c r="B48" s="1">
        <v>2432</v>
      </c>
      <c r="C48" s="1">
        <v>2408</v>
      </c>
      <c r="D48" s="1">
        <f t="shared" ref="D48:D53" si="20">C48/B48</f>
        <v>0.99013157894736847</v>
      </c>
      <c r="E48" s="1"/>
      <c r="I48" s="4">
        <v>8</v>
      </c>
      <c r="J48" s="1">
        <v>1104</v>
      </c>
      <c r="K48" s="1">
        <v>942</v>
      </c>
      <c r="L48" s="1">
        <f t="shared" ref="L48:L53" si="21">K48/J48</f>
        <v>0.85326086956521741</v>
      </c>
      <c r="M48" s="1"/>
      <c r="O48" s="1">
        <v>4</v>
      </c>
      <c r="P48" s="1">
        <f t="shared" ref="P48:P53" si="22">O48/(2^16-1)*100</f>
        <v>6.1036087586785687E-3</v>
      </c>
      <c r="Q48" s="1">
        <v>1104</v>
      </c>
      <c r="R48" s="1">
        <v>1009</v>
      </c>
      <c r="S48" s="1">
        <f t="shared" ref="S48:S53" si="23">R48/Q48</f>
        <v>0.91394927536231885</v>
      </c>
      <c r="U48" s="27">
        <f>V48/100*(2^16-1)</f>
        <v>268.83512770137526</v>
      </c>
      <c r="V48" s="27">
        <f>AA48</f>
        <v>0.41021611001964636</v>
      </c>
      <c r="W48" s="1">
        <v>1104</v>
      </c>
      <c r="X48" s="1">
        <v>456</v>
      </c>
      <c r="Y48" s="1">
        <f t="shared" ref="Y48:Y53" si="24">X48/W48</f>
        <v>0.41304347826086957</v>
      </c>
      <c r="AA48" s="22">
        <f>AC48/AD48*0.6</f>
        <v>0.41021611001964636</v>
      </c>
      <c r="AB48" s="22">
        <f>1-0.7*AE48/AF48</f>
        <v>0.83750000000000002</v>
      </c>
      <c r="AC48">
        <v>348</v>
      </c>
      <c r="AD48">
        <v>509</v>
      </c>
      <c r="AE48">
        <v>117</v>
      </c>
      <c r="AF48">
        <v>504</v>
      </c>
    </row>
    <row r="49" spans="1:28" x14ac:dyDescent="0.15">
      <c r="A49" s="4">
        <v>5.0000000000000001E-3</v>
      </c>
      <c r="B49" s="1">
        <v>2432</v>
      </c>
      <c r="C49" s="1">
        <v>2395</v>
      </c>
      <c r="D49" s="1">
        <f t="shared" si="20"/>
        <v>0.98478618421052633</v>
      </c>
      <c r="E49" s="1"/>
      <c r="I49" s="4">
        <v>16</v>
      </c>
      <c r="J49" s="1">
        <v>1104</v>
      </c>
      <c r="K49" s="1">
        <v>851</v>
      </c>
      <c r="L49" s="1">
        <f t="shared" si="21"/>
        <v>0.77083333333333337</v>
      </c>
      <c r="M49" s="1"/>
      <c r="O49" s="4">
        <v>8</v>
      </c>
      <c r="P49" s="1">
        <f t="shared" si="22"/>
        <v>1.2207217517357137E-2</v>
      </c>
      <c r="Q49" s="1">
        <v>1104</v>
      </c>
      <c r="R49" s="1">
        <v>942</v>
      </c>
      <c r="S49" s="1">
        <f t="shared" si="23"/>
        <v>0.85326086956521741</v>
      </c>
      <c r="U49" s="4"/>
      <c r="V49" s="1"/>
      <c r="W49" s="1">
        <v>1104</v>
      </c>
      <c r="X49" s="1"/>
      <c r="Y49" s="1">
        <f>X49/W49+AVERAGE(Y47:Y48)</f>
        <v>0.43795289855072461</v>
      </c>
      <c r="AA49" s="22"/>
      <c r="AB49" s="22">
        <f>AVERAGE(AB47:AB48)</f>
        <v>0.86250000000000004</v>
      </c>
    </row>
    <row r="50" spans="1:28" x14ac:dyDescent="0.15">
      <c r="A50" s="4">
        <v>8.0000000000000002E-3</v>
      </c>
      <c r="B50" s="1">
        <v>2432</v>
      </c>
      <c r="C50" s="1">
        <v>2372</v>
      </c>
      <c r="D50" s="1">
        <f t="shared" si="20"/>
        <v>0.97532894736842102</v>
      </c>
      <c r="E50" s="1"/>
      <c r="I50" s="4">
        <v>32</v>
      </c>
      <c r="J50" s="1">
        <v>1104</v>
      </c>
      <c r="K50" s="1">
        <v>791</v>
      </c>
      <c r="L50" s="1">
        <f t="shared" si="21"/>
        <v>0.71648550724637683</v>
      </c>
      <c r="M50" s="1"/>
      <c r="O50" s="4">
        <v>16</v>
      </c>
      <c r="P50" s="1">
        <f t="shared" si="22"/>
        <v>2.4414435034714275E-2</v>
      </c>
      <c r="Q50" s="1">
        <v>1104</v>
      </c>
      <c r="R50" s="1">
        <v>851</v>
      </c>
      <c r="S50" s="1">
        <f t="shared" si="23"/>
        <v>0.77083333333333337</v>
      </c>
      <c r="U50" s="4"/>
      <c r="V50" s="1"/>
      <c r="W50" s="1">
        <v>1104</v>
      </c>
      <c r="X50" s="1"/>
      <c r="Y50" s="1">
        <f t="shared" si="24"/>
        <v>0</v>
      </c>
      <c r="AA50" s="22"/>
      <c r="AB50" s="22"/>
    </row>
    <row r="51" spans="1:28" x14ac:dyDescent="0.15">
      <c r="A51" s="4">
        <v>0.01</v>
      </c>
      <c r="B51" s="1">
        <v>2432</v>
      </c>
      <c r="C51" s="2">
        <v>2365</v>
      </c>
      <c r="D51" s="1">
        <f t="shared" si="20"/>
        <v>0.97245065789473684</v>
      </c>
      <c r="E51" s="1"/>
      <c r="I51" s="4">
        <v>64</v>
      </c>
      <c r="J51" s="1">
        <v>1104</v>
      </c>
      <c r="K51" s="2">
        <v>680</v>
      </c>
      <c r="L51" s="1">
        <f t="shared" si="21"/>
        <v>0.61594202898550721</v>
      </c>
      <c r="M51" s="1"/>
      <c r="O51" s="4">
        <v>32</v>
      </c>
      <c r="P51" s="1">
        <f t="shared" si="22"/>
        <v>4.882887006942855E-2</v>
      </c>
      <c r="Q51" s="1">
        <v>1104</v>
      </c>
      <c r="R51" s="1">
        <v>791</v>
      </c>
      <c r="S51" s="1">
        <f t="shared" si="23"/>
        <v>0.71648550724637683</v>
      </c>
      <c r="U51" s="4"/>
      <c r="V51" s="1"/>
      <c r="W51" s="1">
        <v>1104</v>
      </c>
      <c r="X51" s="1"/>
      <c r="Y51" s="1">
        <f t="shared" si="24"/>
        <v>0</v>
      </c>
      <c r="AA51" s="22"/>
      <c r="AB51" s="22"/>
    </row>
    <row r="52" spans="1:28" x14ac:dyDescent="0.15">
      <c r="A52" s="4">
        <v>0.03</v>
      </c>
      <c r="B52" s="1">
        <v>2432</v>
      </c>
      <c r="C52" s="1">
        <v>2347</v>
      </c>
      <c r="D52" s="1">
        <f t="shared" si="20"/>
        <v>0.96504934210526316</v>
      </c>
      <c r="E52" s="1"/>
      <c r="I52" s="4">
        <v>128</v>
      </c>
      <c r="J52" s="1">
        <v>1104</v>
      </c>
      <c r="K52" s="1">
        <v>596</v>
      </c>
      <c r="L52" s="1">
        <f t="shared" si="21"/>
        <v>0.53985507246376807</v>
      </c>
      <c r="M52" s="1"/>
      <c r="O52" s="4">
        <v>64</v>
      </c>
      <c r="P52" s="1">
        <f t="shared" si="22"/>
        <v>9.7657740138857099E-2</v>
      </c>
      <c r="Q52" s="1">
        <v>1104</v>
      </c>
      <c r="R52" s="2">
        <v>680</v>
      </c>
      <c r="S52" s="1">
        <f t="shared" si="23"/>
        <v>0.61594202898550721</v>
      </c>
      <c r="U52" s="4"/>
      <c r="V52" s="1"/>
      <c r="W52" s="1">
        <v>1104</v>
      </c>
      <c r="X52" s="2"/>
      <c r="Y52" s="1">
        <f t="shared" si="24"/>
        <v>0</v>
      </c>
      <c r="AA52" s="22"/>
      <c r="AB52" s="22"/>
    </row>
    <row r="53" spans="1:28" x14ac:dyDescent="0.15">
      <c r="A53" s="4">
        <v>0.05</v>
      </c>
      <c r="B53" s="1">
        <v>2432</v>
      </c>
      <c r="C53" s="2">
        <v>2322</v>
      </c>
      <c r="D53" s="1">
        <f t="shared" si="20"/>
        <v>0.95476973684210531</v>
      </c>
      <c r="E53" s="1"/>
      <c r="I53" s="4">
        <v>256</v>
      </c>
      <c r="J53" s="1">
        <v>1104</v>
      </c>
      <c r="K53" s="2">
        <v>470</v>
      </c>
      <c r="L53" s="1">
        <f t="shared" si="21"/>
        <v>0.42572463768115942</v>
      </c>
      <c r="M53" s="1"/>
      <c r="O53" s="4">
        <v>128</v>
      </c>
      <c r="P53" s="1">
        <f t="shared" si="22"/>
        <v>0.1953154802777142</v>
      </c>
      <c r="Q53" s="1">
        <v>1104</v>
      </c>
      <c r="R53" s="1">
        <v>596</v>
      </c>
      <c r="S53" s="1">
        <f t="shared" si="23"/>
        <v>0.53985507246376807</v>
      </c>
      <c r="U53" s="4"/>
      <c r="V53" s="1"/>
      <c r="W53" s="1">
        <v>1104</v>
      </c>
      <c r="X53" s="1"/>
      <c r="Y53" s="1">
        <f t="shared" si="24"/>
        <v>0</v>
      </c>
      <c r="AA53" s="22"/>
      <c r="AB53" s="22"/>
    </row>
    <row r="54" spans="1:28" x14ac:dyDescent="0.15">
      <c r="A54" t="s">
        <v>20</v>
      </c>
      <c r="B54" s="6">
        <v>0.98099999999999998</v>
      </c>
      <c r="D54" s="6">
        <f>AVERAGE(D47:D53)</f>
        <v>0.97667998120300759</v>
      </c>
      <c r="J54" s="6"/>
      <c r="K54" s="6"/>
      <c r="L54" s="6"/>
      <c r="M54" s="6"/>
      <c r="P54" s="1"/>
    </row>
    <row r="55" spans="1:28" x14ac:dyDescent="0.15">
      <c r="J55" s="6"/>
      <c r="K55" s="6"/>
      <c r="L55" s="6"/>
      <c r="M55" s="6"/>
    </row>
    <row r="56" spans="1:28" x14ac:dyDescent="0.15">
      <c r="A56" s="5" t="s">
        <v>9</v>
      </c>
      <c r="H56" s="7"/>
      <c r="I56" s="8"/>
      <c r="J56" s="8"/>
      <c r="K56" s="8"/>
      <c r="L56" s="8"/>
      <c r="M56" s="8"/>
    </row>
    <row r="57" spans="1:28" x14ac:dyDescent="0.15">
      <c r="A57" s="3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H57" s="7"/>
      <c r="I57" s="7"/>
      <c r="J57" s="8"/>
      <c r="K57" s="8"/>
      <c r="L57" s="8"/>
      <c r="M57" s="8"/>
    </row>
    <row r="58" spans="1:28" x14ac:dyDescent="0.15">
      <c r="A58" s="4">
        <v>1E-3</v>
      </c>
      <c r="B58" s="1">
        <v>2759</v>
      </c>
      <c r="C58" s="1">
        <v>2516</v>
      </c>
      <c r="D58" s="1">
        <f>C58/B58</f>
        <v>0.91192461036607464</v>
      </c>
      <c r="E58" s="1"/>
      <c r="H58" s="7"/>
      <c r="I58" s="8"/>
      <c r="J58" s="8"/>
      <c r="K58" s="8"/>
      <c r="L58" s="8"/>
      <c r="M58" s="8"/>
    </row>
    <row r="59" spans="1:28" x14ac:dyDescent="0.15">
      <c r="A59" s="4">
        <v>3.0000000000000001E-3</v>
      </c>
      <c r="B59" s="1">
        <v>2759</v>
      </c>
      <c r="C59" s="1">
        <v>2474</v>
      </c>
      <c r="D59" s="1">
        <f t="shared" ref="D59:D64" si="25">C59/B59</f>
        <v>0.89670170351576661</v>
      </c>
      <c r="E59" s="1"/>
      <c r="H59" s="7"/>
      <c r="I59" s="9" t="s">
        <v>63</v>
      </c>
      <c r="J59" s="8"/>
      <c r="K59" s="8"/>
      <c r="L59" s="8" t="s">
        <v>38</v>
      </c>
      <c r="M59" s="8"/>
      <c r="P59" t="s">
        <v>64</v>
      </c>
    </row>
    <row r="60" spans="1:28" x14ac:dyDescent="0.15">
      <c r="A60" s="4">
        <v>5.0000000000000001E-3</v>
      </c>
      <c r="B60" s="1">
        <v>2759</v>
      </c>
      <c r="C60" s="1">
        <v>2463</v>
      </c>
      <c r="D60" s="1">
        <f t="shared" si="25"/>
        <v>0.89271475172163828</v>
      </c>
      <c r="E60" s="1"/>
      <c r="H60" s="7"/>
      <c r="I60" s="1" t="s">
        <v>26</v>
      </c>
      <c r="J60" s="1" t="s">
        <v>27</v>
      </c>
      <c r="K60" s="50" t="s">
        <v>37</v>
      </c>
      <c r="L60" s="50"/>
      <c r="M60" s="50"/>
      <c r="N60" s="3"/>
      <c r="P60" s="17" t="s">
        <v>40</v>
      </c>
      <c r="Q60" s="17" t="s">
        <v>41</v>
      </c>
      <c r="R60" s="50" t="s">
        <v>65</v>
      </c>
      <c r="S60" s="50"/>
      <c r="T60" s="50"/>
      <c r="U60" s="22"/>
    </row>
    <row r="61" spans="1:28" x14ac:dyDescent="0.15">
      <c r="A61" s="4">
        <v>8.0000000000000002E-3</v>
      </c>
      <c r="B61" s="1">
        <v>2759</v>
      </c>
      <c r="C61" s="1">
        <v>2448</v>
      </c>
      <c r="D61" s="1">
        <f t="shared" si="25"/>
        <v>0.88727799927509965</v>
      </c>
      <c r="E61" s="1"/>
      <c r="H61" s="7"/>
      <c r="I61" s="1"/>
      <c r="J61" s="1"/>
      <c r="K61" s="1" t="s">
        <v>2</v>
      </c>
      <c r="L61" s="1" t="s">
        <v>3</v>
      </c>
      <c r="M61" s="1" t="s">
        <v>4</v>
      </c>
      <c r="N61" s="16" t="s">
        <v>39</v>
      </c>
      <c r="P61" s="17"/>
      <c r="Q61" s="17"/>
      <c r="R61" s="17" t="s">
        <v>66</v>
      </c>
      <c r="S61" s="17" t="s">
        <v>67</v>
      </c>
      <c r="T61" s="17" t="s">
        <v>68</v>
      </c>
      <c r="U61" s="23" t="s">
        <v>69</v>
      </c>
    </row>
    <row r="62" spans="1:28" x14ac:dyDescent="0.15">
      <c r="A62" s="4">
        <v>0.01</v>
      </c>
      <c r="B62" s="1">
        <v>2759</v>
      </c>
      <c r="C62" s="2">
        <v>2435</v>
      </c>
      <c r="D62" s="1">
        <f t="shared" si="25"/>
        <v>0.88256614715476622</v>
      </c>
      <c r="E62" s="1"/>
      <c r="H62" s="7"/>
      <c r="I62" s="1" t="s">
        <v>0</v>
      </c>
      <c r="J62" s="1" t="s">
        <v>28</v>
      </c>
      <c r="K62" s="1">
        <v>599</v>
      </c>
      <c r="L62" s="2">
        <v>526</v>
      </c>
      <c r="M62" s="21">
        <f t="shared" ref="M62:M73" si="26">L62/K62</f>
        <v>0.87813021702838068</v>
      </c>
      <c r="N62" s="17">
        <v>3</v>
      </c>
      <c r="P62" s="17" t="s">
        <v>42</v>
      </c>
      <c r="Q62" s="17" t="s">
        <v>43</v>
      </c>
      <c r="R62" s="17">
        <v>599</v>
      </c>
      <c r="S62" s="19">
        <v>526</v>
      </c>
      <c r="T62" s="21">
        <f>S62/R62</f>
        <v>0.87813021702838068</v>
      </c>
      <c r="U62" s="17">
        <v>4</v>
      </c>
    </row>
    <row r="63" spans="1:28" x14ac:dyDescent="0.15">
      <c r="A63" s="4">
        <v>0.03</v>
      </c>
      <c r="B63" s="1">
        <v>2759</v>
      </c>
      <c r="C63" s="1">
        <v>2418</v>
      </c>
      <c r="D63" s="1">
        <f t="shared" si="25"/>
        <v>0.8764044943820225</v>
      </c>
      <c r="E63" s="1"/>
      <c r="H63" s="8"/>
      <c r="I63" s="1" t="s">
        <v>16</v>
      </c>
      <c r="J63" s="1" t="s">
        <v>29</v>
      </c>
      <c r="K63" s="1">
        <v>1013</v>
      </c>
      <c r="L63" s="2">
        <v>677</v>
      </c>
      <c r="M63" s="21">
        <f t="shared" si="26"/>
        <v>0.6683119447186574</v>
      </c>
      <c r="N63" s="17">
        <v>4</v>
      </c>
      <c r="P63" s="17" t="s">
        <v>44</v>
      </c>
      <c r="Q63" s="17" t="s">
        <v>45</v>
      </c>
      <c r="R63" s="17">
        <v>1013</v>
      </c>
      <c r="S63" s="19">
        <v>667</v>
      </c>
      <c r="T63" s="21">
        <f t="shared" ref="T63:T73" si="27">S63/R63</f>
        <v>0.65844027640671277</v>
      </c>
      <c r="U63" s="17">
        <v>4</v>
      </c>
    </row>
    <row r="64" spans="1:28" x14ac:dyDescent="0.15">
      <c r="A64" s="4">
        <v>0.05</v>
      </c>
      <c r="B64" s="1">
        <v>2759</v>
      </c>
      <c r="C64" s="2">
        <v>2374</v>
      </c>
      <c r="D64" s="1">
        <f t="shared" si="25"/>
        <v>0.86045668720550927</v>
      </c>
      <c r="E64" s="1"/>
      <c r="H64" s="8"/>
      <c r="I64" s="1" t="s">
        <v>6</v>
      </c>
      <c r="J64" s="1" t="s">
        <v>30</v>
      </c>
      <c r="K64" s="1">
        <v>1434</v>
      </c>
      <c r="L64" s="2">
        <v>975</v>
      </c>
      <c r="M64" s="21">
        <f t="shared" si="26"/>
        <v>0.67991631799163177</v>
      </c>
      <c r="N64" s="17">
        <v>2</v>
      </c>
      <c r="P64" s="17" t="s">
        <v>46</v>
      </c>
      <c r="Q64" s="17" t="s">
        <v>47</v>
      </c>
      <c r="R64" s="17">
        <v>1434</v>
      </c>
      <c r="S64" s="19">
        <v>956</v>
      </c>
      <c r="T64" s="21">
        <f t="shared" si="27"/>
        <v>0.66666666666666663</v>
      </c>
      <c r="U64" s="17">
        <v>4</v>
      </c>
    </row>
    <row r="65" spans="1:21" x14ac:dyDescent="0.15">
      <c r="A65" t="s">
        <v>20</v>
      </c>
      <c r="B65" s="6">
        <v>0.94</v>
      </c>
      <c r="D65" s="6">
        <f>AVERAGE(D58:D64)</f>
        <v>0.88686377051726806</v>
      </c>
      <c r="H65" s="8"/>
      <c r="I65" s="1" t="s">
        <v>7</v>
      </c>
      <c r="J65" s="1" t="s">
        <v>31</v>
      </c>
      <c r="K65" s="1">
        <v>1615</v>
      </c>
      <c r="L65" s="2">
        <v>1570</v>
      </c>
      <c r="M65" s="21">
        <f t="shared" si="26"/>
        <v>0.97213622291021673</v>
      </c>
      <c r="N65" s="17">
        <v>7</v>
      </c>
      <c r="P65" s="17" t="s">
        <v>48</v>
      </c>
      <c r="Q65" s="17" t="s">
        <v>49</v>
      </c>
      <c r="R65" s="17">
        <v>1615</v>
      </c>
      <c r="S65" s="19">
        <v>1564</v>
      </c>
      <c r="T65" s="21">
        <f t="shared" si="27"/>
        <v>0.96842105263157896</v>
      </c>
      <c r="U65" s="17">
        <v>8</v>
      </c>
    </row>
    <row r="66" spans="1:21" x14ac:dyDescent="0.15">
      <c r="H66" s="8"/>
      <c r="I66" s="1" t="s">
        <v>8</v>
      </c>
      <c r="J66" s="1" t="s">
        <v>32</v>
      </c>
      <c r="K66" s="1">
        <v>2432</v>
      </c>
      <c r="L66" s="2">
        <v>2368</v>
      </c>
      <c r="M66" s="21">
        <f t="shared" si="26"/>
        <v>0.97368421052631582</v>
      </c>
      <c r="N66" s="17">
        <v>8</v>
      </c>
      <c r="P66" s="17" t="s">
        <v>50</v>
      </c>
      <c r="Q66" s="17" t="s">
        <v>51</v>
      </c>
      <c r="R66" s="17">
        <v>2432</v>
      </c>
      <c r="S66" s="19">
        <v>2366</v>
      </c>
      <c r="T66" s="21">
        <f t="shared" si="27"/>
        <v>0.97286184210526316</v>
      </c>
      <c r="U66" s="17">
        <v>10</v>
      </c>
    </row>
    <row r="67" spans="1:21" x14ac:dyDescent="0.15">
      <c r="A67" s="5" t="s">
        <v>10</v>
      </c>
      <c r="H67" s="8"/>
      <c r="I67" s="1" t="s">
        <v>9</v>
      </c>
      <c r="J67" s="1" t="s">
        <v>33</v>
      </c>
      <c r="K67" s="1">
        <v>2759</v>
      </c>
      <c r="L67" s="2">
        <v>2670</v>
      </c>
      <c r="M67" s="21">
        <f t="shared" si="26"/>
        <v>0.967741935483871</v>
      </c>
      <c r="N67" s="17">
        <v>3</v>
      </c>
      <c r="P67" s="17" t="s">
        <v>52</v>
      </c>
      <c r="Q67" s="17" t="s">
        <v>53</v>
      </c>
      <c r="R67" s="17">
        <v>2759</v>
      </c>
      <c r="S67" s="19">
        <v>2448</v>
      </c>
      <c r="T67" s="21">
        <f t="shared" si="27"/>
        <v>0.88727799927509965</v>
      </c>
      <c r="U67" s="17">
        <v>30</v>
      </c>
    </row>
    <row r="68" spans="1:21" x14ac:dyDescent="0.15">
      <c r="A68" s="3" t="s">
        <v>1</v>
      </c>
      <c r="B68" s="1" t="s">
        <v>2</v>
      </c>
      <c r="C68" s="1" t="s">
        <v>3</v>
      </c>
      <c r="D68" s="1" t="s">
        <v>4</v>
      </c>
      <c r="E68" s="1" t="s">
        <v>5</v>
      </c>
      <c r="H68" s="8"/>
      <c r="I68" s="1" t="s">
        <v>10</v>
      </c>
      <c r="J68" s="15" t="s">
        <v>34</v>
      </c>
      <c r="K68" s="1">
        <v>2740</v>
      </c>
      <c r="L68" s="2">
        <v>2473</v>
      </c>
      <c r="M68" s="21">
        <f t="shared" si="26"/>
        <v>0.9025547445255474</v>
      </c>
      <c r="N68" s="17">
        <v>12</v>
      </c>
      <c r="P68" s="17" t="s">
        <v>54</v>
      </c>
      <c r="Q68" s="18" t="s">
        <v>55</v>
      </c>
      <c r="R68" s="17">
        <v>2740</v>
      </c>
      <c r="S68" s="19">
        <v>2173</v>
      </c>
      <c r="T68" s="21">
        <f t="shared" si="27"/>
        <v>0.79306569343065692</v>
      </c>
      <c r="U68" s="17">
        <v>85</v>
      </c>
    </row>
    <row r="69" spans="1:21" x14ac:dyDescent="0.15">
      <c r="A69" s="4">
        <v>1E-3</v>
      </c>
      <c r="B69" s="1">
        <v>2740</v>
      </c>
      <c r="C69" s="1">
        <v>2624</v>
      </c>
      <c r="D69" s="1">
        <f>C69/B69</f>
        <v>0.95766423357664232</v>
      </c>
      <c r="E69" s="1">
        <v>245</v>
      </c>
      <c r="H69" s="8"/>
      <c r="I69" s="1" t="s">
        <v>11</v>
      </c>
      <c r="J69" s="1" t="s">
        <v>35</v>
      </c>
      <c r="K69" s="1">
        <v>691</v>
      </c>
      <c r="L69" s="2">
        <v>691</v>
      </c>
      <c r="M69" s="21">
        <f t="shared" si="26"/>
        <v>1</v>
      </c>
      <c r="N69" s="17">
        <v>0</v>
      </c>
      <c r="P69" s="17" t="s">
        <v>56</v>
      </c>
      <c r="Q69" s="17" t="s">
        <v>57</v>
      </c>
      <c r="R69" s="17">
        <v>691</v>
      </c>
      <c r="S69" s="19">
        <v>664</v>
      </c>
      <c r="T69" s="21">
        <f t="shared" si="27"/>
        <v>0.96092619392185241</v>
      </c>
      <c r="U69" s="17">
        <v>3</v>
      </c>
    </row>
    <row r="70" spans="1:21" x14ac:dyDescent="0.15">
      <c r="A70" s="4">
        <v>3.0000000000000001E-3</v>
      </c>
      <c r="B70" s="1">
        <v>2740</v>
      </c>
      <c r="C70" s="1">
        <v>2495</v>
      </c>
      <c r="D70" s="1">
        <f t="shared" ref="D70:D75" si="28">C70/B70</f>
        <v>0.91058394160583944</v>
      </c>
      <c r="E70" s="1"/>
      <c r="H70" s="8"/>
      <c r="I70" s="1" t="s">
        <v>12</v>
      </c>
      <c r="J70" s="1" t="s">
        <v>35</v>
      </c>
      <c r="K70" s="1">
        <v>1063</v>
      </c>
      <c r="L70" s="2">
        <v>919</v>
      </c>
      <c r="M70" s="21">
        <f t="shared" si="26"/>
        <v>0.86453433678269054</v>
      </c>
      <c r="N70" s="17">
        <v>1</v>
      </c>
      <c r="P70" s="17" t="s">
        <v>58</v>
      </c>
      <c r="Q70" s="17" t="s">
        <v>57</v>
      </c>
      <c r="R70" s="17">
        <v>1063</v>
      </c>
      <c r="S70" s="19">
        <v>860</v>
      </c>
      <c r="T70" s="21">
        <f t="shared" si="27"/>
        <v>0.80903104421448735</v>
      </c>
      <c r="U70" s="17">
        <v>10</v>
      </c>
    </row>
    <row r="71" spans="1:21" x14ac:dyDescent="0.15">
      <c r="A71" s="4">
        <v>5.0000000000000001E-3</v>
      </c>
      <c r="B71" s="1">
        <v>2740</v>
      </c>
      <c r="C71" s="1">
        <v>2406</v>
      </c>
      <c r="D71" s="1">
        <f t="shared" si="28"/>
        <v>0.87810218978102195</v>
      </c>
      <c r="E71" s="1"/>
      <c r="H71" s="8"/>
      <c r="I71" s="1" t="s">
        <v>13</v>
      </c>
      <c r="J71" s="1" t="s">
        <v>35</v>
      </c>
      <c r="K71" s="1">
        <v>1128</v>
      </c>
      <c r="L71" s="2">
        <v>984</v>
      </c>
      <c r="M71" s="20">
        <f t="shared" si="26"/>
        <v>0.87234042553191493</v>
      </c>
      <c r="N71" s="17">
        <v>23</v>
      </c>
      <c r="P71" s="17" t="s">
        <v>59</v>
      </c>
      <c r="Q71" s="17" t="s">
        <v>57</v>
      </c>
      <c r="R71" s="17">
        <v>1128</v>
      </c>
      <c r="S71" s="19">
        <v>1016</v>
      </c>
      <c r="T71" s="20">
        <f t="shared" si="27"/>
        <v>0.900709219858156</v>
      </c>
      <c r="U71" s="17">
        <v>10</v>
      </c>
    </row>
    <row r="72" spans="1:21" x14ac:dyDescent="0.15">
      <c r="A72" s="4">
        <v>8.0000000000000002E-3</v>
      </c>
      <c r="B72" s="1">
        <v>2740</v>
      </c>
      <c r="C72" s="1">
        <v>2265</v>
      </c>
      <c r="D72" s="1">
        <f t="shared" si="28"/>
        <v>0.82664233576642332</v>
      </c>
      <c r="E72" s="1"/>
      <c r="H72" s="8"/>
      <c r="I72" s="1" t="s">
        <v>14</v>
      </c>
      <c r="J72" s="1" t="s">
        <v>36</v>
      </c>
      <c r="K72" s="1">
        <v>1276</v>
      </c>
      <c r="L72" s="2">
        <v>1064</v>
      </c>
      <c r="M72" s="21">
        <f t="shared" si="26"/>
        <v>0.83385579937304077</v>
      </c>
      <c r="N72" s="17">
        <v>0</v>
      </c>
      <c r="P72" s="17" t="s">
        <v>60</v>
      </c>
      <c r="Q72" s="17" t="s">
        <v>61</v>
      </c>
      <c r="R72" s="17">
        <v>1276</v>
      </c>
      <c r="S72" s="19">
        <v>1064</v>
      </c>
      <c r="T72" s="21">
        <f t="shared" si="27"/>
        <v>0.83385579937304077</v>
      </c>
      <c r="U72" s="17">
        <v>0</v>
      </c>
    </row>
    <row r="73" spans="1:21" x14ac:dyDescent="0.15">
      <c r="A73" s="4">
        <v>0.01</v>
      </c>
      <c r="B73" s="1">
        <v>2740</v>
      </c>
      <c r="C73" s="2">
        <v>2164</v>
      </c>
      <c r="D73" s="1">
        <f t="shared" si="28"/>
        <v>0.78978102189781019</v>
      </c>
      <c r="E73" s="1"/>
      <c r="H73" s="8"/>
      <c r="I73" s="1" t="s">
        <v>15</v>
      </c>
      <c r="J73" s="1" t="s">
        <v>36</v>
      </c>
      <c r="K73" s="1">
        <v>1104</v>
      </c>
      <c r="L73" s="2">
        <v>1060</v>
      </c>
      <c r="M73" s="21">
        <f t="shared" si="26"/>
        <v>0.96014492753623193</v>
      </c>
      <c r="N73" s="17">
        <v>3</v>
      </c>
      <c r="P73" s="17" t="s">
        <v>62</v>
      </c>
      <c r="Q73" s="17" t="s">
        <v>61</v>
      </c>
      <c r="R73" s="17">
        <v>1104</v>
      </c>
      <c r="S73" s="19">
        <v>1060</v>
      </c>
      <c r="T73" s="21">
        <f t="shared" si="27"/>
        <v>0.96014492753623193</v>
      </c>
      <c r="U73" s="17">
        <v>3</v>
      </c>
    </row>
    <row r="74" spans="1:21" x14ac:dyDescent="0.15">
      <c r="A74" s="4">
        <v>0.03</v>
      </c>
      <c r="B74" s="1">
        <v>2740</v>
      </c>
      <c r="C74" s="1">
        <v>1651</v>
      </c>
      <c r="D74" s="1">
        <f t="shared" si="28"/>
        <v>0.60255474452554747</v>
      </c>
      <c r="E74" s="1"/>
      <c r="H74" s="8"/>
      <c r="I74" s="9"/>
      <c r="J74" s="8"/>
      <c r="K74" s="8"/>
      <c r="L74" s="8"/>
      <c r="M74" s="8"/>
      <c r="T74" s="24"/>
    </row>
    <row r="75" spans="1:21" x14ac:dyDescent="0.15">
      <c r="A75" s="4">
        <v>0.05</v>
      </c>
      <c r="B75" s="1">
        <v>2740</v>
      </c>
      <c r="C75" s="2">
        <v>1389</v>
      </c>
      <c r="D75" s="1">
        <f t="shared" si="28"/>
        <v>0.50693430656934302</v>
      </c>
      <c r="E75" s="1"/>
      <c r="H75" s="7"/>
      <c r="I75" s="9"/>
      <c r="J75" s="8"/>
      <c r="K75" s="10"/>
      <c r="L75" s="8"/>
      <c r="M75" s="8"/>
    </row>
    <row r="76" spans="1:21" x14ac:dyDescent="0.15">
      <c r="A76" t="s">
        <v>20</v>
      </c>
      <c r="B76" s="6">
        <v>0.878</v>
      </c>
      <c r="D76" s="6">
        <f>AVERAGE(D69:D75)</f>
        <v>0.78175182481751826</v>
      </c>
      <c r="I76" s="26" t="s">
        <v>70</v>
      </c>
      <c r="J76" s="6"/>
      <c r="K76" s="6"/>
      <c r="L76" s="6"/>
      <c r="M76" s="6"/>
    </row>
    <row r="77" spans="1:21" x14ac:dyDescent="0.15">
      <c r="I77" s="25" t="s">
        <v>26</v>
      </c>
      <c r="J77" s="25" t="s">
        <v>27</v>
      </c>
      <c r="K77" s="51" t="s">
        <v>71</v>
      </c>
      <c r="L77" s="6"/>
      <c r="M77" s="6"/>
    </row>
    <row r="78" spans="1:21" x14ac:dyDescent="0.15">
      <c r="A78" s="5" t="s">
        <v>11</v>
      </c>
      <c r="I78" s="25"/>
      <c r="J78" s="25"/>
      <c r="K78" s="50"/>
      <c r="P78" s="6" t="s">
        <v>88</v>
      </c>
      <c r="Q78" s="6" t="s">
        <v>89</v>
      </c>
      <c r="R78" s="6" t="s">
        <v>90</v>
      </c>
    </row>
    <row r="79" spans="1:21" x14ac:dyDescent="0.15">
      <c r="A79" s="3" t="s">
        <v>1</v>
      </c>
      <c r="B79" s="1" t="s">
        <v>2</v>
      </c>
      <c r="C79" s="1" t="s">
        <v>3</v>
      </c>
      <c r="D79" s="1" t="s">
        <v>4</v>
      </c>
      <c r="E79" s="1" t="s">
        <v>5</v>
      </c>
      <c r="I79" s="25" t="s">
        <v>0</v>
      </c>
      <c r="J79" s="25" t="s">
        <v>28</v>
      </c>
      <c r="K79" s="25">
        <f>L79*1000</f>
        <v>9.2999999999999989</v>
      </c>
      <c r="L79" s="25">
        <v>9.2999999999999992E-3</v>
      </c>
      <c r="P79" s="6">
        <v>0.89600000000000002</v>
      </c>
      <c r="Q79" s="6">
        <v>0.89300000000000002</v>
      </c>
      <c r="R79" s="6">
        <v>0.873</v>
      </c>
    </row>
    <row r="80" spans="1:21" x14ac:dyDescent="0.15">
      <c r="A80" s="4">
        <v>1E-3</v>
      </c>
      <c r="B80" s="1">
        <v>691</v>
      </c>
      <c r="C80" s="1">
        <v>677</v>
      </c>
      <c r="D80" s="1">
        <f>C80/B80</f>
        <v>0.97973950795947906</v>
      </c>
      <c r="E80" s="1"/>
      <c r="I80" s="25" t="s">
        <v>16</v>
      </c>
      <c r="J80" s="25" t="s">
        <v>29</v>
      </c>
      <c r="K80" s="25">
        <f t="shared" ref="K80:K90" si="29">L80*1000</f>
        <v>3.3</v>
      </c>
      <c r="L80" s="25">
        <v>3.3E-3</v>
      </c>
      <c r="P80" s="6">
        <v>0.61</v>
      </c>
      <c r="Q80" s="6">
        <v>0.59499999999999997</v>
      </c>
      <c r="R80" s="6">
        <v>0.61299999999999999</v>
      </c>
    </row>
    <row r="81" spans="1:18" x14ac:dyDescent="0.15">
      <c r="A81" s="4">
        <v>3.0000000000000001E-3</v>
      </c>
      <c r="B81" s="1">
        <v>691</v>
      </c>
      <c r="C81" s="1">
        <v>670</v>
      </c>
      <c r="D81" s="1">
        <f t="shared" ref="D81:D86" si="30">C81/B81</f>
        <v>0.96960926193921848</v>
      </c>
      <c r="E81" s="1"/>
      <c r="I81" s="25" t="s">
        <v>6</v>
      </c>
      <c r="J81" s="25" t="s">
        <v>30</v>
      </c>
      <c r="K81" s="25">
        <f t="shared" si="29"/>
        <v>7</v>
      </c>
      <c r="L81" s="25">
        <v>7.0000000000000001E-3</v>
      </c>
      <c r="P81" s="6">
        <v>0.72399999999999998</v>
      </c>
      <c r="Q81" s="6">
        <v>0.66200000000000003</v>
      </c>
      <c r="R81" s="6">
        <v>0.66500000000000004</v>
      </c>
    </row>
    <row r="82" spans="1:18" x14ac:dyDescent="0.15">
      <c r="A82" s="4">
        <v>5.0000000000000001E-3</v>
      </c>
      <c r="B82" s="1">
        <v>691</v>
      </c>
      <c r="C82" s="1">
        <v>664</v>
      </c>
      <c r="D82" s="1">
        <f t="shared" si="30"/>
        <v>0.96092619392185241</v>
      </c>
      <c r="E82" s="1"/>
      <c r="I82" s="25" t="s">
        <v>7</v>
      </c>
      <c r="J82" s="25" t="s">
        <v>31</v>
      </c>
      <c r="K82" s="25">
        <f t="shared" si="29"/>
        <v>6.1000000000000005</v>
      </c>
      <c r="L82" s="25">
        <v>6.1000000000000004E-3</v>
      </c>
      <c r="P82" s="6">
        <v>0.97499999999999998</v>
      </c>
      <c r="Q82" s="6">
        <v>0.96599999999999997</v>
      </c>
      <c r="R82" s="6">
        <v>0.94199999999999995</v>
      </c>
    </row>
    <row r="83" spans="1:18" x14ac:dyDescent="0.15">
      <c r="A83" s="4">
        <v>8.0000000000000002E-3</v>
      </c>
      <c r="B83" s="1">
        <v>691</v>
      </c>
      <c r="C83" s="1">
        <v>664</v>
      </c>
      <c r="D83" s="1">
        <f t="shared" si="30"/>
        <v>0.96092619392185241</v>
      </c>
      <c r="E83" s="1"/>
      <c r="I83" s="25" t="s">
        <v>8</v>
      </c>
      <c r="J83" s="25" t="s">
        <v>32</v>
      </c>
      <c r="K83" s="25">
        <f t="shared" si="29"/>
        <v>2.8</v>
      </c>
      <c r="L83" s="25">
        <v>2.8E-3</v>
      </c>
      <c r="P83" s="6">
        <v>0.98099999999999998</v>
      </c>
      <c r="Q83" s="6">
        <v>0.97799999999999998</v>
      </c>
      <c r="R83" s="6">
        <v>0.97699999999999998</v>
      </c>
    </row>
    <row r="84" spans="1:18" x14ac:dyDescent="0.15">
      <c r="A84" s="4">
        <v>0.01</v>
      </c>
      <c r="B84" s="1">
        <v>691</v>
      </c>
      <c r="C84" s="2">
        <v>664</v>
      </c>
      <c r="D84" s="1">
        <f t="shared" si="30"/>
        <v>0.96092619392185241</v>
      </c>
      <c r="E84" s="1"/>
      <c r="I84" s="25" t="s">
        <v>9</v>
      </c>
      <c r="J84" s="25" t="s">
        <v>33</v>
      </c>
      <c r="K84" s="25">
        <f t="shared" si="29"/>
        <v>3.7</v>
      </c>
      <c r="L84" s="25">
        <v>3.7000000000000002E-3</v>
      </c>
      <c r="M84">
        <f>AVERAGE(L79:L90)</f>
        <v>1.1241666666666665E-2</v>
      </c>
      <c r="P84" s="6">
        <v>0.94799999999999995</v>
      </c>
      <c r="Q84" s="6">
        <v>0.94</v>
      </c>
      <c r="R84" s="6">
        <v>0.88700000000000001</v>
      </c>
    </row>
    <row r="85" spans="1:18" x14ac:dyDescent="0.15">
      <c r="A85" s="4">
        <v>0.03</v>
      </c>
      <c r="B85" s="1">
        <v>691</v>
      </c>
      <c r="C85" s="1">
        <v>664</v>
      </c>
      <c r="D85" s="1">
        <f t="shared" si="30"/>
        <v>0.96092619392185241</v>
      </c>
      <c r="E85" s="1"/>
      <c r="I85" s="25" t="s">
        <v>10</v>
      </c>
      <c r="J85" s="18" t="s">
        <v>34</v>
      </c>
      <c r="K85" s="25">
        <f t="shared" si="29"/>
        <v>22.1</v>
      </c>
      <c r="L85" s="25">
        <v>2.2100000000000002E-2</v>
      </c>
      <c r="P85" s="6">
        <v>0.89200000000000002</v>
      </c>
      <c r="Q85" s="6">
        <v>0.878</v>
      </c>
      <c r="R85" s="6">
        <v>0.78200000000000003</v>
      </c>
    </row>
    <row r="86" spans="1:18" x14ac:dyDescent="0.15">
      <c r="A86" s="4">
        <v>0.05</v>
      </c>
      <c r="B86" s="1">
        <v>691</v>
      </c>
      <c r="C86" s="2">
        <v>655</v>
      </c>
      <c r="D86" s="1">
        <f t="shared" si="30"/>
        <v>0.94790159189580314</v>
      </c>
      <c r="E86" s="1"/>
      <c r="I86" s="25" t="s">
        <v>11</v>
      </c>
      <c r="J86" s="25" t="s">
        <v>35</v>
      </c>
      <c r="K86" s="25">
        <f t="shared" si="29"/>
        <v>14.8</v>
      </c>
      <c r="L86" s="25">
        <v>1.4800000000000001E-2</v>
      </c>
      <c r="P86" s="6">
        <v>0.97199999999999998</v>
      </c>
      <c r="Q86" s="6">
        <v>0.97</v>
      </c>
      <c r="R86" s="6">
        <v>0.96299999999999997</v>
      </c>
    </row>
    <row r="87" spans="1:18" x14ac:dyDescent="0.15">
      <c r="A87" t="s">
        <v>20</v>
      </c>
      <c r="B87" s="6">
        <v>0.97</v>
      </c>
      <c r="D87" s="6">
        <f>AVERAGE(D80:D86)</f>
        <v>0.96299359106884441</v>
      </c>
      <c r="I87" s="25" t="s">
        <v>12</v>
      </c>
      <c r="J87" s="25" t="s">
        <v>35</v>
      </c>
      <c r="K87" s="25">
        <f t="shared" si="29"/>
        <v>15.5</v>
      </c>
      <c r="L87" s="25">
        <v>1.55E-2</v>
      </c>
      <c r="P87" s="6">
        <v>0.82899999999999996</v>
      </c>
      <c r="Q87" s="6">
        <v>0.82199999999999995</v>
      </c>
      <c r="R87" s="6">
        <v>0.81299999999999994</v>
      </c>
    </row>
    <row r="88" spans="1:18" x14ac:dyDescent="0.15">
      <c r="I88" s="25" t="s">
        <v>13</v>
      </c>
      <c r="J88" s="25" t="s">
        <v>35</v>
      </c>
      <c r="K88" s="25">
        <f t="shared" si="29"/>
        <v>9</v>
      </c>
      <c r="L88" s="25">
        <v>8.9999999999999993E-3</v>
      </c>
      <c r="P88" s="6">
        <v>0.83</v>
      </c>
      <c r="Q88" s="6">
        <v>0.82699999999999996</v>
      </c>
      <c r="R88" s="6">
        <v>0.875</v>
      </c>
    </row>
    <row r="89" spans="1:18" x14ac:dyDescent="0.15">
      <c r="A89" s="1" t="s">
        <v>12</v>
      </c>
      <c r="I89" s="25" t="s">
        <v>14</v>
      </c>
      <c r="J89" s="25" t="s">
        <v>36</v>
      </c>
      <c r="K89" s="25">
        <f t="shared" si="29"/>
        <v>15</v>
      </c>
      <c r="L89" s="25">
        <v>1.4999999999999999E-2</v>
      </c>
      <c r="P89" s="6">
        <v>0.82899999999999996</v>
      </c>
      <c r="Q89" s="6">
        <v>0.81899999999999995</v>
      </c>
      <c r="R89" s="6">
        <v>0.83199999999999996</v>
      </c>
    </row>
    <row r="90" spans="1:18" x14ac:dyDescent="0.15">
      <c r="A90" t="s">
        <v>1</v>
      </c>
      <c r="B90" s="6" t="s">
        <v>2</v>
      </c>
      <c r="C90" s="6" t="s">
        <v>3</v>
      </c>
      <c r="D90" s="6" t="s">
        <v>4</v>
      </c>
      <c r="E90" s="6" t="s">
        <v>5</v>
      </c>
      <c r="I90" s="25" t="s">
        <v>15</v>
      </c>
      <c r="J90" s="25" t="s">
        <v>36</v>
      </c>
      <c r="K90" s="25">
        <f t="shared" si="29"/>
        <v>26.3</v>
      </c>
      <c r="L90" s="25">
        <v>2.63E-2</v>
      </c>
      <c r="P90" s="6">
        <v>0.95899999999999996</v>
      </c>
      <c r="Q90" s="6">
        <v>0.95299999999999996</v>
      </c>
      <c r="R90" s="6">
        <v>0.96299999999999997</v>
      </c>
    </row>
    <row r="91" spans="1:18" x14ac:dyDescent="0.15">
      <c r="A91" s="4">
        <v>1E-3</v>
      </c>
      <c r="B91" s="1">
        <v>1063</v>
      </c>
      <c r="C91" s="1">
        <v>886</v>
      </c>
      <c r="D91" s="1">
        <f>C91/B91</f>
        <v>0.83349012229539043</v>
      </c>
      <c r="E91" s="1"/>
      <c r="O91" t="s">
        <v>91</v>
      </c>
      <c r="P91" s="6">
        <f>AVERAGE(P79:P90)</f>
        <v>0.87041666666666673</v>
      </c>
      <c r="Q91" s="6">
        <f>AVERAGE(Q79:Q90)</f>
        <v>0.85858333333333314</v>
      </c>
      <c r="R91" s="6">
        <f>AVERAGE(R79:R90)</f>
        <v>0.84875</v>
      </c>
    </row>
    <row r="92" spans="1:18" x14ac:dyDescent="0.15">
      <c r="A92" s="4">
        <v>3.0000000000000001E-3</v>
      </c>
      <c r="B92" s="1">
        <v>1063</v>
      </c>
      <c r="C92" s="1">
        <v>881</v>
      </c>
      <c r="D92" s="1">
        <f t="shared" ref="D92:D97" si="31">C92/B92</f>
        <v>0.82878645343367829</v>
      </c>
      <c r="E92" s="1"/>
      <c r="O92" t="s">
        <v>87</v>
      </c>
      <c r="P92">
        <f>GEOMEAN(P79:P90)</f>
        <v>0.86279563166553974</v>
      </c>
      <c r="Q92">
        <f>GEOMEAN(Q79:Q90)</f>
        <v>0.84945599500427449</v>
      </c>
      <c r="R92">
        <f>GEOMEAN(R79:R90)</f>
        <v>0.8407248643877997</v>
      </c>
    </row>
    <row r="93" spans="1:18" x14ac:dyDescent="0.15">
      <c r="A93" s="4">
        <v>5.0000000000000001E-3</v>
      </c>
      <c r="B93" s="1">
        <v>1063</v>
      </c>
      <c r="C93" s="1">
        <v>870</v>
      </c>
      <c r="D93" s="1">
        <f t="shared" si="31"/>
        <v>0.81843838193791152</v>
      </c>
      <c r="E93" s="1"/>
    </row>
    <row r="94" spans="1:18" x14ac:dyDescent="0.15">
      <c r="A94" s="4">
        <v>8.0000000000000002E-3</v>
      </c>
      <c r="B94" s="1">
        <v>1063</v>
      </c>
      <c r="C94" s="1">
        <v>857</v>
      </c>
      <c r="D94" s="1">
        <f t="shared" si="31"/>
        <v>0.80620884289745998</v>
      </c>
      <c r="E94" s="1"/>
      <c r="I94" t="s">
        <v>72</v>
      </c>
      <c r="M94" t="s">
        <v>77</v>
      </c>
    </row>
    <row r="95" spans="1:18" x14ac:dyDescent="0.15">
      <c r="A95" s="4">
        <v>0.01</v>
      </c>
      <c r="B95" s="1">
        <v>1063</v>
      </c>
      <c r="C95" s="2">
        <v>857</v>
      </c>
      <c r="D95" s="1">
        <f t="shared" si="31"/>
        <v>0.80620884289745998</v>
      </c>
      <c r="E95" s="1"/>
      <c r="I95" s="50" t="s">
        <v>76</v>
      </c>
      <c r="J95" s="50"/>
      <c r="K95" s="50"/>
      <c r="M95" s="50" t="s">
        <v>76</v>
      </c>
      <c r="N95" s="50"/>
      <c r="O95" s="50"/>
    </row>
    <row r="96" spans="1:18" x14ac:dyDescent="0.15">
      <c r="A96" s="4">
        <v>0.03</v>
      </c>
      <c r="B96" s="1">
        <v>1063</v>
      </c>
      <c r="C96" s="1">
        <v>846</v>
      </c>
      <c r="D96" s="1">
        <f t="shared" si="31"/>
        <v>0.79586077140169331</v>
      </c>
      <c r="E96" s="1"/>
      <c r="I96" s="25" t="s">
        <v>73</v>
      </c>
      <c r="J96" s="25" t="s">
        <v>74</v>
      </c>
      <c r="K96" s="25" t="s">
        <v>75</v>
      </c>
      <c r="M96" s="25" t="s">
        <v>73</v>
      </c>
      <c r="N96" s="25" t="s">
        <v>74</v>
      </c>
      <c r="O96" s="25" t="s">
        <v>75</v>
      </c>
    </row>
    <row r="97" spans="1:15" x14ac:dyDescent="0.15">
      <c r="A97" s="4">
        <v>0.05</v>
      </c>
      <c r="B97" s="1">
        <v>1063</v>
      </c>
      <c r="C97" s="2">
        <v>843</v>
      </c>
      <c r="D97" s="1">
        <f t="shared" si="31"/>
        <v>0.79303857008466605</v>
      </c>
      <c r="E97" s="1"/>
      <c r="I97" s="25">
        <v>2</v>
      </c>
      <c r="J97" s="25">
        <v>1.74281</v>
      </c>
      <c r="K97" s="25">
        <v>1.75</v>
      </c>
      <c r="M97" s="25">
        <v>2</v>
      </c>
      <c r="N97" s="25">
        <v>1.8261499999999999</v>
      </c>
      <c r="O97" s="25">
        <v>1.875</v>
      </c>
    </row>
    <row r="98" spans="1:15" x14ac:dyDescent="0.15">
      <c r="A98" t="s">
        <v>20</v>
      </c>
      <c r="B98" s="6">
        <v>0.82199999999999995</v>
      </c>
      <c r="D98" s="6">
        <f>AVERAGE(D91:D97)</f>
        <v>0.81171885499260843</v>
      </c>
      <c r="I98" s="25">
        <v>4</v>
      </c>
      <c r="J98" s="25">
        <v>3.7540300000000002</v>
      </c>
      <c r="K98" s="25">
        <v>3.75</v>
      </c>
      <c r="M98" s="25">
        <v>4</v>
      </c>
      <c r="N98" s="25">
        <v>3.79453</v>
      </c>
      <c r="O98" s="25">
        <v>3.796875</v>
      </c>
    </row>
    <row r="99" spans="1:15" x14ac:dyDescent="0.15">
      <c r="I99" s="25">
        <v>8</v>
      </c>
      <c r="J99" s="25">
        <v>7.4032099999999996</v>
      </c>
      <c r="K99" s="25">
        <v>7.4375</v>
      </c>
      <c r="M99" s="25">
        <v>8</v>
      </c>
      <c r="N99" s="25">
        <v>7.9559499999999996</v>
      </c>
      <c r="O99" s="25">
        <v>8.0078119999999995</v>
      </c>
    </row>
    <row r="100" spans="1:15" x14ac:dyDescent="0.15">
      <c r="A100" s="5" t="s">
        <v>13</v>
      </c>
      <c r="I100" s="25">
        <v>16</v>
      </c>
      <c r="J100" s="25">
        <v>13.744210000000001</v>
      </c>
      <c r="K100" s="25">
        <v>13.757811999999999</v>
      </c>
      <c r="M100" s="25">
        <v>16</v>
      </c>
      <c r="N100" s="25">
        <v>15.63775</v>
      </c>
      <c r="O100" s="25">
        <v>15.621093999999999</v>
      </c>
    </row>
    <row r="101" spans="1:15" x14ac:dyDescent="0.15">
      <c r="A101" s="3" t="s">
        <v>1</v>
      </c>
      <c r="B101" s="1" t="s">
        <v>2</v>
      </c>
      <c r="C101" s="1" t="s">
        <v>3</v>
      </c>
      <c r="D101" s="1" t="s">
        <v>4</v>
      </c>
      <c r="E101" s="1" t="s">
        <v>5</v>
      </c>
      <c r="I101" s="25">
        <v>32</v>
      </c>
      <c r="J101" s="25">
        <v>27.314209999999999</v>
      </c>
      <c r="K101" s="25">
        <v>29.939392000000002</v>
      </c>
      <c r="M101" s="25">
        <v>32</v>
      </c>
      <c r="N101" s="25">
        <v>28.87341</v>
      </c>
      <c r="O101" s="25">
        <v>28.839355000000001</v>
      </c>
    </row>
    <row r="102" spans="1:15" x14ac:dyDescent="0.15">
      <c r="A102" s="4">
        <v>1E-3</v>
      </c>
      <c r="B102" s="1">
        <v>1128</v>
      </c>
      <c r="C102" s="1">
        <v>1088</v>
      </c>
      <c r="D102" s="12">
        <f>C102/B102</f>
        <v>0.96453900709219853</v>
      </c>
      <c r="E102" s="1"/>
      <c r="I102" s="25">
        <v>64</v>
      </c>
      <c r="J102" s="25">
        <v>63.297449999999998</v>
      </c>
      <c r="K102" s="25">
        <v>67.322083000000006</v>
      </c>
      <c r="M102" s="25">
        <v>64</v>
      </c>
      <c r="N102" s="25">
        <v>61.581969999999998</v>
      </c>
      <c r="O102" s="25">
        <v>61.595001000000003</v>
      </c>
    </row>
    <row r="103" spans="1:15" x14ac:dyDescent="0.15">
      <c r="A103" s="4">
        <v>3.0000000000000001E-3</v>
      </c>
      <c r="B103" s="1">
        <v>1128</v>
      </c>
      <c r="C103" s="1">
        <v>1088</v>
      </c>
      <c r="D103" s="12">
        <f t="shared" ref="D103:D108" si="32">C103/B103</f>
        <v>0.96453900709219853</v>
      </c>
      <c r="E103" s="1"/>
      <c r="I103" s="25">
        <v>128</v>
      </c>
      <c r="J103" s="25">
        <v>123.26449</v>
      </c>
      <c r="K103" s="25">
        <v>124.529449</v>
      </c>
      <c r="M103" s="25">
        <v>128</v>
      </c>
      <c r="N103" s="25">
        <v>125.49621</v>
      </c>
      <c r="O103" s="25">
        <v>125.44860799999999</v>
      </c>
    </row>
    <row r="104" spans="1:15" x14ac:dyDescent="0.15">
      <c r="A104" s="4">
        <v>5.0000000000000001E-3</v>
      </c>
      <c r="B104" s="1">
        <v>1128</v>
      </c>
      <c r="C104" s="1">
        <v>1086</v>
      </c>
      <c r="D104" s="12">
        <f t="shared" si="32"/>
        <v>0.96276595744680848</v>
      </c>
      <c r="E104" s="1"/>
    </row>
    <row r="105" spans="1:15" x14ac:dyDescent="0.15">
      <c r="A105" s="4">
        <v>8.0000000000000002E-3</v>
      </c>
      <c r="B105" s="1">
        <v>1128</v>
      </c>
      <c r="C105" s="1">
        <v>1034</v>
      </c>
      <c r="D105" s="12">
        <f t="shared" si="32"/>
        <v>0.91666666666666663</v>
      </c>
      <c r="E105" s="1"/>
    </row>
    <row r="106" spans="1:15" x14ac:dyDescent="0.15">
      <c r="A106" s="4">
        <v>0.01</v>
      </c>
      <c r="B106" s="1">
        <v>1128</v>
      </c>
      <c r="C106" s="2">
        <v>1010</v>
      </c>
      <c r="D106" s="12">
        <f t="shared" si="32"/>
        <v>0.89539007092198586</v>
      </c>
      <c r="E106" s="1"/>
    </row>
    <row r="107" spans="1:15" x14ac:dyDescent="0.15">
      <c r="A107" s="4">
        <v>0.03</v>
      </c>
      <c r="B107" s="1">
        <v>1128</v>
      </c>
      <c r="C107" s="1">
        <v>857</v>
      </c>
      <c r="D107" s="12">
        <f t="shared" si="32"/>
        <v>0.75975177304964536</v>
      </c>
      <c r="E107" s="1"/>
    </row>
    <row r="108" spans="1:15" x14ac:dyDescent="0.15">
      <c r="A108" s="4">
        <v>0.05</v>
      </c>
      <c r="B108" s="1">
        <v>1128</v>
      </c>
      <c r="C108" s="2">
        <v>849</v>
      </c>
      <c r="D108" s="1">
        <f t="shared" si="32"/>
        <v>0.75265957446808507</v>
      </c>
      <c r="E108" s="1"/>
    </row>
    <row r="109" spans="1:15" x14ac:dyDescent="0.15">
      <c r="A109" t="s">
        <v>20</v>
      </c>
      <c r="B109" s="6">
        <v>0.82699999999999996</v>
      </c>
      <c r="D109" s="13">
        <f>AVERAGE(D103:D108)</f>
        <v>0.87529550827423164</v>
      </c>
      <c r="F109" t="s">
        <v>22</v>
      </c>
    </row>
    <row r="110" spans="1:15" x14ac:dyDescent="0.15">
      <c r="I110" t="s">
        <v>107</v>
      </c>
    </row>
    <row r="111" spans="1:15" x14ac:dyDescent="0.15">
      <c r="A111" s="5" t="s">
        <v>14</v>
      </c>
      <c r="I111" s="6" t="s">
        <v>101</v>
      </c>
      <c r="J111" s="6"/>
      <c r="K111" s="6"/>
      <c r="L111" s="6"/>
      <c r="M111" s="6" t="s">
        <v>105</v>
      </c>
      <c r="N111" s="6"/>
      <c r="O111" s="6"/>
    </row>
    <row r="112" spans="1:15" x14ac:dyDescent="0.15">
      <c r="A112" s="3" t="s">
        <v>1</v>
      </c>
      <c r="B112" s="1" t="s">
        <v>2</v>
      </c>
      <c r="C112" s="1" t="s">
        <v>3</v>
      </c>
      <c r="D112" s="1" t="s">
        <v>4</v>
      </c>
      <c r="E112" s="1" t="s">
        <v>5</v>
      </c>
      <c r="I112" s="6" t="s">
        <v>106</v>
      </c>
      <c r="J112" s="6"/>
      <c r="K112" s="6"/>
      <c r="L112" s="6"/>
      <c r="M112" s="6" t="s">
        <v>106</v>
      </c>
      <c r="N112" s="6"/>
      <c r="O112" s="6"/>
    </row>
    <row r="113" spans="1:15" x14ac:dyDescent="0.15">
      <c r="A113" s="4">
        <v>1E-3</v>
      </c>
      <c r="B113" s="1">
        <v>1276</v>
      </c>
      <c r="C113" s="1">
        <v>1064</v>
      </c>
      <c r="D113" s="1">
        <f>C113/B113</f>
        <v>0.83385579937304077</v>
      </c>
      <c r="E113" s="1"/>
      <c r="I113" s="6" t="s">
        <v>102</v>
      </c>
      <c r="J113" s="6" t="s">
        <v>103</v>
      </c>
      <c r="K113" s="6" t="s">
        <v>104</v>
      </c>
      <c r="L113" s="6"/>
      <c r="M113" s="6" t="s">
        <v>102</v>
      </c>
      <c r="N113" s="6" t="s">
        <v>103</v>
      </c>
      <c r="O113" s="6" t="s">
        <v>104</v>
      </c>
    </row>
    <row r="114" spans="1:15" x14ac:dyDescent="0.15">
      <c r="A114" s="4">
        <v>3.0000000000000001E-3</v>
      </c>
      <c r="B114" s="1">
        <v>1276</v>
      </c>
      <c r="C114" s="1">
        <v>1064</v>
      </c>
      <c r="D114" s="12">
        <f t="shared" ref="D114:D119" si="33">C114/B114</f>
        <v>0.83385579937304077</v>
      </c>
      <c r="E114" s="1"/>
      <c r="I114" s="6">
        <v>0.3</v>
      </c>
      <c r="J114" s="6">
        <v>0.39</v>
      </c>
      <c r="K114" s="6">
        <v>0.36099999999999999</v>
      </c>
      <c r="L114" s="6"/>
      <c r="M114" s="6">
        <v>0.3</v>
      </c>
      <c r="N114" s="6">
        <v>0.21</v>
      </c>
      <c r="O114" s="6">
        <v>0.24399999999999999</v>
      </c>
    </row>
    <row r="115" spans="1:15" x14ac:dyDescent="0.15">
      <c r="A115" s="4">
        <v>5.0000000000000001E-3</v>
      </c>
      <c r="B115" s="1">
        <v>1276</v>
      </c>
      <c r="C115" s="1">
        <v>1064</v>
      </c>
      <c r="D115" s="12">
        <f t="shared" si="33"/>
        <v>0.83385579937304077</v>
      </c>
      <c r="E115" s="1"/>
      <c r="I115" s="6">
        <v>0.5</v>
      </c>
      <c r="J115" s="6">
        <v>0.55000000000000004</v>
      </c>
      <c r="K115" s="6">
        <v>0.54900000000000004</v>
      </c>
      <c r="L115" s="6"/>
      <c r="M115" s="6">
        <v>0.5</v>
      </c>
      <c r="N115" s="6">
        <v>0.25</v>
      </c>
      <c r="O115" s="6">
        <v>0.24399999999999999</v>
      </c>
    </row>
    <row r="116" spans="1:15" x14ac:dyDescent="0.15">
      <c r="A116" s="4">
        <v>8.0000000000000002E-3</v>
      </c>
      <c r="B116" s="1">
        <v>1276</v>
      </c>
      <c r="C116" s="1">
        <v>1064</v>
      </c>
      <c r="D116" s="12">
        <f t="shared" si="33"/>
        <v>0.83385579937304077</v>
      </c>
      <c r="E116" s="1"/>
      <c r="I116" s="6">
        <v>0.8</v>
      </c>
      <c r="J116" s="6">
        <v>0.87</v>
      </c>
      <c r="K116" s="6">
        <v>0.88500000000000001</v>
      </c>
      <c r="L116" s="6"/>
      <c r="M116" s="6">
        <v>0.8</v>
      </c>
      <c r="N116" s="6">
        <v>0.56999999999999995</v>
      </c>
      <c r="O116" s="6">
        <v>0.629</v>
      </c>
    </row>
    <row r="117" spans="1:15" x14ac:dyDescent="0.15">
      <c r="A117" s="4">
        <v>0.01</v>
      </c>
      <c r="B117" s="1">
        <v>1276</v>
      </c>
      <c r="C117" s="1">
        <v>1064</v>
      </c>
      <c r="D117" s="12">
        <f t="shared" si="33"/>
        <v>0.83385579937304077</v>
      </c>
      <c r="E117" s="1"/>
      <c r="I117" s="6">
        <v>1</v>
      </c>
      <c r="J117" s="6">
        <v>1.1200000000000001</v>
      </c>
      <c r="K117" s="6">
        <v>1.0680000000000001</v>
      </c>
      <c r="L117" s="6"/>
      <c r="M117" s="6">
        <v>1</v>
      </c>
      <c r="N117" s="6">
        <v>1.0900000000000001</v>
      </c>
      <c r="O117" s="6">
        <v>1.01</v>
      </c>
    </row>
    <row r="118" spans="1:15" x14ac:dyDescent="0.15">
      <c r="A118" s="4">
        <v>0.03</v>
      </c>
      <c r="B118" s="1">
        <v>1276</v>
      </c>
      <c r="C118" s="2">
        <v>1058</v>
      </c>
      <c r="D118" s="12">
        <f t="shared" si="33"/>
        <v>0.82915360501567403</v>
      </c>
      <c r="E118" s="1"/>
      <c r="I118" s="6">
        <v>3</v>
      </c>
      <c r="J118" s="6">
        <v>3.07</v>
      </c>
      <c r="K118" s="6">
        <v>3.0329999999999999</v>
      </c>
      <c r="L118" s="6"/>
      <c r="M118" s="6">
        <v>3</v>
      </c>
      <c r="N118" s="6">
        <v>2.89</v>
      </c>
      <c r="O118" s="6">
        <v>2.923</v>
      </c>
    </row>
    <row r="119" spans="1:15" x14ac:dyDescent="0.15">
      <c r="A119" s="4">
        <v>0.05</v>
      </c>
      <c r="B119" s="1">
        <v>1276</v>
      </c>
      <c r="C119" s="2">
        <v>1057</v>
      </c>
      <c r="D119" s="12">
        <f t="shared" si="33"/>
        <v>0.82836990595611282</v>
      </c>
      <c r="E119" s="1"/>
      <c r="I119" s="6">
        <v>5</v>
      </c>
      <c r="J119" s="6">
        <v>5.19</v>
      </c>
      <c r="K119" s="6">
        <v>5.0599999999999996</v>
      </c>
      <c r="L119" s="6"/>
      <c r="M119" s="6">
        <v>5</v>
      </c>
      <c r="N119" s="6">
        <v>4.3099999999999996</v>
      </c>
      <c r="O119" s="6">
        <v>4.3879999999999999</v>
      </c>
    </row>
    <row r="120" spans="1:15" x14ac:dyDescent="0.15">
      <c r="A120" t="s">
        <v>20</v>
      </c>
      <c r="B120" s="6">
        <v>0.81899999999999995</v>
      </c>
      <c r="D120" s="13">
        <f>AVERAGE(D113:D119)</f>
        <v>0.83240035826242731</v>
      </c>
      <c r="I120" s="6"/>
      <c r="J120" s="6"/>
      <c r="K120" s="6"/>
      <c r="L120" s="6"/>
      <c r="M120" s="6"/>
      <c r="N120" s="6"/>
      <c r="O120" s="6"/>
    </row>
    <row r="121" spans="1:15" x14ac:dyDescent="0.15">
      <c r="I121" t="s">
        <v>72</v>
      </c>
      <c r="M121" t="s">
        <v>77</v>
      </c>
    </row>
    <row r="122" spans="1:15" x14ac:dyDescent="0.15">
      <c r="A122" s="5" t="s">
        <v>15</v>
      </c>
      <c r="I122" s="50" t="s">
        <v>18</v>
      </c>
      <c r="J122" s="50"/>
      <c r="K122" s="50"/>
      <c r="M122" s="50" t="s">
        <v>18</v>
      </c>
      <c r="N122" s="50"/>
      <c r="O122" s="50"/>
    </row>
    <row r="123" spans="1:15" x14ac:dyDescent="0.15">
      <c r="A123" s="3" t="s">
        <v>1</v>
      </c>
      <c r="B123" s="1" t="s">
        <v>2</v>
      </c>
      <c r="C123" s="1" t="s">
        <v>3</v>
      </c>
      <c r="D123" s="1" t="s">
        <v>4</v>
      </c>
      <c r="E123" s="1" t="s">
        <v>5</v>
      </c>
      <c r="I123" s="30" t="s">
        <v>1</v>
      </c>
      <c r="J123" s="30" t="s">
        <v>74</v>
      </c>
      <c r="K123" s="30" t="s">
        <v>75</v>
      </c>
      <c r="M123" s="30" t="s">
        <v>1</v>
      </c>
      <c r="N123" s="30" t="s">
        <v>74</v>
      </c>
      <c r="O123" s="30" t="s">
        <v>75</v>
      </c>
    </row>
    <row r="124" spans="1:15" x14ac:dyDescent="0.15">
      <c r="A124" s="4">
        <v>1E-3</v>
      </c>
      <c r="B124" s="1">
        <v>1104</v>
      </c>
      <c r="C124" s="1">
        <v>1079</v>
      </c>
      <c r="D124" s="12">
        <f>C124/B124</f>
        <v>0.97735507246376807</v>
      </c>
      <c r="E124" s="1"/>
      <c r="I124" s="30">
        <v>2</v>
      </c>
      <c r="J124" s="30">
        <v>1.7508999999999999</v>
      </c>
      <c r="K124" s="30">
        <v>1.75</v>
      </c>
      <c r="M124" s="30">
        <v>2</v>
      </c>
      <c r="N124" s="30">
        <v>1.8627</v>
      </c>
      <c r="O124" s="30">
        <v>1.875</v>
      </c>
    </row>
    <row r="125" spans="1:15" x14ac:dyDescent="0.15">
      <c r="A125" s="4">
        <v>3.0000000000000001E-3</v>
      </c>
      <c r="B125" s="1">
        <v>1104</v>
      </c>
      <c r="C125" s="1">
        <v>1077</v>
      </c>
      <c r="D125" s="12">
        <f t="shared" ref="D125:D130" si="34">C125/B125</f>
        <v>0.97554347826086951</v>
      </c>
      <c r="E125" s="1"/>
      <c r="I125" s="30">
        <v>4</v>
      </c>
      <c r="J125" s="30">
        <v>3.7837999999999998</v>
      </c>
      <c r="K125" s="30">
        <v>3.75</v>
      </c>
      <c r="M125" s="30">
        <v>4</v>
      </c>
      <c r="N125" s="30">
        <v>3.7953000000000001</v>
      </c>
      <c r="O125" s="30">
        <v>3.796875</v>
      </c>
    </row>
    <row r="126" spans="1:15" x14ac:dyDescent="0.15">
      <c r="A126" s="4">
        <v>5.0000000000000001E-3</v>
      </c>
      <c r="B126" s="1">
        <v>1104</v>
      </c>
      <c r="C126" s="1">
        <v>1077</v>
      </c>
      <c r="D126" s="12">
        <f t="shared" si="34"/>
        <v>0.97554347826086951</v>
      </c>
      <c r="E126" s="1"/>
      <c r="I126" s="30">
        <v>8</v>
      </c>
      <c r="J126" s="30">
        <v>7.3901000000000003</v>
      </c>
      <c r="K126" s="30">
        <v>7.4375</v>
      </c>
      <c r="M126" s="30">
        <v>8</v>
      </c>
      <c r="N126" s="30">
        <v>7.7801</v>
      </c>
      <c r="O126" s="30">
        <v>8.0078119999999995</v>
      </c>
    </row>
    <row r="127" spans="1:15" x14ac:dyDescent="0.15">
      <c r="A127" s="4">
        <v>8.0000000000000002E-3</v>
      </c>
      <c r="B127" s="1">
        <v>1104</v>
      </c>
      <c r="C127" s="1">
        <v>1068</v>
      </c>
      <c r="D127" s="12">
        <f t="shared" si="34"/>
        <v>0.96739130434782605</v>
      </c>
      <c r="E127" s="1"/>
      <c r="I127" s="30">
        <v>16</v>
      </c>
      <c r="J127" s="30">
        <v>13.7293</v>
      </c>
      <c r="K127" s="30">
        <v>13.757811999999999</v>
      </c>
      <c r="M127" s="30">
        <v>16</v>
      </c>
      <c r="N127" s="30">
        <v>15.5891</v>
      </c>
      <c r="O127" s="30">
        <v>15.621093999999999</v>
      </c>
    </row>
    <row r="128" spans="1:15" x14ac:dyDescent="0.15">
      <c r="A128" s="4">
        <v>0.01</v>
      </c>
      <c r="B128" s="1">
        <v>1104</v>
      </c>
      <c r="C128" s="2">
        <v>1060</v>
      </c>
      <c r="D128" s="12">
        <f t="shared" si="34"/>
        <v>0.96014492753623193</v>
      </c>
      <c r="E128" s="1"/>
      <c r="I128" s="30">
        <v>32</v>
      </c>
      <c r="J128" s="30">
        <v>25.574000000000002</v>
      </c>
      <c r="K128" s="30">
        <v>29.939392000000002</v>
      </c>
      <c r="M128" s="30">
        <v>32</v>
      </c>
      <c r="N128" s="30">
        <v>29.028199999999998</v>
      </c>
      <c r="O128" s="30">
        <v>28.839355000000001</v>
      </c>
    </row>
    <row r="129" spans="1:15" x14ac:dyDescent="0.15">
      <c r="A129" s="4">
        <v>0.03</v>
      </c>
      <c r="B129" s="1">
        <v>1104</v>
      </c>
      <c r="C129" s="1">
        <v>1047</v>
      </c>
      <c r="D129" s="12">
        <f t="shared" si="34"/>
        <v>0.94836956521739135</v>
      </c>
      <c r="E129" s="1"/>
      <c r="I129" s="30">
        <v>64</v>
      </c>
      <c r="J129" s="30">
        <v>59.041699999999999</v>
      </c>
      <c r="K129" s="30">
        <v>67.322083000000006</v>
      </c>
      <c r="M129" s="30">
        <v>64</v>
      </c>
      <c r="N129" s="30">
        <v>63.0946</v>
      </c>
      <c r="O129" s="30">
        <v>61.595001000000003</v>
      </c>
    </row>
    <row r="130" spans="1:15" x14ac:dyDescent="0.15">
      <c r="A130" s="4">
        <v>0.05</v>
      </c>
      <c r="B130" s="1">
        <v>1104</v>
      </c>
      <c r="C130" s="2">
        <v>1038</v>
      </c>
      <c r="D130" s="12">
        <f t="shared" si="34"/>
        <v>0.94021739130434778</v>
      </c>
      <c r="E130" s="1"/>
      <c r="I130" s="30">
        <v>128</v>
      </c>
      <c r="J130" s="30">
        <v>122.446</v>
      </c>
      <c r="K130" s="30">
        <v>124.529449</v>
      </c>
      <c r="M130" s="30">
        <v>128</v>
      </c>
      <c r="N130" s="30">
        <v>123.92319999999999</v>
      </c>
      <c r="O130" s="30">
        <v>125.44860799999999</v>
      </c>
    </row>
    <row r="131" spans="1:15" x14ac:dyDescent="0.15">
      <c r="A131" t="s">
        <v>20</v>
      </c>
      <c r="B131" s="6">
        <v>0.95299999999999996</v>
      </c>
      <c r="D131" s="13">
        <f>AVERAGE(D124:D130)</f>
        <v>0.96350931677018636</v>
      </c>
      <c r="I131" s="6"/>
      <c r="J131" s="6"/>
      <c r="K131" s="6"/>
      <c r="L131" s="6"/>
      <c r="M131" s="6"/>
      <c r="N131" s="6"/>
      <c r="O131" s="6"/>
    </row>
    <row r="134" spans="1:15" x14ac:dyDescent="0.15">
      <c r="B134" s="6" t="s">
        <v>87</v>
      </c>
      <c r="D134" s="6">
        <f>AVERAGE(D10+D21+D32+D43+D54+D65+D76+D98+D109+D120+D131+D87)</f>
        <v>10.186156248277522</v>
      </c>
      <c r="E134" s="6">
        <f>D134/12</f>
        <v>0.8488463540231268</v>
      </c>
    </row>
    <row r="136" spans="1:15" x14ac:dyDescent="0.15">
      <c r="A136" t="s">
        <v>80</v>
      </c>
    </row>
    <row r="137" spans="1:15" x14ac:dyDescent="0.15">
      <c r="A137" t="s">
        <v>78</v>
      </c>
      <c r="C137" s="6">
        <v>1.2999999999999999E-4</v>
      </c>
      <c r="D137" s="6">
        <v>6.7000000000000002E-4</v>
      </c>
      <c r="E137" s="6">
        <v>2.6800000000000001E-3</v>
      </c>
      <c r="F137" s="6">
        <v>4.3400000000000001E-3</v>
      </c>
      <c r="G137" s="6">
        <v>1.227E-2</v>
      </c>
      <c r="H137" s="6">
        <v>1.9109999999999999E-2</v>
      </c>
      <c r="I137">
        <v>2.445E-2</v>
      </c>
      <c r="J137">
        <v>3.542E-2</v>
      </c>
      <c r="K137">
        <v>4.0550000000000003E-2</v>
      </c>
      <c r="L137">
        <v>4.4119999999999999E-2</v>
      </c>
      <c r="M137">
        <v>4.7300000000000002E-2</v>
      </c>
    </row>
    <row r="138" spans="1:15" x14ac:dyDescent="0.15">
      <c r="A138" t="s">
        <v>79</v>
      </c>
      <c r="C138" s="6">
        <v>1.2999999999999999E-4</v>
      </c>
      <c r="D138" s="6">
        <v>6.8000000000000005E-4</v>
      </c>
      <c r="E138" s="6">
        <v>3.0300000000000001E-3</v>
      </c>
      <c r="F138" s="6">
        <v>4.8500000000000001E-3</v>
      </c>
      <c r="G138" s="6">
        <v>1.41E-2</v>
      </c>
      <c r="H138" s="6">
        <v>2.094E-2</v>
      </c>
      <c r="I138">
        <v>2.579E-2</v>
      </c>
      <c r="J138">
        <v>3.6760000000000001E-2</v>
      </c>
      <c r="K138">
        <v>4.1939999999999998E-2</v>
      </c>
      <c r="L138">
        <v>4.5519999999999998E-2</v>
      </c>
      <c r="M138">
        <v>4.8689999999999997E-2</v>
      </c>
    </row>
    <row r="140" spans="1:15" x14ac:dyDescent="0.15">
      <c r="A140" t="s">
        <v>81</v>
      </c>
    </row>
    <row r="141" spans="1:15" x14ac:dyDescent="0.15">
      <c r="A141" t="s">
        <v>78</v>
      </c>
      <c r="C141" s="6">
        <v>2.0000000000000002E-5</v>
      </c>
      <c r="D141" s="6">
        <v>2.7299999999999998E-3</v>
      </c>
      <c r="E141" s="6">
        <v>9.0100000000000006E-3</v>
      </c>
      <c r="F141" s="6">
        <v>9.9799999999999993E-3</v>
      </c>
      <c r="G141" s="6">
        <v>1.55E-2</v>
      </c>
      <c r="H141">
        <v>1.7309999999999999E-2</v>
      </c>
      <c r="I141">
        <v>3.252E-2</v>
      </c>
      <c r="J141">
        <v>3.6170000000000001E-2</v>
      </c>
      <c r="K141">
        <v>4.3459999999999999E-2</v>
      </c>
      <c r="L141">
        <v>4.7550000000000002E-2</v>
      </c>
      <c r="M141">
        <v>4.7169999999999997E-2</v>
      </c>
    </row>
    <row r="142" spans="1:15" x14ac:dyDescent="0.15">
      <c r="A142" t="s">
        <v>79</v>
      </c>
      <c r="C142" s="6">
        <v>2.0000000000000002E-5</v>
      </c>
      <c r="D142" s="6">
        <v>2.7299999999999998E-3</v>
      </c>
      <c r="E142" s="6">
        <v>6.3E-3</v>
      </c>
      <c r="F142" s="6">
        <v>8.77E-3</v>
      </c>
      <c r="G142" s="6">
        <v>1.746E-2</v>
      </c>
      <c r="H142">
        <v>2.044E-2</v>
      </c>
      <c r="I142">
        <v>3.465E-2</v>
      </c>
      <c r="J142">
        <v>3.8300000000000001E-2</v>
      </c>
      <c r="K142">
        <v>4.4670000000000001E-2</v>
      </c>
      <c r="L142">
        <v>4.7109999999999999E-2</v>
      </c>
      <c r="M142">
        <v>4.4670000000000001E-2</v>
      </c>
    </row>
    <row r="144" spans="1:15" x14ac:dyDescent="0.15">
      <c r="A144" t="s">
        <v>82</v>
      </c>
    </row>
    <row r="145" spans="1:31" x14ac:dyDescent="0.15">
      <c r="A145" t="s">
        <v>78</v>
      </c>
      <c r="C145" s="6">
        <v>2.0000000000000001E-4</v>
      </c>
      <c r="D145" s="6">
        <v>2.0400000000000001E-3</v>
      </c>
      <c r="E145" s="6">
        <v>3.9100000000000003E-3</v>
      </c>
      <c r="F145" s="6">
        <v>3.243E-2</v>
      </c>
      <c r="G145" s="6">
        <v>5.9659999999999998E-2</v>
      </c>
    </row>
    <row r="146" spans="1:31" x14ac:dyDescent="0.15">
      <c r="A146" t="s">
        <v>79</v>
      </c>
      <c r="C146" s="6">
        <v>2.0000000000000001E-4</v>
      </c>
      <c r="D146" s="6">
        <v>2.0400000000000001E-3</v>
      </c>
      <c r="E146" s="6">
        <v>3.9100000000000003E-3</v>
      </c>
      <c r="F146" s="6">
        <v>3.243E-2</v>
      </c>
      <c r="G146" s="6">
        <v>5.9659999999999998E-2</v>
      </c>
    </row>
    <row r="148" spans="1:31" x14ac:dyDescent="0.15">
      <c r="A148" t="s">
        <v>83</v>
      </c>
    </row>
    <row r="149" spans="1:31" x14ac:dyDescent="0.15">
      <c r="C149" s="6">
        <v>6.9999999999999999E-4</v>
      </c>
      <c r="D149" s="6">
        <v>1.67E-3</v>
      </c>
      <c r="E149" s="6">
        <v>3.7000000000000002E-3</v>
      </c>
      <c r="F149" s="6">
        <v>4.5599999999999998E-3</v>
      </c>
      <c r="G149" s="6">
        <v>5.4599999999999996E-3</v>
      </c>
      <c r="H149" s="6">
        <v>6.3200000000000001E-3</v>
      </c>
      <c r="I149" s="6">
        <v>7.3600000000000002E-3</v>
      </c>
      <c r="J149" s="6">
        <v>8.2500000000000004E-3</v>
      </c>
      <c r="K149">
        <v>1.0580000000000001E-2</v>
      </c>
      <c r="L149">
        <v>1.0840000000000001E-2</v>
      </c>
      <c r="M149">
        <v>3.0589999999999999E-2</v>
      </c>
    </row>
    <row r="150" spans="1:31" x14ac:dyDescent="0.15">
      <c r="C150" s="6">
        <v>6.9999999999999999E-4</v>
      </c>
      <c r="D150" s="6">
        <v>1.67E-3</v>
      </c>
      <c r="E150" s="6">
        <v>3.7000000000000002E-3</v>
      </c>
      <c r="F150" s="6">
        <v>4.5599999999999998E-3</v>
      </c>
      <c r="G150" s="6">
        <v>5.4599999999999996E-3</v>
      </c>
      <c r="H150" s="6">
        <v>6.3200000000000001E-3</v>
      </c>
      <c r="I150" s="6">
        <v>7.3600000000000002E-3</v>
      </c>
      <c r="J150">
        <v>7.6299999999999996E-3</v>
      </c>
      <c r="K150">
        <v>9.9600000000000001E-3</v>
      </c>
      <c r="L150">
        <v>9.9600000000000001E-3</v>
      </c>
      <c r="M150">
        <v>4.8910000000000002E-2</v>
      </c>
    </row>
    <row r="154" spans="1:31" x14ac:dyDescent="0.15">
      <c r="A154" t="s">
        <v>94</v>
      </c>
      <c r="D154" s="29">
        <v>2759</v>
      </c>
      <c r="E154" s="29">
        <v>2759</v>
      </c>
      <c r="F154" s="29">
        <v>2759</v>
      </c>
      <c r="G154" s="29">
        <v>2759</v>
      </c>
      <c r="H154" s="29">
        <v>2759</v>
      </c>
      <c r="I154" s="29">
        <v>2759</v>
      </c>
      <c r="J154" s="29">
        <v>2759</v>
      </c>
      <c r="K154" s="29">
        <v>2759</v>
      </c>
      <c r="L154" s="29">
        <v>2759</v>
      </c>
      <c r="M154" s="29">
        <v>2759</v>
      </c>
      <c r="N154" s="29">
        <v>2759</v>
      </c>
      <c r="O154" s="29">
        <v>2759</v>
      </c>
      <c r="P154" s="29">
        <v>2759</v>
      </c>
      <c r="Q154" s="29">
        <v>2759</v>
      </c>
      <c r="R154" s="29">
        <v>2759</v>
      </c>
      <c r="S154" s="29">
        <v>2759</v>
      </c>
      <c r="T154" s="29">
        <v>2759</v>
      </c>
      <c r="U154" s="29">
        <v>2759</v>
      </c>
      <c r="V154" s="29">
        <v>2759</v>
      </c>
      <c r="W154" s="29">
        <v>2759</v>
      </c>
      <c r="X154" s="29">
        <v>2759</v>
      </c>
      <c r="Y154" s="29">
        <v>2759</v>
      </c>
      <c r="Z154" s="29">
        <v>2759</v>
      </c>
      <c r="AA154" s="29">
        <v>2759</v>
      </c>
      <c r="AB154" s="29">
        <v>2759</v>
      </c>
      <c r="AC154" s="29">
        <v>2759</v>
      </c>
      <c r="AD154" s="29">
        <v>2759</v>
      </c>
      <c r="AE154" s="29">
        <v>2759</v>
      </c>
    </row>
    <row r="155" spans="1:31" x14ac:dyDescent="0.15">
      <c r="A155" t="s">
        <v>95</v>
      </c>
      <c r="B155" s="6" t="s">
        <v>100</v>
      </c>
      <c r="D155" s="6">
        <v>0</v>
      </c>
      <c r="E155" s="6">
        <v>1E-3</v>
      </c>
      <c r="F155">
        <v>1E-3</v>
      </c>
      <c r="G155" s="6">
        <v>1E-3</v>
      </c>
      <c r="H155" s="6">
        <v>3.0000000000000001E-3</v>
      </c>
      <c r="I155" s="6">
        <v>4.0000000000000001E-3</v>
      </c>
      <c r="J155" s="6">
        <v>5.0000000000000001E-3</v>
      </c>
      <c r="K155" s="6">
        <v>8.9999999999999993E-3</v>
      </c>
      <c r="L155" s="6">
        <v>0.01</v>
      </c>
      <c r="M155" s="6">
        <v>1.2999999999999999E-2</v>
      </c>
      <c r="N155" s="6">
        <v>1.7999999999999999E-2</v>
      </c>
      <c r="O155" s="6">
        <v>2.8000000000000001E-2</v>
      </c>
      <c r="P155" s="6">
        <v>3.6999999999999998E-2</v>
      </c>
      <c r="Q155" s="6">
        <v>4.2000000000000003E-2</v>
      </c>
      <c r="R155" s="6">
        <v>4.3999999999999997E-2</v>
      </c>
      <c r="S155" s="6">
        <v>5.8999999999999997E-2</v>
      </c>
      <c r="T155" s="6">
        <v>6.7000000000000004E-2</v>
      </c>
      <c r="U155" s="6">
        <v>0.09</v>
      </c>
      <c r="V155" s="6">
        <v>0.13</v>
      </c>
      <c r="W155" s="6">
        <v>0.32700000000000001</v>
      </c>
      <c r="X155" s="6">
        <v>0.42699999999999999</v>
      </c>
      <c r="Y155" s="6">
        <v>0.59299999999999997</v>
      </c>
      <c r="Z155" s="6">
        <v>0.59299999999999997</v>
      </c>
      <c r="AA155" s="6">
        <v>0.78200000000000003</v>
      </c>
      <c r="AB155" s="6">
        <v>0.97299999999999998</v>
      </c>
      <c r="AC155" s="6">
        <v>0.97299999999999998</v>
      </c>
      <c r="AD155" s="6">
        <v>0.99299999999999999</v>
      </c>
      <c r="AE155" s="6">
        <v>1.218</v>
      </c>
    </row>
    <row r="156" spans="1:31" x14ac:dyDescent="0.15">
      <c r="B156" s="6" t="s">
        <v>97</v>
      </c>
      <c r="D156" s="6">
        <v>2692</v>
      </c>
      <c r="E156" s="6">
        <v>2676</v>
      </c>
      <c r="F156">
        <v>2644</v>
      </c>
      <c r="G156" s="6">
        <v>2640</v>
      </c>
      <c r="H156" s="6">
        <v>2617</v>
      </c>
      <c r="I156" s="6">
        <v>2606</v>
      </c>
      <c r="J156" s="6">
        <v>2605</v>
      </c>
      <c r="K156" s="6">
        <v>2588</v>
      </c>
      <c r="L156" s="6">
        <v>2582</v>
      </c>
      <c r="M156" s="6">
        <v>2580</v>
      </c>
      <c r="N156" s="6">
        <v>2570</v>
      </c>
      <c r="O156" s="6">
        <v>2550</v>
      </c>
      <c r="P156" s="6">
        <v>2548</v>
      </c>
      <c r="Q156" s="6">
        <v>2546</v>
      </c>
      <c r="R156" s="6">
        <v>2544</v>
      </c>
      <c r="S156" s="6">
        <v>2540</v>
      </c>
      <c r="T156" s="6">
        <v>2535</v>
      </c>
      <c r="U156" s="6">
        <v>2530</v>
      </c>
      <c r="V156" s="6">
        <v>2519</v>
      </c>
      <c r="W156" s="6">
        <v>2502</v>
      </c>
      <c r="X156" s="6">
        <v>2496</v>
      </c>
      <c r="Y156" s="6">
        <v>2472</v>
      </c>
      <c r="Z156" s="6">
        <v>2465</v>
      </c>
      <c r="AA156" s="6">
        <v>2455</v>
      </c>
      <c r="AB156" s="6">
        <v>2446</v>
      </c>
      <c r="AC156" s="6">
        <v>2441</v>
      </c>
      <c r="AD156">
        <v>2435</v>
      </c>
      <c r="AE156" s="6">
        <v>2430</v>
      </c>
    </row>
    <row r="157" spans="1:31" x14ac:dyDescent="0.15">
      <c r="B157" s="6" t="s">
        <v>98</v>
      </c>
      <c r="D157" s="6">
        <f>1-D156/D154</f>
        <v>2.4284160927872445E-2</v>
      </c>
      <c r="E157" s="6">
        <f t="shared" ref="E157:AE157" si="35">1-E156/E154</f>
        <v>3.0083363537513619E-2</v>
      </c>
      <c r="F157" s="6">
        <f t="shared" si="35"/>
        <v>4.1681768756795967E-2</v>
      </c>
      <c r="G157" s="6">
        <f t="shared" si="35"/>
        <v>4.3131569409206261E-2</v>
      </c>
      <c r="H157" s="6">
        <f t="shared" si="35"/>
        <v>5.1467923160565476E-2</v>
      </c>
      <c r="I157" s="6">
        <f t="shared" si="35"/>
        <v>5.54548749546937E-2</v>
      </c>
      <c r="J157" s="6">
        <f t="shared" si="35"/>
        <v>5.5817325117796357E-2</v>
      </c>
      <c r="K157" s="6">
        <f t="shared" si="35"/>
        <v>6.1978977890540077E-2</v>
      </c>
      <c r="L157" s="6">
        <f t="shared" si="35"/>
        <v>6.4153678869155462E-2</v>
      </c>
      <c r="M157" s="6">
        <f t="shared" si="35"/>
        <v>6.4878579195360664E-2</v>
      </c>
      <c r="N157" s="6">
        <f t="shared" si="35"/>
        <v>6.8503080826386342E-2</v>
      </c>
      <c r="O157" s="6">
        <f t="shared" si="35"/>
        <v>7.575208408843781E-2</v>
      </c>
      <c r="P157" s="6">
        <f t="shared" si="35"/>
        <v>7.6476984414643012E-2</v>
      </c>
      <c r="Q157" s="6">
        <f t="shared" si="35"/>
        <v>7.7201884740848103E-2</v>
      </c>
      <c r="R157" s="6">
        <f t="shared" si="35"/>
        <v>7.7926785067053306E-2</v>
      </c>
      <c r="S157" s="6">
        <f t="shared" si="35"/>
        <v>7.9376585719463599E-2</v>
      </c>
      <c r="T157" s="6">
        <f t="shared" si="35"/>
        <v>8.1188836534976438E-2</v>
      </c>
      <c r="U157" s="6">
        <f t="shared" si="35"/>
        <v>8.3001087350489278E-2</v>
      </c>
      <c r="V157" s="6">
        <f t="shared" si="35"/>
        <v>8.6988039144617613E-2</v>
      </c>
      <c r="W157" s="6">
        <f t="shared" si="35"/>
        <v>9.3149691917361332E-2</v>
      </c>
      <c r="X157" s="6">
        <f t="shared" si="35"/>
        <v>9.5324392895976828E-2</v>
      </c>
      <c r="Y157" s="6">
        <f t="shared" si="35"/>
        <v>0.10402319681043859</v>
      </c>
      <c r="Z157" s="6">
        <f t="shared" si="35"/>
        <v>0.10656034795215663</v>
      </c>
      <c r="AA157" s="6">
        <f t="shared" si="35"/>
        <v>0.11018484958318231</v>
      </c>
      <c r="AB157" s="6">
        <f t="shared" si="35"/>
        <v>0.11344690105110544</v>
      </c>
      <c r="AC157" s="6">
        <f t="shared" si="35"/>
        <v>0.11525915186661839</v>
      </c>
      <c r="AD157" s="6">
        <f t="shared" si="35"/>
        <v>0.11743385284523378</v>
      </c>
      <c r="AE157" s="6">
        <f t="shared" si="35"/>
        <v>0.11924610366074662</v>
      </c>
    </row>
    <row r="158" spans="1:31" x14ac:dyDescent="0.15">
      <c r="A158" t="s">
        <v>96</v>
      </c>
      <c r="B158" s="6" t="s">
        <v>99</v>
      </c>
      <c r="D158" s="6">
        <v>1.7999999999999999E-2</v>
      </c>
      <c r="E158" s="6">
        <v>3.5999999999999997E-2</v>
      </c>
      <c r="F158">
        <v>1.5</v>
      </c>
    </row>
    <row r="159" spans="1:31" x14ac:dyDescent="0.15">
      <c r="B159" s="6" t="s">
        <v>97</v>
      </c>
      <c r="D159" s="6">
        <v>2687</v>
      </c>
      <c r="E159" s="6">
        <v>2681</v>
      </c>
      <c r="F159">
        <v>2650</v>
      </c>
    </row>
    <row r="160" spans="1:31" x14ac:dyDescent="0.15">
      <c r="B160" s="6" t="s">
        <v>98</v>
      </c>
      <c r="D160" s="6">
        <f>1-D159/D154</f>
        <v>2.6096411743385284E-2</v>
      </c>
      <c r="E160" s="6">
        <f>1-E159/E154</f>
        <v>2.827111272200078E-2</v>
      </c>
      <c r="F160" s="6">
        <f>1-F159/F154</f>
        <v>3.9507067778180471E-2</v>
      </c>
    </row>
    <row r="162" spans="5:6" x14ac:dyDescent="0.15">
      <c r="E162" s="6">
        <v>0.117434</v>
      </c>
      <c r="F162">
        <f>E162-E160</f>
        <v>8.9162887277999217E-2</v>
      </c>
    </row>
  </sheetData>
  <mergeCells count="7">
    <mergeCell ref="I122:K122"/>
    <mergeCell ref="M122:O122"/>
    <mergeCell ref="K60:M60"/>
    <mergeCell ref="R60:T60"/>
    <mergeCell ref="K77:K78"/>
    <mergeCell ref="I95:K95"/>
    <mergeCell ref="M95:O9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6"/>
  <sheetViews>
    <sheetView tabSelected="1" topLeftCell="I34" zoomScaleNormal="100" workbookViewId="0">
      <selection activeCell="L54" sqref="L54"/>
    </sheetView>
  </sheetViews>
  <sheetFormatPr defaultRowHeight="13.5" x14ac:dyDescent="0.15"/>
  <cols>
    <col min="3" max="3" width="17.25" customWidth="1"/>
    <col min="4" max="4" width="12.875" customWidth="1"/>
    <col min="5" max="5" width="21.375" customWidth="1"/>
    <col min="6" max="6" width="15.375" style="6" customWidth="1"/>
    <col min="7" max="7" width="11.125" style="6" customWidth="1"/>
    <col min="8" max="8" width="15.375" customWidth="1"/>
    <col min="9" max="9" width="8.375" customWidth="1"/>
    <col min="10" max="10" width="13.25" customWidth="1"/>
    <col min="12" max="12" width="11.875" customWidth="1"/>
    <col min="13" max="13" width="11.125" customWidth="1"/>
    <col min="14" max="14" width="9.5" bestFit="1" customWidth="1"/>
  </cols>
  <sheetData>
    <row r="1" spans="1:28" x14ac:dyDescent="0.15">
      <c r="A1" t="s">
        <v>0</v>
      </c>
      <c r="B1" t="s">
        <v>17</v>
      </c>
      <c r="C1" s="6"/>
      <c r="D1" s="6"/>
      <c r="E1" s="6"/>
      <c r="I1" s="5" t="s">
        <v>11</v>
      </c>
      <c r="J1" s="6" t="s">
        <v>18</v>
      </c>
      <c r="K1" s="6"/>
      <c r="L1" s="6"/>
      <c r="M1" s="6"/>
      <c r="O1" s="5" t="s">
        <v>11</v>
      </c>
      <c r="P1" t="s">
        <v>25</v>
      </c>
      <c r="U1" s="28" t="s">
        <v>84</v>
      </c>
    </row>
    <row r="2" spans="1:28" x14ac:dyDescent="0.15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1" t="s">
        <v>234</v>
      </c>
      <c r="G2" s="28" t="s">
        <v>233</v>
      </c>
      <c r="H2" s="28" t="s">
        <v>235</v>
      </c>
      <c r="I2" s="3" t="s">
        <v>108</v>
      </c>
      <c r="J2" s="1" t="s">
        <v>2</v>
      </c>
      <c r="K2" s="1" t="s">
        <v>3</v>
      </c>
      <c r="L2" s="1" t="s">
        <v>4</v>
      </c>
      <c r="M2" s="1" t="s">
        <v>5</v>
      </c>
      <c r="N2" s="11" t="s">
        <v>255</v>
      </c>
      <c r="O2" s="22" t="s">
        <v>1</v>
      </c>
      <c r="P2" s="34" t="s">
        <v>24</v>
      </c>
      <c r="Q2" s="34" t="s">
        <v>2</v>
      </c>
      <c r="R2" s="34" t="s">
        <v>3</v>
      </c>
      <c r="S2" s="34" t="s">
        <v>4</v>
      </c>
      <c r="U2" s="23" t="s">
        <v>17</v>
      </c>
      <c r="V2" s="23" t="s">
        <v>85</v>
      </c>
    </row>
    <row r="3" spans="1:28" x14ac:dyDescent="0.15">
      <c r="A3" s="4">
        <v>1E-3</v>
      </c>
      <c r="B3" s="1">
        <v>599</v>
      </c>
      <c r="C3" s="1">
        <v>548</v>
      </c>
      <c r="D3" s="1">
        <f>C3/B3</f>
        <v>0.91485809682804675</v>
      </c>
      <c r="E3" s="1" t="s">
        <v>140</v>
      </c>
      <c r="F3" s="11">
        <v>5</v>
      </c>
      <c r="G3" s="6">
        <v>102</v>
      </c>
      <c r="H3">
        <f t="shared" ref="H3:H9" si="0">F3/G3</f>
        <v>4.9019607843137254E-2</v>
      </c>
      <c r="I3" s="1">
        <v>1.5299999999999999E-3</v>
      </c>
      <c r="J3" s="1">
        <v>691</v>
      </c>
      <c r="K3" s="1">
        <v>272</v>
      </c>
      <c r="L3" s="33">
        <f>K3/J3</f>
        <v>0.39363241678726485</v>
      </c>
      <c r="M3" s="1" t="s">
        <v>111</v>
      </c>
      <c r="N3">
        <f>I3*(POWER(2,33)-1)/100</f>
        <v>131425.99924229999</v>
      </c>
      <c r="O3" s="34">
        <f>P3/100*(2^33-1)</f>
        <v>4354033.6433752459</v>
      </c>
      <c r="P3" s="34">
        <f>U3</f>
        <v>5.0687622789783886E-2</v>
      </c>
      <c r="Q3" s="34">
        <v>691</v>
      </c>
      <c r="R3" s="34">
        <v>167</v>
      </c>
      <c r="S3" s="34">
        <f>R3/Q3</f>
        <v>0.24167872648335745</v>
      </c>
      <c r="U3" s="22">
        <f>W3/X3*0.6</f>
        <v>5.0687622789783886E-2</v>
      </c>
      <c r="V3" s="22">
        <f>1-0.7*Y3/Z3</f>
        <v>0.70972222222222225</v>
      </c>
      <c r="W3">
        <v>43</v>
      </c>
      <c r="X3">
        <v>509</v>
      </c>
      <c r="Y3">
        <v>209</v>
      </c>
      <c r="Z3">
        <v>504</v>
      </c>
    </row>
    <row r="4" spans="1:28" x14ac:dyDescent="0.15">
      <c r="A4" s="4">
        <v>3.0000000000000001E-3</v>
      </c>
      <c r="B4" s="1">
        <v>599</v>
      </c>
      <c r="C4" s="1">
        <v>548</v>
      </c>
      <c r="D4" s="31">
        <f t="shared" ref="D4:D9" si="1">C4/B4</f>
        <v>0.91485809682804675</v>
      </c>
      <c r="E4" s="1" t="s">
        <v>155</v>
      </c>
      <c r="F4" s="6">
        <v>5</v>
      </c>
      <c r="G4" s="6">
        <v>112</v>
      </c>
      <c r="H4">
        <f t="shared" si="0"/>
        <v>4.4642857142857144E-2</v>
      </c>
      <c r="I4" s="4">
        <f t="shared" ref="I4:I10" si="2">I3*2</f>
        <v>3.0599999999999998E-3</v>
      </c>
      <c r="J4" s="1">
        <v>691</v>
      </c>
      <c r="K4" s="1">
        <v>256</v>
      </c>
      <c r="L4" s="33">
        <f t="shared" ref="L4:L10" si="3">K4/J4</f>
        <v>0.37047756874095511</v>
      </c>
      <c r="M4" s="1" t="s">
        <v>123</v>
      </c>
      <c r="N4">
        <f t="shared" ref="N4:N10" si="4">I4*(POWER(2,33)-1)/100</f>
        <v>262851.99848459999</v>
      </c>
      <c r="O4" s="34">
        <f>P4/100*(2^33-1)</f>
        <v>8809323.8831080552</v>
      </c>
      <c r="P4" s="34">
        <f>U4</f>
        <v>0.10255402750491159</v>
      </c>
      <c r="Q4" s="34">
        <v>691</v>
      </c>
      <c r="R4" s="34">
        <v>137</v>
      </c>
      <c r="S4" s="34">
        <f t="shared" ref="S4:S10" si="5">R4/Q4</f>
        <v>0.19826338639652677</v>
      </c>
      <c r="U4" s="22">
        <f>W4/X4*0.6</f>
        <v>0.10255402750491159</v>
      </c>
      <c r="V4" s="22">
        <f>1-0.7*Y4/Z4</f>
        <v>0.6430555555555556</v>
      </c>
      <c r="W4">
        <v>87</v>
      </c>
      <c r="X4">
        <v>509</v>
      </c>
      <c r="Y4">
        <v>257</v>
      </c>
      <c r="Z4">
        <v>504</v>
      </c>
    </row>
    <row r="5" spans="1:28" x14ac:dyDescent="0.15">
      <c r="A5" s="4">
        <v>5.0000000000000001E-3</v>
      </c>
      <c r="B5" s="1">
        <v>599</v>
      </c>
      <c r="C5" s="1">
        <v>526</v>
      </c>
      <c r="D5" s="31">
        <f t="shared" si="1"/>
        <v>0.87813021702838068</v>
      </c>
      <c r="E5" s="1" t="s">
        <v>167</v>
      </c>
      <c r="F5" s="6">
        <v>8</v>
      </c>
      <c r="G5" s="6">
        <v>161</v>
      </c>
      <c r="H5">
        <f t="shared" si="0"/>
        <v>4.9689440993788817E-2</v>
      </c>
      <c r="I5" s="4">
        <f t="shared" si="2"/>
        <v>6.1199999999999996E-3</v>
      </c>
      <c r="J5" s="1">
        <v>691</v>
      </c>
      <c r="K5" s="1">
        <v>228</v>
      </c>
      <c r="L5" s="33">
        <f t="shared" si="3"/>
        <v>0.32995658465991318</v>
      </c>
      <c r="M5" s="1" t="s">
        <v>125</v>
      </c>
      <c r="N5">
        <f t="shared" si="4"/>
        <v>525703.99696919997</v>
      </c>
      <c r="O5" s="34">
        <f>P5/100*(2^33-1)</f>
        <v>21567655.0241611</v>
      </c>
      <c r="P5" s="34">
        <f>U5</f>
        <v>0.25108055009823183</v>
      </c>
      <c r="Q5" s="34">
        <v>691</v>
      </c>
      <c r="R5" s="34">
        <v>112</v>
      </c>
      <c r="S5" s="34">
        <f t="shared" si="5"/>
        <v>0.16208393632416787</v>
      </c>
      <c r="U5" s="22">
        <f>W5/X5*0.6</f>
        <v>0.25108055009823183</v>
      </c>
      <c r="V5" s="22">
        <f>1-0.7*Y5/Z5</f>
        <v>0.47361111111111109</v>
      </c>
      <c r="W5">
        <v>213</v>
      </c>
      <c r="X5">
        <v>509</v>
      </c>
      <c r="Y5">
        <v>379</v>
      </c>
      <c r="Z5">
        <v>504</v>
      </c>
    </row>
    <row r="6" spans="1:28" x14ac:dyDescent="0.15">
      <c r="A6" s="4">
        <v>8.0000000000000002E-3</v>
      </c>
      <c r="B6" s="1">
        <v>599</v>
      </c>
      <c r="C6" s="1">
        <v>526</v>
      </c>
      <c r="D6" s="31">
        <f t="shared" si="1"/>
        <v>0.87813021702838068</v>
      </c>
      <c r="E6" s="1" t="s">
        <v>192</v>
      </c>
      <c r="F6" s="6">
        <v>8</v>
      </c>
      <c r="G6" s="6">
        <v>167</v>
      </c>
      <c r="H6">
        <f t="shared" si="0"/>
        <v>4.790419161676647E-2</v>
      </c>
      <c r="I6" s="31">
        <f t="shared" si="2"/>
        <v>1.2239999999999999E-2</v>
      </c>
      <c r="J6" s="1">
        <v>691</v>
      </c>
      <c r="K6" s="1">
        <v>222</v>
      </c>
      <c r="L6" s="33">
        <f t="shared" si="3"/>
        <v>0.32127351664254705</v>
      </c>
      <c r="M6" s="1" t="s">
        <v>136</v>
      </c>
      <c r="N6">
        <f t="shared" si="4"/>
        <v>1051407.9939383999</v>
      </c>
      <c r="O6" s="34">
        <f>P6/100*(2^33-1)</f>
        <v>34427242.761571698</v>
      </c>
      <c r="P6" s="34">
        <f>U6</f>
        <v>0.40078585461689581</v>
      </c>
      <c r="Q6" s="34">
        <v>691</v>
      </c>
      <c r="R6" s="34">
        <v>99</v>
      </c>
      <c r="S6" s="34">
        <f t="shared" si="5"/>
        <v>0.14327062228654125</v>
      </c>
      <c r="U6" s="22">
        <f>W6/X6*0.6</f>
        <v>0.40078585461689581</v>
      </c>
      <c r="V6" s="22">
        <f>1-0.7*Y6/Z6</f>
        <v>0.39444444444444449</v>
      </c>
      <c r="W6">
        <v>340</v>
      </c>
      <c r="X6">
        <v>509</v>
      </c>
      <c r="Y6">
        <v>436</v>
      </c>
      <c r="Z6">
        <v>504</v>
      </c>
      <c r="AB6" t="s">
        <v>93</v>
      </c>
    </row>
    <row r="7" spans="1:28" x14ac:dyDescent="0.15">
      <c r="A7" s="4">
        <v>0.01</v>
      </c>
      <c r="B7" s="1">
        <v>599</v>
      </c>
      <c r="C7" s="2">
        <v>521</v>
      </c>
      <c r="D7" s="31">
        <f t="shared" si="1"/>
        <v>0.86978297161936557</v>
      </c>
      <c r="E7" s="1" t="s">
        <v>116</v>
      </c>
      <c r="F7" s="6">
        <v>9</v>
      </c>
      <c r="G7" s="6">
        <v>193</v>
      </c>
      <c r="H7">
        <f t="shared" si="0"/>
        <v>4.6632124352331605E-2</v>
      </c>
      <c r="I7" s="4">
        <f t="shared" si="2"/>
        <v>2.4479999999999998E-2</v>
      </c>
      <c r="J7" s="1">
        <v>691</v>
      </c>
      <c r="K7" s="2">
        <v>194</v>
      </c>
      <c r="L7" s="33">
        <f t="shared" si="3"/>
        <v>0.28075253256150506</v>
      </c>
      <c r="M7" s="1" t="s">
        <v>178</v>
      </c>
      <c r="N7">
        <f t="shared" si="4"/>
        <v>2102815.9878767999</v>
      </c>
      <c r="O7" s="4"/>
      <c r="P7" s="34"/>
      <c r="Q7" s="34">
        <v>691</v>
      </c>
      <c r="R7" s="19"/>
      <c r="S7" s="34">
        <f>AVERAGE(S3:S6)</f>
        <v>0.18632416787264833</v>
      </c>
      <c r="T7">
        <f>AVERAGE(S7,S18,S29,S38,S49)</f>
        <v>0.27376172378984986</v>
      </c>
      <c r="U7" s="22"/>
      <c r="V7" s="22">
        <f>AVERAGE(V3:V6)</f>
        <v>0.5552083333333333</v>
      </c>
      <c r="AA7" t="s">
        <v>84</v>
      </c>
      <c r="AB7">
        <f>AVERAGE(V7,V18,V29,V38,V49)</f>
        <v>0.62777777777777788</v>
      </c>
    </row>
    <row r="8" spans="1:28" x14ac:dyDescent="0.15">
      <c r="A8" s="4">
        <v>0.03</v>
      </c>
      <c r="B8" s="1">
        <v>599</v>
      </c>
      <c r="C8" s="1">
        <v>505</v>
      </c>
      <c r="D8" s="31">
        <f t="shared" si="1"/>
        <v>0.84307178631051749</v>
      </c>
      <c r="E8" s="1" t="s">
        <v>206</v>
      </c>
      <c r="F8" s="6">
        <v>11</v>
      </c>
      <c r="G8" s="6">
        <v>243</v>
      </c>
      <c r="H8">
        <f t="shared" si="0"/>
        <v>4.5267489711934158E-2</v>
      </c>
      <c r="I8" s="4">
        <f t="shared" si="2"/>
        <v>4.8959999999999997E-2</v>
      </c>
      <c r="J8" s="1">
        <v>691</v>
      </c>
      <c r="K8" s="1">
        <v>167</v>
      </c>
      <c r="L8" s="33">
        <f t="shared" si="3"/>
        <v>0.24167872648335745</v>
      </c>
      <c r="M8" s="1" t="s">
        <v>180</v>
      </c>
      <c r="N8">
        <f t="shared" si="4"/>
        <v>4205631.9757535998</v>
      </c>
      <c r="O8" s="4"/>
      <c r="P8" s="34"/>
      <c r="Q8" s="34">
        <v>691</v>
      </c>
      <c r="R8" s="34"/>
      <c r="S8" s="34">
        <f t="shared" si="5"/>
        <v>0</v>
      </c>
      <c r="U8" s="22"/>
      <c r="V8" s="22"/>
      <c r="AA8" t="s">
        <v>92</v>
      </c>
      <c r="AB8">
        <f>AVERAGE(S7,S18,S29,S38,S49)</f>
        <v>0.27376172378984986</v>
      </c>
    </row>
    <row r="9" spans="1:28" x14ac:dyDescent="0.15">
      <c r="A9" s="4">
        <v>0.05</v>
      </c>
      <c r="B9" s="1">
        <v>599</v>
      </c>
      <c r="C9" s="2">
        <v>487</v>
      </c>
      <c r="D9" s="31">
        <f t="shared" si="1"/>
        <v>0.81302170283806341</v>
      </c>
      <c r="E9" s="1" t="s">
        <v>218</v>
      </c>
      <c r="F9" s="11">
        <v>16</v>
      </c>
      <c r="G9" s="6">
        <v>370</v>
      </c>
      <c r="H9">
        <f t="shared" si="0"/>
        <v>4.3243243243243246E-2</v>
      </c>
      <c r="I9" s="31">
        <f t="shared" si="2"/>
        <v>9.7919999999999993E-2</v>
      </c>
      <c r="J9" s="1">
        <v>691</v>
      </c>
      <c r="K9" s="2">
        <v>137</v>
      </c>
      <c r="L9" s="33">
        <f t="shared" si="3"/>
        <v>0.19826338639652677</v>
      </c>
      <c r="M9" s="1" t="s">
        <v>189</v>
      </c>
      <c r="N9">
        <f t="shared" si="4"/>
        <v>8411263.9515071996</v>
      </c>
      <c r="O9" s="4"/>
      <c r="P9" s="34"/>
      <c r="Q9" s="34">
        <v>691</v>
      </c>
      <c r="R9" s="19"/>
      <c r="S9" s="34">
        <f t="shared" si="5"/>
        <v>0</v>
      </c>
      <c r="U9" s="22"/>
      <c r="V9" s="22"/>
    </row>
    <row r="10" spans="1:28" x14ac:dyDescent="0.15">
      <c r="B10" s="6"/>
      <c r="C10" s="6"/>
      <c r="D10" s="6">
        <f>AVERAGE(D3:D9)</f>
        <v>0.87312186978297146</v>
      </c>
      <c r="E10" s="6"/>
      <c r="H10">
        <f>AVERAGE(H3:H9)</f>
        <v>4.6628422129151241E-2</v>
      </c>
      <c r="I10" s="34">
        <f t="shared" si="2"/>
        <v>0.19583999999999999</v>
      </c>
      <c r="J10" s="34">
        <v>691</v>
      </c>
      <c r="K10" s="34">
        <v>119</v>
      </c>
      <c r="L10" s="33">
        <f t="shared" si="3"/>
        <v>0.17221418234442837</v>
      </c>
      <c r="M10" s="34" t="s">
        <v>230</v>
      </c>
      <c r="N10">
        <f t="shared" si="4"/>
        <v>16822527.903014399</v>
      </c>
      <c r="O10" s="4"/>
      <c r="P10" s="34"/>
      <c r="Q10" s="34">
        <v>691</v>
      </c>
      <c r="R10" s="34"/>
      <c r="S10" s="34">
        <f t="shared" si="5"/>
        <v>0</v>
      </c>
      <c r="U10" s="22"/>
      <c r="V10" s="22"/>
    </row>
    <row r="11" spans="1:28" x14ac:dyDescent="0.15">
      <c r="B11" s="6"/>
      <c r="C11" s="6"/>
      <c r="D11" s="6"/>
      <c r="E11" s="6"/>
      <c r="J11" s="6"/>
      <c r="K11" s="6"/>
      <c r="L11" s="6"/>
      <c r="M11" s="6"/>
      <c r="P11" s="6"/>
      <c r="Q11" s="6"/>
      <c r="R11" s="6"/>
      <c r="S11" s="6"/>
      <c r="U11" s="22"/>
      <c r="V11" s="22"/>
    </row>
    <row r="12" spans="1:28" x14ac:dyDescent="0.15">
      <c r="A12" t="s">
        <v>16</v>
      </c>
      <c r="B12" s="6"/>
      <c r="C12" s="6"/>
      <c r="D12" s="6"/>
      <c r="E12" s="6"/>
      <c r="I12" s="5" t="s">
        <v>12</v>
      </c>
      <c r="J12" s="6"/>
      <c r="K12" s="6"/>
      <c r="L12" s="6"/>
      <c r="M12" s="6"/>
      <c r="O12" s="5" t="s">
        <v>12</v>
      </c>
      <c r="P12" s="6"/>
      <c r="Q12" s="6"/>
      <c r="R12" s="6"/>
      <c r="S12" s="6"/>
      <c r="U12" s="22"/>
      <c r="V12" s="22"/>
    </row>
    <row r="13" spans="1:28" x14ac:dyDescent="0.15">
      <c r="A13" s="3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I13" s="3" t="s">
        <v>1</v>
      </c>
      <c r="J13" s="1" t="s">
        <v>2</v>
      </c>
      <c r="K13" s="1" t="s">
        <v>3</v>
      </c>
      <c r="L13" s="1" t="s">
        <v>4</v>
      </c>
      <c r="M13" s="1" t="s">
        <v>5</v>
      </c>
      <c r="O13" s="22" t="s">
        <v>1</v>
      </c>
      <c r="P13" s="34" t="s">
        <v>24</v>
      </c>
      <c r="Q13" s="34" t="s">
        <v>2</v>
      </c>
      <c r="R13" s="34" t="s">
        <v>3</v>
      </c>
      <c r="S13" s="34" t="s">
        <v>4</v>
      </c>
      <c r="U13" s="22"/>
      <c r="V13" s="22"/>
    </row>
    <row r="14" spans="1:28" x14ac:dyDescent="0.15">
      <c r="A14" s="4">
        <v>1E-3</v>
      </c>
      <c r="B14" s="1">
        <v>1013</v>
      </c>
      <c r="C14" s="1">
        <v>738</v>
      </c>
      <c r="D14" s="1">
        <f>C14/B14</f>
        <v>0.72852912142152026</v>
      </c>
      <c r="E14" s="1" t="s">
        <v>137</v>
      </c>
      <c r="F14" s="6">
        <v>27</v>
      </c>
      <c r="G14" s="6">
        <v>660</v>
      </c>
      <c r="H14">
        <f>F14/G14</f>
        <v>4.0909090909090909E-2</v>
      </c>
      <c r="I14" s="31">
        <v>1.5299999999999999E-3</v>
      </c>
      <c r="J14" s="1">
        <v>1063</v>
      </c>
      <c r="K14" s="1">
        <v>347</v>
      </c>
      <c r="L14" s="33">
        <f>K14/J14</f>
        <v>0.32643461900282222</v>
      </c>
      <c r="M14" s="31" t="s">
        <v>109</v>
      </c>
      <c r="N14">
        <f>I14*(POWER(2,33)-1)/100</f>
        <v>131425.99924229999</v>
      </c>
      <c r="O14" s="34">
        <f>P14/100*(2^33-1)</f>
        <v>4252777.0470176823</v>
      </c>
      <c r="P14" s="34">
        <f>U14</f>
        <v>4.950884086444008E-2</v>
      </c>
      <c r="Q14" s="34">
        <v>1063</v>
      </c>
      <c r="R14" s="34">
        <v>206</v>
      </c>
      <c r="S14" s="34">
        <f>R14/Q14</f>
        <v>0.19379115710253997</v>
      </c>
      <c r="U14" s="22">
        <f>W14/X14*0.6</f>
        <v>4.950884086444008E-2</v>
      </c>
      <c r="V14" s="22">
        <f>1-0.7*Y14/Z14</f>
        <v>0.59166666666666667</v>
      </c>
      <c r="W14">
        <v>42</v>
      </c>
      <c r="X14">
        <v>509</v>
      </c>
      <c r="Y14">
        <v>294</v>
      </c>
      <c r="Z14">
        <v>504</v>
      </c>
    </row>
    <row r="15" spans="1:28" x14ac:dyDescent="0.15">
      <c r="A15" s="4">
        <v>3.0000000000000001E-3</v>
      </c>
      <c r="B15" s="1">
        <v>1013</v>
      </c>
      <c r="C15" s="1">
        <v>718</v>
      </c>
      <c r="D15" s="31">
        <f t="shared" ref="D15:D20" si="6">C15/B15</f>
        <v>0.70878578479763077</v>
      </c>
      <c r="E15" s="1" t="s">
        <v>149</v>
      </c>
      <c r="F15" s="6">
        <v>31</v>
      </c>
      <c r="G15" s="6">
        <v>793</v>
      </c>
      <c r="H15">
        <f t="shared" ref="H15:H20" si="7">F15/G15</f>
        <v>3.9092055485498108E-2</v>
      </c>
      <c r="I15" s="4">
        <f t="shared" ref="I15:I21" si="8">I14*2</f>
        <v>3.0599999999999998E-3</v>
      </c>
      <c r="J15" s="1">
        <v>1063</v>
      </c>
      <c r="K15" s="1">
        <v>290</v>
      </c>
      <c r="L15" s="33">
        <f t="shared" ref="L15:L21" si="9">K15/J15</f>
        <v>0.27281279397930386</v>
      </c>
      <c r="M15" s="1" t="s">
        <v>132</v>
      </c>
      <c r="N15">
        <f t="shared" ref="N15:N21" si="10">I15*(POWER(2,33)-1)/100</f>
        <v>262851.99848459999</v>
      </c>
      <c r="O15" s="34">
        <f>P15/100*(2^33-1)</f>
        <v>13062100.930125738</v>
      </c>
      <c r="P15" s="34">
        <f>U15</f>
        <v>0.15206286836935168</v>
      </c>
      <c r="Q15" s="34">
        <v>1063</v>
      </c>
      <c r="R15" s="34">
        <v>156</v>
      </c>
      <c r="S15" s="34">
        <f t="shared" ref="S15:S21" si="11">R15/Q15</f>
        <v>0.14675446848541862</v>
      </c>
      <c r="U15" s="22">
        <f>W15/X15*0.6</f>
        <v>0.15206286836935168</v>
      </c>
      <c r="V15" s="22">
        <f>1-0.7*Y15/Z15</f>
        <v>0.38750000000000007</v>
      </c>
      <c r="W15">
        <v>129</v>
      </c>
      <c r="X15">
        <v>509</v>
      </c>
      <c r="Y15">
        <v>441</v>
      </c>
      <c r="Z15">
        <v>504</v>
      </c>
    </row>
    <row r="16" spans="1:28" x14ac:dyDescent="0.15">
      <c r="A16" s="4">
        <v>5.0000000000000001E-3</v>
      </c>
      <c r="B16" s="1">
        <v>1013</v>
      </c>
      <c r="C16" s="1">
        <v>698</v>
      </c>
      <c r="D16" s="31">
        <f t="shared" si="6"/>
        <v>0.68904244817374138</v>
      </c>
      <c r="E16" s="1" t="s">
        <v>162</v>
      </c>
      <c r="F16" s="6">
        <v>35</v>
      </c>
      <c r="G16" s="6">
        <v>870</v>
      </c>
      <c r="H16">
        <f t="shared" si="7"/>
        <v>4.0229885057471264E-2</v>
      </c>
      <c r="I16" s="4">
        <f t="shared" si="8"/>
        <v>6.1199999999999996E-3</v>
      </c>
      <c r="J16" s="1">
        <v>1063</v>
      </c>
      <c r="K16" s="1">
        <v>276</v>
      </c>
      <c r="L16" s="33">
        <f t="shared" si="9"/>
        <v>0.25964252116650988</v>
      </c>
      <c r="M16" s="1" t="s">
        <v>131</v>
      </c>
      <c r="N16">
        <f t="shared" si="10"/>
        <v>525703.99696919997</v>
      </c>
      <c r="O16" s="34">
        <f>P16/100*(2^33-1)</f>
        <v>30174465.714554023</v>
      </c>
      <c r="P16" s="34">
        <f>U16</f>
        <v>0.35127701375245574</v>
      </c>
      <c r="Q16" s="34">
        <v>1063</v>
      </c>
      <c r="R16" s="34">
        <v>125</v>
      </c>
      <c r="S16" s="34">
        <f t="shared" si="11"/>
        <v>0.11759172154280338</v>
      </c>
      <c r="U16" s="22">
        <f>W16/X16*0.6</f>
        <v>0.35127701375245574</v>
      </c>
      <c r="V16" s="22">
        <f>1-0.7*Y16/Z16</f>
        <v>0.36250000000000004</v>
      </c>
      <c r="W16">
        <v>298</v>
      </c>
      <c r="X16">
        <v>509</v>
      </c>
      <c r="Y16">
        <v>459</v>
      </c>
      <c r="Z16">
        <v>504</v>
      </c>
    </row>
    <row r="17" spans="1:26" x14ac:dyDescent="0.15">
      <c r="A17" s="4">
        <v>8.0000000000000002E-3</v>
      </c>
      <c r="B17" s="1">
        <v>1013</v>
      </c>
      <c r="C17" s="1">
        <v>691</v>
      </c>
      <c r="D17" s="31">
        <f t="shared" si="6"/>
        <v>0.68213228035538009</v>
      </c>
      <c r="E17" s="1" t="s">
        <v>193</v>
      </c>
      <c r="F17" s="6">
        <v>31</v>
      </c>
      <c r="G17" s="6">
        <v>776</v>
      </c>
      <c r="H17">
        <f t="shared" si="7"/>
        <v>3.994845360824742E-2</v>
      </c>
      <c r="I17" s="31">
        <f t="shared" si="8"/>
        <v>1.2239999999999999E-2</v>
      </c>
      <c r="J17" s="1">
        <v>1063</v>
      </c>
      <c r="K17" s="1">
        <v>248</v>
      </c>
      <c r="L17" s="33">
        <f t="shared" si="9"/>
        <v>0.23330197554092191</v>
      </c>
      <c r="M17" s="1" t="s">
        <v>130</v>
      </c>
      <c r="N17">
        <f t="shared" si="10"/>
        <v>1051407.9939383999</v>
      </c>
      <c r="O17" s="34">
        <f>P17/100*(2^33-1)</f>
        <v>38882533.001304515</v>
      </c>
      <c r="P17" s="34">
        <f>U17</f>
        <v>0.45265225933202358</v>
      </c>
      <c r="Q17" s="34">
        <v>1063</v>
      </c>
      <c r="R17" s="34">
        <v>107</v>
      </c>
      <c r="S17" s="34">
        <f t="shared" si="11"/>
        <v>0.1006585136406397</v>
      </c>
      <c r="U17" s="22">
        <f>W17/X17*0.6</f>
        <v>0.45265225933202358</v>
      </c>
      <c r="V17" s="22">
        <f>1-0.7*Y17/Z17</f>
        <v>0.3486111111111112</v>
      </c>
      <c r="W17">
        <v>384</v>
      </c>
      <c r="X17">
        <v>509</v>
      </c>
      <c r="Y17">
        <v>469</v>
      </c>
      <c r="Z17">
        <v>504</v>
      </c>
    </row>
    <row r="18" spans="1:26" x14ac:dyDescent="0.15">
      <c r="A18" s="4">
        <v>0.01</v>
      </c>
      <c r="B18" s="1">
        <v>1013</v>
      </c>
      <c r="C18" s="2">
        <v>663</v>
      </c>
      <c r="D18" s="31">
        <f t="shared" si="6"/>
        <v>0.65449160908193482</v>
      </c>
      <c r="E18" s="1" t="s">
        <v>112</v>
      </c>
      <c r="F18" s="6">
        <v>36</v>
      </c>
      <c r="G18" s="6">
        <v>875</v>
      </c>
      <c r="H18">
        <f t="shared" si="7"/>
        <v>4.1142857142857141E-2</v>
      </c>
      <c r="I18" s="4">
        <f t="shared" si="8"/>
        <v>2.4479999999999998E-2</v>
      </c>
      <c r="J18" s="1">
        <v>1063</v>
      </c>
      <c r="K18" s="2">
        <v>232</v>
      </c>
      <c r="L18" s="33">
        <f t="shared" si="9"/>
        <v>0.21825023518344308</v>
      </c>
      <c r="M18" s="1" t="s">
        <v>175</v>
      </c>
      <c r="N18">
        <f t="shared" si="10"/>
        <v>2102815.9878767999</v>
      </c>
      <c r="O18" s="4"/>
      <c r="P18" s="34"/>
      <c r="Q18" s="34">
        <v>1063</v>
      </c>
      <c r="R18" s="19"/>
      <c r="S18" s="52">
        <f>AVERAGE(S14:S17)</f>
        <v>0.13969896519285041</v>
      </c>
      <c r="U18" s="22"/>
      <c r="V18" s="22">
        <f>AVERAGE(V14:V17)</f>
        <v>0.4225694444444445</v>
      </c>
    </row>
    <row r="19" spans="1:26" x14ac:dyDescent="0.15">
      <c r="A19" s="4">
        <v>0.03</v>
      </c>
      <c r="B19" s="1">
        <v>1013</v>
      </c>
      <c r="C19" s="1">
        <v>414</v>
      </c>
      <c r="D19" s="31">
        <f t="shared" si="6"/>
        <v>0.40868706811451133</v>
      </c>
      <c r="E19" s="1" t="s">
        <v>204</v>
      </c>
      <c r="F19" s="6">
        <v>99</v>
      </c>
      <c r="G19" s="6">
        <v>2440</v>
      </c>
      <c r="H19">
        <f t="shared" si="7"/>
        <v>4.0573770491803281E-2</v>
      </c>
      <c r="I19" s="4">
        <f t="shared" si="8"/>
        <v>4.8959999999999997E-2</v>
      </c>
      <c r="J19" s="1">
        <v>1063</v>
      </c>
      <c r="K19" s="1">
        <v>184</v>
      </c>
      <c r="L19" s="33">
        <f t="shared" si="9"/>
        <v>0.17309501411100658</v>
      </c>
      <c r="M19" s="1" t="s">
        <v>181</v>
      </c>
      <c r="N19">
        <f t="shared" si="10"/>
        <v>4205631.9757535998</v>
      </c>
      <c r="O19" s="4"/>
      <c r="P19" s="34"/>
      <c r="Q19" s="34">
        <v>1063</v>
      </c>
      <c r="R19" s="34"/>
      <c r="S19" s="34">
        <f t="shared" si="11"/>
        <v>0</v>
      </c>
      <c r="U19" s="22"/>
      <c r="V19" s="22"/>
    </row>
    <row r="20" spans="1:26" x14ac:dyDescent="0.15">
      <c r="A20" s="4">
        <v>0.05</v>
      </c>
      <c r="B20" s="1">
        <v>1013</v>
      </c>
      <c r="C20" s="2">
        <v>279</v>
      </c>
      <c r="D20" s="31">
        <f t="shared" si="6"/>
        <v>0.27541954590325762</v>
      </c>
      <c r="E20" s="1" t="s">
        <v>215</v>
      </c>
      <c r="F20" s="6">
        <v>103</v>
      </c>
      <c r="G20" s="6">
        <v>2458</v>
      </c>
      <c r="H20">
        <f t="shared" si="7"/>
        <v>4.1903986981285599E-2</v>
      </c>
      <c r="I20" s="31">
        <f t="shared" si="8"/>
        <v>9.7919999999999993E-2</v>
      </c>
      <c r="J20" s="1">
        <v>1063</v>
      </c>
      <c r="K20" s="2">
        <v>148</v>
      </c>
      <c r="L20" s="33">
        <f t="shared" si="9"/>
        <v>0.13922859830667922</v>
      </c>
      <c r="M20" s="1" t="s">
        <v>188</v>
      </c>
      <c r="N20">
        <f t="shared" si="10"/>
        <v>8411263.9515071996</v>
      </c>
      <c r="O20" s="4"/>
      <c r="P20" s="34"/>
      <c r="Q20" s="34">
        <v>1063</v>
      </c>
      <c r="R20" s="19"/>
      <c r="S20" s="34">
        <f t="shared" si="11"/>
        <v>0</v>
      </c>
      <c r="U20" s="22"/>
      <c r="V20" s="22"/>
    </row>
    <row r="21" spans="1:26" x14ac:dyDescent="0.15">
      <c r="B21" s="6"/>
      <c r="C21" s="6"/>
      <c r="D21" s="6">
        <f>AVERAGE(D14:D20)</f>
        <v>0.59244112254971093</v>
      </c>
      <c r="E21" s="6"/>
      <c r="H21">
        <f>AVERAGE(H14:H20)</f>
        <v>4.0542871382321967E-2</v>
      </c>
      <c r="I21" s="34">
        <f t="shared" si="8"/>
        <v>0.19583999999999999</v>
      </c>
      <c r="J21" s="34">
        <v>1063</v>
      </c>
      <c r="K21" s="34">
        <v>130</v>
      </c>
      <c r="L21" s="33">
        <f t="shared" si="9"/>
        <v>0.12229539040451552</v>
      </c>
      <c r="M21" s="34" t="s">
        <v>231</v>
      </c>
      <c r="N21">
        <f t="shared" si="10"/>
        <v>16822527.903014399</v>
      </c>
      <c r="O21" s="4"/>
      <c r="P21" s="34"/>
      <c r="Q21" s="34">
        <v>1063</v>
      </c>
      <c r="R21" s="34"/>
      <c r="S21" s="34">
        <f t="shared" si="11"/>
        <v>0</v>
      </c>
      <c r="U21" s="22"/>
      <c r="V21" s="22"/>
    </row>
    <row r="22" spans="1:26" x14ac:dyDescent="0.15">
      <c r="B22" s="6"/>
      <c r="C22" s="6"/>
      <c r="D22" s="6"/>
      <c r="E22" s="6"/>
      <c r="J22" s="6"/>
      <c r="K22" s="6"/>
      <c r="L22" s="6"/>
      <c r="M22" s="6"/>
      <c r="P22" s="6"/>
      <c r="Q22" s="6"/>
      <c r="R22" s="6"/>
      <c r="S22" s="6"/>
      <c r="U22" s="22"/>
      <c r="V22" s="22"/>
    </row>
    <row r="23" spans="1:26" x14ac:dyDescent="0.15">
      <c r="A23" s="5" t="s">
        <v>6</v>
      </c>
      <c r="B23" s="6"/>
      <c r="C23" s="6"/>
      <c r="D23" s="6"/>
      <c r="E23" s="6"/>
      <c r="I23" s="5" t="s">
        <v>13</v>
      </c>
      <c r="J23" s="6"/>
      <c r="K23" s="6"/>
      <c r="L23" s="6"/>
      <c r="M23" s="6"/>
      <c r="O23" s="5" t="s">
        <v>13</v>
      </c>
      <c r="P23" s="6"/>
      <c r="Q23" s="6"/>
      <c r="R23" s="6"/>
      <c r="S23" s="6"/>
      <c r="U23" s="22"/>
      <c r="V23" s="22"/>
    </row>
    <row r="24" spans="1:26" x14ac:dyDescent="0.15">
      <c r="A24" s="3" t="s">
        <v>1</v>
      </c>
      <c r="B24" s="1" t="s">
        <v>2</v>
      </c>
      <c r="C24" s="1" t="s">
        <v>3</v>
      </c>
      <c r="D24" s="1" t="s">
        <v>4</v>
      </c>
      <c r="E24" s="1" t="s">
        <v>5</v>
      </c>
      <c r="I24" s="3" t="s">
        <v>1</v>
      </c>
      <c r="J24" s="1" t="s">
        <v>2</v>
      </c>
      <c r="K24" s="1" t="s">
        <v>3</v>
      </c>
      <c r="L24" s="1" t="s">
        <v>4</v>
      </c>
      <c r="M24" s="1" t="s">
        <v>5</v>
      </c>
      <c r="O24" s="22" t="s">
        <v>1</v>
      </c>
      <c r="P24" s="34" t="s">
        <v>24</v>
      </c>
      <c r="Q24" s="34" t="s">
        <v>2</v>
      </c>
      <c r="R24" s="34" t="s">
        <v>3</v>
      </c>
      <c r="S24" s="34" t="s">
        <v>4</v>
      </c>
      <c r="U24" s="22"/>
      <c r="V24" s="22"/>
    </row>
    <row r="25" spans="1:26" x14ac:dyDescent="0.15">
      <c r="A25" s="4">
        <v>1E-3</v>
      </c>
      <c r="B25" s="1">
        <v>1434</v>
      </c>
      <c r="C25" s="1">
        <v>960</v>
      </c>
      <c r="D25" s="1">
        <f>C25/B25</f>
        <v>0.66945606694560666</v>
      </c>
      <c r="E25" s="1" t="s">
        <v>138</v>
      </c>
      <c r="F25" s="6">
        <v>133</v>
      </c>
      <c r="G25" s="6">
        <v>2516</v>
      </c>
      <c r="H25">
        <f>F25/G25</f>
        <v>5.2861685214626392E-2</v>
      </c>
      <c r="I25" s="31">
        <v>1.5299999999999999E-3</v>
      </c>
      <c r="J25" s="1">
        <v>1128</v>
      </c>
      <c r="K25" s="1">
        <v>392</v>
      </c>
      <c r="L25" s="33">
        <f>K25/J25</f>
        <v>0.3475177304964539</v>
      </c>
      <c r="M25" s="1" t="s">
        <v>110</v>
      </c>
      <c r="N25">
        <f>I25*(POWER(2,33)-1)/100</f>
        <v>131425.99924229999</v>
      </c>
      <c r="O25" s="34">
        <f>P25/100*(2^33-1)</f>
        <v>4354033.6433752459</v>
      </c>
      <c r="P25" s="34">
        <f>U25</f>
        <v>5.0687622789783886E-2</v>
      </c>
      <c r="Q25" s="34">
        <v>1128</v>
      </c>
      <c r="R25" s="34">
        <v>209</v>
      </c>
      <c r="S25" s="34">
        <f>R25/Q25</f>
        <v>0.18528368794326242</v>
      </c>
      <c r="U25" s="22">
        <f>W25/X25*0.6</f>
        <v>5.0687622789783886E-2</v>
      </c>
      <c r="V25" s="22">
        <f>1-0.7*Y25/Z25</f>
        <v>0.83888888888888891</v>
      </c>
      <c r="W25">
        <v>43</v>
      </c>
      <c r="X25">
        <v>509</v>
      </c>
      <c r="Y25">
        <v>116</v>
      </c>
      <c r="Z25">
        <v>504</v>
      </c>
    </row>
    <row r="26" spans="1:26" x14ac:dyDescent="0.15">
      <c r="A26" s="4">
        <v>3.0000000000000001E-3</v>
      </c>
      <c r="B26" s="1">
        <v>1434</v>
      </c>
      <c r="C26" s="1">
        <v>952</v>
      </c>
      <c r="D26" s="31">
        <f t="shared" ref="D26:D31" si="12">C26/B26</f>
        <v>0.66387726638772659</v>
      </c>
      <c r="E26" s="1" t="s">
        <v>150</v>
      </c>
      <c r="F26" s="6">
        <v>138</v>
      </c>
      <c r="G26" s="6">
        <v>2632</v>
      </c>
      <c r="H26">
        <f t="shared" ref="H26:H31" si="13">F26/G26</f>
        <v>5.243161094224924E-2</v>
      </c>
      <c r="I26" s="4">
        <f t="shared" ref="I26:I32" si="14">I25*2</f>
        <v>3.0599999999999998E-3</v>
      </c>
      <c r="J26" s="1">
        <v>1128</v>
      </c>
      <c r="K26" s="1">
        <v>351</v>
      </c>
      <c r="L26" s="33">
        <f t="shared" ref="L26:L32" si="15">K26/J26</f>
        <v>0.31117021276595747</v>
      </c>
      <c r="M26" s="1" t="s">
        <v>126</v>
      </c>
      <c r="N26">
        <f t="shared" ref="N26:N32" si="16">I26*(POWER(2,33)-1)/100</f>
        <v>262851.99848459999</v>
      </c>
      <c r="O26" s="34">
        <f>P26/100*(2^33-1)</f>
        <v>21466398.427803535</v>
      </c>
      <c r="P26" s="34">
        <f>U26</f>
        <v>0.24990176817288801</v>
      </c>
      <c r="Q26" s="34">
        <v>1128</v>
      </c>
      <c r="R26" s="34">
        <v>149</v>
      </c>
      <c r="S26" s="34">
        <f t="shared" ref="S26:S32" si="17">R26/Q26</f>
        <v>0.13209219858156029</v>
      </c>
      <c r="U26" s="22">
        <f>W26/X26*0.6</f>
        <v>0.24990176817288801</v>
      </c>
      <c r="V26" s="22">
        <f>1-0.7*Y26/Z26</f>
        <v>0.74583333333333335</v>
      </c>
      <c r="W26">
        <v>212</v>
      </c>
      <c r="X26">
        <v>509</v>
      </c>
      <c r="Y26">
        <v>183</v>
      </c>
      <c r="Z26">
        <v>504</v>
      </c>
    </row>
    <row r="27" spans="1:26" x14ac:dyDescent="0.15">
      <c r="A27" s="4">
        <v>5.0000000000000001E-3</v>
      </c>
      <c r="B27" s="1">
        <v>1434</v>
      </c>
      <c r="C27" s="1">
        <v>940</v>
      </c>
      <c r="D27" s="31">
        <f t="shared" si="12"/>
        <v>0.6555090655509066</v>
      </c>
      <c r="E27" s="1" t="s">
        <v>163</v>
      </c>
      <c r="F27" s="6">
        <v>138</v>
      </c>
      <c r="G27" s="6">
        <v>2681</v>
      </c>
      <c r="H27">
        <f t="shared" si="13"/>
        <v>5.1473330846698993E-2</v>
      </c>
      <c r="I27" s="4">
        <f t="shared" si="14"/>
        <v>6.1199999999999996E-3</v>
      </c>
      <c r="J27" s="1">
        <v>1128</v>
      </c>
      <c r="K27" s="1">
        <v>313</v>
      </c>
      <c r="L27" s="33">
        <f t="shared" si="15"/>
        <v>0.2774822695035461</v>
      </c>
      <c r="M27" s="1" t="s">
        <v>127</v>
      </c>
      <c r="N27">
        <f t="shared" si="16"/>
        <v>525703.99696919997</v>
      </c>
      <c r="O27" s="34">
        <f>P27/100*(2^33-1)</f>
        <v>25719175.474821217</v>
      </c>
      <c r="P27" s="34">
        <f>U27</f>
        <v>0.29941060903732808</v>
      </c>
      <c r="Q27" s="34">
        <v>1128</v>
      </c>
      <c r="R27" s="34">
        <v>125</v>
      </c>
      <c r="S27" s="34">
        <f t="shared" si="17"/>
        <v>0.11081560283687943</v>
      </c>
      <c r="U27" s="22">
        <f>W27/X27*0.6</f>
        <v>0.29941060903732808</v>
      </c>
      <c r="V27" s="22">
        <f>1-0.7*Y27/Z27</f>
        <v>0.59722222222222221</v>
      </c>
      <c r="W27">
        <v>254</v>
      </c>
      <c r="X27">
        <v>509</v>
      </c>
      <c r="Y27">
        <v>290</v>
      </c>
      <c r="Z27">
        <v>504</v>
      </c>
    </row>
    <row r="28" spans="1:26" x14ac:dyDescent="0.15">
      <c r="A28" s="4">
        <v>8.0000000000000002E-3</v>
      </c>
      <c r="B28" s="1">
        <v>1434</v>
      </c>
      <c r="C28" s="1">
        <v>935</v>
      </c>
      <c r="D28" s="31">
        <f t="shared" si="12"/>
        <v>0.65202231520223153</v>
      </c>
      <c r="E28" s="1" t="s">
        <v>194</v>
      </c>
      <c r="F28" s="6">
        <v>152</v>
      </c>
      <c r="G28" s="6">
        <v>2962</v>
      </c>
      <c r="H28">
        <f t="shared" si="13"/>
        <v>5.1316677920324107E-2</v>
      </c>
      <c r="I28" s="31">
        <f t="shared" si="14"/>
        <v>1.2239999999999999E-2</v>
      </c>
      <c r="J28" s="1">
        <v>1128</v>
      </c>
      <c r="K28" s="1">
        <v>275</v>
      </c>
      <c r="L28" s="33">
        <f t="shared" si="15"/>
        <v>0.24379432624113476</v>
      </c>
      <c r="M28" s="1" t="s">
        <v>133</v>
      </c>
      <c r="N28">
        <f t="shared" si="16"/>
        <v>1051407.9939383999</v>
      </c>
      <c r="O28" s="34">
        <f>P28/100*(2^33-1)</f>
        <v>38781276.404946961</v>
      </c>
      <c r="P28" s="34">
        <f>U28</f>
        <v>0.45147347740667976</v>
      </c>
      <c r="Q28" s="34">
        <v>1128</v>
      </c>
      <c r="R28" s="34">
        <v>119</v>
      </c>
      <c r="S28" s="34">
        <f t="shared" si="17"/>
        <v>0.10549645390070922</v>
      </c>
      <c r="U28" s="22">
        <f>W28/X28*0.6</f>
        <v>0.45147347740667976</v>
      </c>
      <c r="V28" s="22">
        <f>1-0.7*Y28/Z28</f>
        <v>0.50972222222222219</v>
      </c>
      <c r="W28">
        <v>383</v>
      </c>
      <c r="X28">
        <v>509</v>
      </c>
      <c r="Y28">
        <v>353</v>
      </c>
      <c r="Z28">
        <v>504</v>
      </c>
    </row>
    <row r="29" spans="1:26" x14ac:dyDescent="0.15">
      <c r="A29" s="4">
        <v>0.01</v>
      </c>
      <c r="B29" s="1">
        <v>1434</v>
      </c>
      <c r="C29" s="2">
        <v>928</v>
      </c>
      <c r="D29" s="31">
        <f t="shared" si="12"/>
        <v>0.64714086471408649</v>
      </c>
      <c r="E29" s="1" t="s">
        <v>113</v>
      </c>
      <c r="F29" s="6">
        <v>152</v>
      </c>
      <c r="G29" s="6">
        <v>3066</v>
      </c>
      <c r="H29">
        <f t="shared" si="13"/>
        <v>4.9575994781474231E-2</v>
      </c>
      <c r="I29" s="4">
        <f t="shared" si="14"/>
        <v>2.4479999999999998E-2</v>
      </c>
      <c r="J29" s="1">
        <v>1128</v>
      </c>
      <c r="K29" s="2">
        <v>244</v>
      </c>
      <c r="L29" s="33">
        <f t="shared" si="15"/>
        <v>0.21631205673758866</v>
      </c>
      <c r="M29" s="1" t="s">
        <v>176</v>
      </c>
      <c r="N29">
        <f t="shared" si="16"/>
        <v>2102815.9878767999</v>
      </c>
      <c r="O29" s="4"/>
      <c r="P29" s="34"/>
      <c r="Q29" s="34">
        <v>1128</v>
      </c>
      <c r="R29" s="19"/>
      <c r="S29" s="34">
        <f>AVERAGE(S25:S28)</f>
        <v>0.13342198581560283</v>
      </c>
      <c r="U29" s="22"/>
      <c r="V29" s="22">
        <f>AVERAGE(V25:V28)</f>
        <v>0.67291666666666661</v>
      </c>
    </row>
    <row r="30" spans="1:26" x14ac:dyDescent="0.15">
      <c r="A30" s="4">
        <v>0.03</v>
      </c>
      <c r="B30" s="1">
        <v>1434</v>
      </c>
      <c r="C30" s="1">
        <v>904</v>
      </c>
      <c r="D30" s="31">
        <f t="shared" si="12"/>
        <v>0.63040446304044628</v>
      </c>
      <c r="E30" s="1" t="s">
        <v>205</v>
      </c>
      <c r="F30" s="6">
        <v>178</v>
      </c>
      <c r="G30" s="6">
        <v>4084</v>
      </c>
      <c r="H30">
        <f t="shared" si="13"/>
        <v>4.35847208619001E-2</v>
      </c>
      <c r="I30" s="4">
        <f t="shared" si="14"/>
        <v>4.8959999999999997E-2</v>
      </c>
      <c r="J30" s="1">
        <v>1128</v>
      </c>
      <c r="K30" s="1">
        <v>217</v>
      </c>
      <c r="L30" s="33">
        <f t="shared" si="15"/>
        <v>0.19237588652482268</v>
      </c>
      <c r="M30" s="1" t="s">
        <v>182</v>
      </c>
      <c r="N30">
        <f t="shared" si="16"/>
        <v>4205631.9757535998</v>
      </c>
      <c r="O30" s="4"/>
      <c r="P30" s="34"/>
      <c r="Q30" s="34">
        <v>1128</v>
      </c>
      <c r="R30" s="34"/>
      <c r="S30" s="34">
        <f t="shared" si="17"/>
        <v>0</v>
      </c>
      <c r="U30" s="22"/>
      <c r="V30" s="22"/>
    </row>
    <row r="31" spans="1:26" x14ac:dyDescent="0.15">
      <c r="A31" s="4">
        <v>0.05</v>
      </c>
      <c r="B31" s="1">
        <v>1434</v>
      </c>
      <c r="C31" s="2">
        <v>873</v>
      </c>
      <c r="D31" s="31">
        <f t="shared" si="12"/>
        <v>0.60878661087866104</v>
      </c>
      <c r="E31" s="1" t="s">
        <v>216</v>
      </c>
      <c r="F31" s="6">
        <v>191</v>
      </c>
      <c r="G31" s="6">
        <v>5054</v>
      </c>
      <c r="H31">
        <f t="shared" si="13"/>
        <v>3.7791848041155519E-2</v>
      </c>
      <c r="I31" s="31">
        <f t="shared" si="14"/>
        <v>9.7919999999999993E-2</v>
      </c>
      <c r="J31" s="1">
        <v>1128</v>
      </c>
      <c r="K31" s="2">
        <v>175</v>
      </c>
      <c r="L31" s="33">
        <f t="shared" si="15"/>
        <v>0.15514184397163119</v>
      </c>
      <c r="M31" s="1" t="s">
        <v>187</v>
      </c>
      <c r="N31">
        <f t="shared" si="16"/>
        <v>8411263.9515071996</v>
      </c>
      <c r="O31" s="4"/>
      <c r="P31" s="34"/>
      <c r="Q31" s="34">
        <v>1128</v>
      </c>
      <c r="R31" s="19"/>
      <c r="S31" s="34">
        <f t="shared" si="17"/>
        <v>0</v>
      </c>
      <c r="U31" s="22"/>
      <c r="V31" s="22"/>
    </row>
    <row r="32" spans="1:26" x14ac:dyDescent="0.15">
      <c r="B32" s="6"/>
      <c r="C32" s="6"/>
      <c r="D32" s="6">
        <f>AVERAGE(D25:D31)</f>
        <v>0.64674237895995212</v>
      </c>
      <c r="E32" s="6"/>
      <c r="H32">
        <f>AVERAGE(H25:H31)</f>
        <v>4.8433695515489802E-2</v>
      </c>
      <c r="I32" s="34">
        <f t="shared" si="14"/>
        <v>0.19583999999999999</v>
      </c>
      <c r="J32" s="34">
        <v>1128</v>
      </c>
      <c r="K32" s="34">
        <v>149</v>
      </c>
      <c r="L32" s="33">
        <f t="shared" si="15"/>
        <v>0.13209219858156029</v>
      </c>
      <c r="M32" s="34" t="s">
        <v>232</v>
      </c>
      <c r="N32">
        <f t="shared" si="16"/>
        <v>16822527.903014399</v>
      </c>
      <c r="O32" s="4"/>
      <c r="P32" s="34"/>
      <c r="Q32" s="34">
        <v>1128</v>
      </c>
      <c r="R32" s="34"/>
      <c r="S32" s="34">
        <f t="shared" si="17"/>
        <v>0</v>
      </c>
      <c r="U32" s="22"/>
      <c r="V32" s="22"/>
    </row>
    <row r="33" spans="1:26" x14ac:dyDescent="0.15">
      <c r="B33" s="6"/>
      <c r="C33" s="6"/>
      <c r="D33" s="6"/>
      <c r="E33" s="6"/>
      <c r="J33" s="6"/>
      <c r="K33" s="6"/>
      <c r="L33" s="6"/>
      <c r="M33" s="6"/>
      <c r="P33" s="6"/>
      <c r="Q33" s="6"/>
      <c r="R33" s="6"/>
      <c r="S33" s="6"/>
      <c r="U33" s="22"/>
      <c r="V33" s="22"/>
    </row>
    <row r="34" spans="1:26" x14ac:dyDescent="0.15">
      <c r="A34" s="5" t="s">
        <v>7</v>
      </c>
      <c r="B34" s="6"/>
      <c r="C34" s="6"/>
      <c r="D34" s="6"/>
      <c r="E34" s="6"/>
      <c r="I34" s="5" t="s">
        <v>14</v>
      </c>
      <c r="J34" s="6"/>
      <c r="K34" s="6"/>
      <c r="L34" s="6"/>
      <c r="M34" s="6"/>
      <c r="O34" s="5" t="s">
        <v>14</v>
      </c>
      <c r="P34" s="6"/>
      <c r="Q34" s="6"/>
      <c r="R34" s="6"/>
      <c r="S34" s="6"/>
      <c r="U34" s="22"/>
      <c r="V34" s="22"/>
    </row>
    <row r="35" spans="1:26" x14ac:dyDescent="0.15">
      <c r="A35" s="3" t="s">
        <v>1</v>
      </c>
      <c r="B35" s="1" t="s">
        <v>2</v>
      </c>
      <c r="C35" s="1" t="s">
        <v>3</v>
      </c>
      <c r="D35" s="1" t="s">
        <v>4</v>
      </c>
      <c r="E35" s="1" t="s">
        <v>5</v>
      </c>
      <c r="I35" s="3" t="s">
        <v>1</v>
      </c>
      <c r="J35" s="1" t="s">
        <v>2</v>
      </c>
      <c r="K35" s="1" t="s">
        <v>3</v>
      </c>
      <c r="L35" s="1" t="s">
        <v>4</v>
      </c>
      <c r="M35" s="1" t="s">
        <v>5</v>
      </c>
      <c r="O35" s="22" t="s">
        <v>1</v>
      </c>
      <c r="P35" s="34" t="s">
        <v>24</v>
      </c>
      <c r="Q35" s="34" t="s">
        <v>2</v>
      </c>
      <c r="R35" s="34" t="s">
        <v>3</v>
      </c>
      <c r="S35" s="34" t="s">
        <v>4</v>
      </c>
      <c r="U35" s="22"/>
      <c r="V35" s="22"/>
    </row>
    <row r="36" spans="1:26" x14ac:dyDescent="0.15">
      <c r="A36" s="4">
        <v>1E-3</v>
      </c>
      <c r="B36" s="1">
        <v>1615</v>
      </c>
      <c r="C36" s="1">
        <v>1583</v>
      </c>
      <c r="D36" s="1">
        <f>C36/B36</f>
        <v>0.98018575851393186</v>
      </c>
      <c r="E36" s="1" t="s">
        <v>139</v>
      </c>
      <c r="F36" s="6">
        <v>81</v>
      </c>
      <c r="G36" s="6">
        <v>3371</v>
      </c>
      <c r="H36">
        <f>F36/G36</f>
        <v>2.4028478196380897E-2</v>
      </c>
      <c r="I36" s="1">
        <v>3.0599999999999998E-3</v>
      </c>
      <c r="J36" s="1">
        <v>1276</v>
      </c>
      <c r="K36" s="1">
        <v>995</v>
      </c>
      <c r="L36" s="33">
        <f>K36/J36</f>
        <v>0.77978056426332287</v>
      </c>
      <c r="M36" s="1" t="s">
        <v>122</v>
      </c>
      <c r="N36">
        <f>I36*(POWER(2,16)-1)/100</f>
        <v>2.0053709999999998</v>
      </c>
      <c r="O36" s="34">
        <f>P36/100*(2^16-1)</f>
        <v>98.881886051080528</v>
      </c>
      <c r="P36" s="34">
        <f>U36</f>
        <v>0.15088408644400783</v>
      </c>
      <c r="Q36" s="34">
        <v>1276</v>
      </c>
      <c r="R36" s="34">
        <v>704</v>
      </c>
      <c r="S36" s="34">
        <f>R36/Q36</f>
        <v>0.55172413793103448</v>
      </c>
      <c r="U36" s="22">
        <f>W36/X36*0.6</f>
        <v>0.15088408644400783</v>
      </c>
      <c r="V36" s="22">
        <f>1-0.7*Y36/Z36</f>
        <v>0.66250000000000009</v>
      </c>
      <c r="W36">
        <v>128</v>
      </c>
      <c r="X36">
        <v>509</v>
      </c>
      <c r="Y36">
        <v>243</v>
      </c>
      <c r="Z36">
        <v>504</v>
      </c>
    </row>
    <row r="37" spans="1:26" x14ac:dyDescent="0.15">
      <c r="A37" s="4">
        <v>3.0000000000000001E-3</v>
      </c>
      <c r="B37" s="1">
        <v>1615</v>
      </c>
      <c r="C37" s="1">
        <v>1572</v>
      </c>
      <c r="D37" s="31">
        <f t="shared" ref="D37:D42" si="18">C37/B37</f>
        <v>0.97337461300309602</v>
      </c>
      <c r="E37" s="1" t="s">
        <v>151</v>
      </c>
      <c r="F37" s="6">
        <v>96</v>
      </c>
      <c r="G37" s="6">
        <v>3999</v>
      </c>
      <c r="H37">
        <f t="shared" ref="H37:H42" si="19">F37/G37</f>
        <v>2.4006001500375095E-2</v>
      </c>
      <c r="I37" s="4">
        <f t="shared" ref="I37:I42" si="20">I36*2</f>
        <v>6.1199999999999996E-3</v>
      </c>
      <c r="J37" s="1">
        <v>1276</v>
      </c>
      <c r="K37" s="1">
        <v>963</v>
      </c>
      <c r="L37" s="33">
        <f t="shared" ref="L37:L42" si="21">K37/J37</f>
        <v>0.75470219435736674</v>
      </c>
      <c r="M37" s="1" t="s">
        <v>124</v>
      </c>
      <c r="N37">
        <f t="shared" ref="N37:N42" si="22">I37*(POWER(2,16)-1)/100</f>
        <v>4.0107419999999996</v>
      </c>
      <c r="O37" s="34">
        <f>P37/100*(2^16-1)</f>
        <v>329.09127701375246</v>
      </c>
      <c r="P37" s="34">
        <f>U37</f>
        <v>0.50216110019646365</v>
      </c>
      <c r="Q37" s="34">
        <v>1276</v>
      </c>
      <c r="R37" s="34">
        <v>521</v>
      </c>
      <c r="S37" s="34">
        <f t="shared" ref="S37:S42" si="23">R37/Q37</f>
        <v>0.40830721003134796</v>
      </c>
      <c r="U37" s="22">
        <f>W37/X37*0.6</f>
        <v>0.50216110019646365</v>
      </c>
      <c r="V37" s="22">
        <f>1-0.7*Y37/Z37</f>
        <v>0.58888888888888891</v>
      </c>
      <c r="W37">
        <v>426</v>
      </c>
      <c r="X37">
        <v>509</v>
      </c>
      <c r="Y37">
        <v>296</v>
      </c>
      <c r="Z37">
        <v>504</v>
      </c>
    </row>
    <row r="38" spans="1:26" x14ac:dyDescent="0.15">
      <c r="A38" s="4">
        <v>5.0000000000000001E-3</v>
      </c>
      <c r="B38" s="1">
        <v>1615</v>
      </c>
      <c r="C38" s="1">
        <v>1567</v>
      </c>
      <c r="D38" s="31">
        <f t="shared" si="18"/>
        <v>0.97027863777089784</v>
      </c>
      <c r="E38" s="1" t="s">
        <v>164</v>
      </c>
      <c r="F38" s="6">
        <v>100</v>
      </c>
      <c r="G38" s="6">
        <v>4176</v>
      </c>
      <c r="H38">
        <f t="shared" si="19"/>
        <v>2.3946360153256706E-2</v>
      </c>
      <c r="I38" s="31">
        <f t="shared" si="20"/>
        <v>1.2239999999999999E-2</v>
      </c>
      <c r="J38" s="1">
        <v>1276</v>
      </c>
      <c r="K38" s="1">
        <v>929</v>
      </c>
      <c r="L38" s="33">
        <f t="shared" si="21"/>
        <v>0.7280564263322884</v>
      </c>
      <c r="M38" s="1" t="s">
        <v>134</v>
      </c>
      <c r="N38">
        <f t="shared" si="22"/>
        <v>8.0214839999999992</v>
      </c>
      <c r="O38" s="4"/>
      <c r="P38" s="34"/>
      <c r="Q38" s="34">
        <v>1276</v>
      </c>
      <c r="R38" s="34"/>
      <c r="S38" s="34">
        <f>R38/Q38+AVERAGE(S36:S37)</f>
        <v>0.48001567398119122</v>
      </c>
      <c r="U38" s="22"/>
      <c r="V38" s="22">
        <f>AVERAGE(V36:V37)</f>
        <v>0.62569444444444455</v>
      </c>
    </row>
    <row r="39" spans="1:26" x14ac:dyDescent="0.15">
      <c r="A39" s="4">
        <v>8.0000000000000002E-3</v>
      </c>
      <c r="B39" s="1">
        <v>1615</v>
      </c>
      <c r="C39" s="1">
        <v>1556</v>
      </c>
      <c r="D39" s="31">
        <f t="shared" si="18"/>
        <v>0.9634674922600619</v>
      </c>
      <c r="E39" s="1" t="s">
        <v>195</v>
      </c>
      <c r="F39" s="6">
        <v>119</v>
      </c>
      <c r="G39" s="6">
        <v>5003</v>
      </c>
      <c r="H39">
        <f t="shared" si="19"/>
        <v>2.3785728562862284E-2</v>
      </c>
      <c r="I39" s="4">
        <f t="shared" si="20"/>
        <v>2.4479999999999998E-2</v>
      </c>
      <c r="J39" s="1">
        <v>1276</v>
      </c>
      <c r="K39" s="1">
        <v>872</v>
      </c>
      <c r="L39" s="33">
        <f t="shared" si="21"/>
        <v>0.68338557993730409</v>
      </c>
      <c r="M39" s="1" t="s">
        <v>177</v>
      </c>
      <c r="N39">
        <f t="shared" si="22"/>
        <v>16.042967999999998</v>
      </c>
      <c r="O39" s="4"/>
      <c r="P39" s="34"/>
      <c r="Q39" s="34">
        <v>1276</v>
      </c>
      <c r="R39" s="34"/>
      <c r="S39" s="34">
        <f t="shared" si="23"/>
        <v>0</v>
      </c>
      <c r="U39" s="22"/>
      <c r="V39" s="22"/>
    </row>
    <row r="40" spans="1:26" x14ac:dyDescent="0.15">
      <c r="A40" s="4">
        <v>0.01</v>
      </c>
      <c r="B40" s="1">
        <v>1615</v>
      </c>
      <c r="C40" s="2">
        <v>1549</v>
      </c>
      <c r="D40" s="31">
        <f t="shared" si="18"/>
        <v>0.95913312693498454</v>
      </c>
      <c r="E40" s="1" t="s">
        <v>114</v>
      </c>
      <c r="F40" s="6">
        <v>130</v>
      </c>
      <c r="G40" s="6">
        <v>5414</v>
      </c>
      <c r="H40">
        <f t="shared" si="19"/>
        <v>2.4011821204285185E-2</v>
      </c>
      <c r="I40" s="31">
        <f t="shared" si="20"/>
        <v>4.8959999999999997E-2</v>
      </c>
      <c r="J40" s="1">
        <v>1276</v>
      </c>
      <c r="K40" s="1">
        <v>790</v>
      </c>
      <c r="L40" s="33">
        <f t="shared" si="21"/>
        <v>0.61912225705329149</v>
      </c>
      <c r="M40" s="1" t="s">
        <v>183</v>
      </c>
      <c r="N40">
        <f t="shared" si="22"/>
        <v>32.085935999999997</v>
      </c>
      <c r="O40" s="4"/>
      <c r="P40" s="34"/>
      <c r="Q40" s="34">
        <v>1276</v>
      </c>
      <c r="R40" s="34"/>
      <c r="S40" s="34">
        <f t="shared" si="23"/>
        <v>0</v>
      </c>
      <c r="U40" s="22"/>
      <c r="V40" s="22"/>
    </row>
    <row r="41" spans="1:26" x14ac:dyDescent="0.15">
      <c r="A41" s="4">
        <v>0.03</v>
      </c>
      <c r="B41" s="1">
        <v>1615</v>
      </c>
      <c r="C41" s="1">
        <v>1482</v>
      </c>
      <c r="D41" s="31">
        <f t="shared" si="18"/>
        <v>0.91764705882352937</v>
      </c>
      <c r="E41" s="1" t="s">
        <v>207</v>
      </c>
      <c r="F41" s="6">
        <v>186</v>
      </c>
      <c r="G41" s="6">
        <v>8069</v>
      </c>
      <c r="H41">
        <f t="shared" si="19"/>
        <v>2.3051183541950675E-2</v>
      </c>
      <c r="I41" s="4">
        <f t="shared" si="20"/>
        <v>9.7919999999999993E-2</v>
      </c>
      <c r="J41" s="1">
        <v>1276</v>
      </c>
      <c r="K41" s="2">
        <v>750</v>
      </c>
      <c r="L41" s="33">
        <f t="shared" si="21"/>
        <v>0.58777429467084641</v>
      </c>
      <c r="M41" s="1" t="s">
        <v>186</v>
      </c>
      <c r="N41">
        <f t="shared" si="22"/>
        <v>64.171871999999993</v>
      </c>
      <c r="O41" s="4"/>
      <c r="P41" s="34"/>
      <c r="Q41" s="34">
        <v>1276</v>
      </c>
      <c r="R41" s="34"/>
      <c r="S41" s="34">
        <f t="shared" si="23"/>
        <v>0</v>
      </c>
      <c r="U41" s="22"/>
      <c r="V41" s="22"/>
    </row>
    <row r="42" spans="1:26" x14ac:dyDescent="0.15">
      <c r="A42" s="4">
        <v>0.05</v>
      </c>
      <c r="B42" s="1">
        <v>1615</v>
      </c>
      <c r="C42" s="2">
        <v>1278</v>
      </c>
      <c r="D42" s="31">
        <f t="shared" si="18"/>
        <v>0.79133126934984521</v>
      </c>
      <c r="E42" s="1" t="s">
        <v>217</v>
      </c>
      <c r="F42" s="6">
        <v>366</v>
      </c>
      <c r="G42" s="6">
        <v>17473</v>
      </c>
      <c r="H42">
        <f t="shared" si="19"/>
        <v>2.0946603330853318E-2</v>
      </c>
      <c r="I42" s="31">
        <f t="shared" si="20"/>
        <v>0.19583999999999999</v>
      </c>
      <c r="J42" s="1">
        <v>1276</v>
      </c>
      <c r="K42" s="2">
        <v>670</v>
      </c>
      <c r="L42" s="33">
        <f t="shared" si="21"/>
        <v>0.52507836990595613</v>
      </c>
      <c r="M42" s="1" t="s">
        <v>190</v>
      </c>
      <c r="N42">
        <f t="shared" si="22"/>
        <v>128.34374399999999</v>
      </c>
      <c r="O42" s="4"/>
      <c r="P42" s="34"/>
      <c r="Q42" s="34">
        <v>1276</v>
      </c>
      <c r="R42" s="19"/>
      <c r="S42" s="34">
        <f t="shared" si="23"/>
        <v>0</v>
      </c>
      <c r="U42" s="22"/>
      <c r="V42" s="22"/>
    </row>
    <row r="43" spans="1:26" x14ac:dyDescent="0.15">
      <c r="B43" s="6"/>
      <c r="C43" s="6"/>
      <c r="D43" s="6">
        <f>AVERAGE(D36:D42)</f>
        <v>0.93648827952233538</v>
      </c>
      <c r="E43" s="6"/>
      <c r="H43">
        <f>AVERAGE(H36:H42)</f>
        <v>2.3396596641423455E-2</v>
      </c>
      <c r="J43" s="6"/>
      <c r="K43" s="6"/>
      <c r="L43" s="6"/>
      <c r="M43" s="6"/>
      <c r="P43" s="34"/>
      <c r="Q43" s="6"/>
      <c r="R43" s="6"/>
      <c r="S43" s="6"/>
      <c r="U43" s="22"/>
      <c r="V43" s="22"/>
    </row>
    <row r="44" spans="1:26" x14ac:dyDescent="0.15">
      <c r="B44" s="6"/>
      <c r="C44" s="6"/>
      <c r="D44" s="6"/>
      <c r="E44" s="6"/>
      <c r="J44" s="6"/>
      <c r="K44" s="6"/>
      <c r="L44" s="6"/>
      <c r="M44" s="6"/>
      <c r="P44" s="6"/>
      <c r="Q44" s="6"/>
      <c r="R44" s="6"/>
      <c r="S44" s="6"/>
      <c r="U44" s="22"/>
      <c r="V44" s="22"/>
    </row>
    <row r="45" spans="1:26" x14ac:dyDescent="0.15">
      <c r="A45" s="5" t="s">
        <v>8</v>
      </c>
      <c r="B45" s="6"/>
      <c r="C45" s="6"/>
      <c r="D45" s="6"/>
      <c r="E45" s="6"/>
      <c r="I45" s="5" t="s">
        <v>15</v>
      </c>
      <c r="J45" s="6"/>
      <c r="K45" s="6"/>
      <c r="L45" s="6"/>
      <c r="M45" s="6"/>
      <c r="O45" s="5" t="s">
        <v>15</v>
      </c>
      <c r="P45" s="6"/>
      <c r="Q45" s="6"/>
      <c r="R45" s="6"/>
      <c r="S45" s="6"/>
      <c r="U45" s="22"/>
      <c r="V45" s="22"/>
    </row>
    <row r="46" spans="1:26" x14ac:dyDescent="0.15">
      <c r="A46" s="3" t="s">
        <v>1</v>
      </c>
      <c r="B46" s="1" t="s">
        <v>2</v>
      </c>
      <c r="C46" s="1" t="s">
        <v>3</v>
      </c>
      <c r="D46" s="1" t="s">
        <v>4</v>
      </c>
      <c r="E46" s="1" t="s">
        <v>5</v>
      </c>
      <c r="I46" s="3" t="s">
        <v>1</v>
      </c>
      <c r="J46" s="1" t="s">
        <v>2</v>
      </c>
      <c r="K46" s="1" t="s">
        <v>3</v>
      </c>
      <c r="L46" s="1" t="s">
        <v>4</v>
      </c>
      <c r="M46" s="1" t="s">
        <v>5</v>
      </c>
      <c r="O46" s="22" t="s">
        <v>1</v>
      </c>
      <c r="P46" s="34" t="s">
        <v>24</v>
      </c>
      <c r="Q46" s="34" t="s">
        <v>2</v>
      </c>
      <c r="R46" s="34" t="s">
        <v>3</v>
      </c>
      <c r="S46" s="34" t="s">
        <v>4</v>
      </c>
      <c r="U46" s="22"/>
      <c r="V46" s="22"/>
    </row>
    <row r="47" spans="1:26" x14ac:dyDescent="0.15">
      <c r="A47" s="4">
        <v>1E-3</v>
      </c>
      <c r="B47" s="1">
        <v>2432</v>
      </c>
      <c r="C47" s="1">
        <v>2357</v>
      </c>
      <c r="D47" s="1">
        <f>C47/B47</f>
        <v>0.96916118421052633</v>
      </c>
      <c r="E47" s="1" t="s">
        <v>153</v>
      </c>
      <c r="F47" s="6">
        <v>226</v>
      </c>
      <c r="G47" s="6">
        <v>6628</v>
      </c>
      <c r="H47">
        <f>F47/G47</f>
        <v>3.4097767048883523E-2</v>
      </c>
      <c r="I47" s="31">
        <v>3.0599999999999998E-3</v>
      </c>
      <c r="J47" s="1">
        <v>1104</v>
      </c>
      <c r="K47" s="1">
        <v>990</v>
      </c>
      <c r="L47" s="33">
        <f>K47/J47</f>
        <v>0.89673913043478259</v>
      </c>
      <c r="M47" s="1" t="s">
        <v>129</v>
      </c>
      <c r="N47">
        <f>I47*(POWER(2,16)-1)/100</f>
        <v>2.0053709999999998</v>
      </c>
      <c r="O47" s="34">
        <f>P47/100*(2^16-1)</f>
        <v>195.4462278978389</v>
      </c>
      <c r="P47" s="34">
        <f>U47</f>
        <v>0.29823182711198426</v>
      </c>
      <c r="Q47" s="34">
        <v>1104</v>
      </c>
      <c r="R47" s="34">
        <v>496</v>
      </c>
      <c r="S47" s="34">
        <f>R47/Q47</f>
        <v>0.44927536231884058</v>
      </c>
      <c r="U47" s="22">
        <f>W47/X47*0.6</f>
        <v>0.29823182711198426</v>
      </c>
      <c r="V47" s="22">
        <f>1-0.7*Y47/Z47</f>
        <v>0.88749999999999996</v>
      </c>
      <c r="W47">
        <v>253</v>
      </c>
      <c r="X47">
        <v>509</v>
      </c>
      <c r="Y47">
        <v>81</v>
      </c>
      <c r="Z47">
        <v>504</v>
      </c>
    </row>
    <row r="48" spans="1:26" x14ac:dyDescent="0.15">
      <c r="A48" s="4">
        <v>3.0000000000000001E-3</v>
      </c>
      <c r="B48" s="1">
        <v>2432</v>
      </c>
      <c r="C48" s="1">
        <v>2337</v>
      </c>
      <c r="D48" s="31">
        <f t="shared" ref="D48:D53" si="24">C48/B48</f>
        <v>0.9609375</v>
      </c>
      <c r="E48" s="1" t="s">
        <v>152</v>
      </c>
      <c r="F48" s="6">
        <v>251</v>
      </c>
      <c r="G48" s="6">
        <v>7521</v>
      </c>
      <c r="H48">
        <f t="shared" ref="H48:H53" si="25">F48/G48</f>
        <v>3.3373221646057702E-2</v>
      </c>
      <c r="I48" s="4">
        <f t="shared" ref="I48:I53" si="26">I47*2</f>
        <v>6.1199999999999996E-3</v>
      </c>
      <c r="J48" s="1">
        <v>1104</v>
      </c>
      <c r="K48" s="1">
        <v>965</v>
      </c>
      <c r="L48" s="33">
        <f t="shared" ref="L48:L53" si="27">K48/J48</f>
        <v>0.87409420289855078</v>
      </c>
      <c r="M48" s="1" t="s">
        <v>128</v>
      </c>
      <c r="N48">
        <f t="shared" ref="N48:N53" si="28">I48*(POWER(2,16)-1)/100</f>
        <v>4.0107419999999996</v>
      </c>
      <c r="O48" s="34">
        <f>P48/100*(2^16-1)</f>
        <v>268.83512770137526</v>
      </c>
      <c r="P48" s="34">
        <f>U48</f>
        <v>0.41021611001964636</v>
      </c>
      <c r="Q48" s="34">
        <v>1104</v>
      </c>
      <c r="R48" s="34">
        <v>452</v>
      </c>
      <c r="S48" s="34">
        <f t="shared" ref="S48:S53" si="29">R48/Q48</f>
        <v>0.40942028985507245</v>
      </c>
      <c r="U48" s="22">
        <f>W48/X48*0.6</f>
        <v>0.41021611001964636</v>
      </c>
      <c r="V48" s="22">
        <f>1-0.7*Y48/Z48</f>
        <v>0.83750000000000002</v>
      </c>
      <c r="W48">
        <v>348</v>
      </c>
      <c r="X48">
        <v>509</v>
      </c>
      <c r="Y48">
        <v>117</v>
      </c>
      <c r="Z48">
        <v>504</v>
      </c>
    </row>
    <row r="49" spans="1:22" x14ac:dyDescent="0.15">
      <c r="A49" s="4">
        <v>5.0000000000000001E-3</v>
      </c>
      <c r="B49" s="1">
        <v>2432</v>
      </c>
      <c r="C49" s="1">
        <v>2329</v>
      </c>
      <c r="D49" s="31">
        <f t="shared" si="24"/>
        <v>0.95764802631578949</v>
      </c>
      <c r="E49" s="1" t="s">
        <v>165</v>
      </c>
      <c r="F49" s="6">
        <v>249</v>
      </c>
      <c r="G49" s="6">
        <v>7476</v>
      </c>
      <c r="H49">
        <f t="shared" si="25"/>
        <v>3.330658105939005E-2</v>
      </c>
      <c r="I49" s="31">
        <f t="shared" si="26"/>
        <v>1.2239999999999999E-2</v>
      </c>
      <c r="J49" s="1">
        <v>1104</v>
      </c>
      <c r="K49" s="1">
        <v>901</v>
      </c>
      <c r="L49" s="33">
        <f t="shared" si="27"/>
        <v>0.81612318840579712</v>
      </c>
      <c r="M49" s="1" t="s">
        <v>135</v>
      </c>
      <c r="N49">
        <f t="shared" si="28"/>
        <v>8.0214839999999992</v>
      </c>
      <c r="O49" s="4"/>
      <c r="P49" s="34"/>
      <c r="Q49" s="34">
        <v>1104</v>
      </c>
      <c r="R49" s="34"/>
      <c r="S49" s="34">
        <f>R49/Q49+AVERAGE(S47:S48)</f>
        <v>0.42934782608695654</v>
      </c>
      <c r="U49" s="22"/>
      <c r="V49" s="22">
        <f>AVERAGE(V47:V48)</f>
        <v>0.86250000000000004</v>
      </c>
    </row>
    <row r="50" spans="1:22" x14ac:dyDescent="0.15">
      <c r="A50" s="4">
        <v>8.0000000000000002E-3</v>
      </c>
      <c r="B50" s="1">
        <v>2432</v>
      </c>
      <c r="C50" s="1">
        <v>2305</v>
      </c>
      <c r="D50" s="31">
        <f t="shared" si="24"/>
        <v>0.94777960526315785</v>
      </c>
      <c r="E50" s="1" t="s">
        <v>196</v>
      </c>
      <c r="F50" s="6">
        <v>306</v>
      </c>
      <c r="G50" s="6">
        <v>9968</v>
      </c>
      <c r="H50">
        <f t="shared" si="25"/>
        <v>3.0698234349919744E-2</v>
      </c>
      <c r="I50" s="4">
        <f t="shared" si="26"/>
        <v>2.4479999999999998E-2</v>
      </c>
      <c r="J50" s="1">
        <v>1104</v>
      </c>
      <c r="K50" s="1">
        <v>862</v>
      </c>
      <c r="L50" s="33">
        <f t="shared" si="27"/>
        <v>0.78079710144927539</v>
      </c>
      <c r="M50" s="1" t="s">
        <v>179</v>
      </c>
      <c r="N50">
        <f t="shared" si="28"/>
        <v>16.042967999999998</v>
      </c>
      <c r="O50" s="4"/>
      <c r="P50" s="34"/>
      <c r="Q50" s="34">
        <v>1104</v>
      </c>
      <c r="R50" s="34"/>
      <c r="S50" s="34">
        <f t="shared" si="29"/>
        <v>0</v>
      </c>
      <c r="U50" s="22"/>
      <c r="V50" s="22"/>
    </row>
    <row r="51" spans="1:22" x14ac:dyDescent="0.15">
      <c r="A51" s="4">
        <v>0.01</v>
      </c>
      <c r="B51" s="1">
        <v>2432</v>
      </c>
      <c r="C51" s="2">
        <v>2304</v>
      </c>
      <c r="D51" s="31">
        <f t="shared" si="24"/>
        <v>0.94736842105263153</v>
      </c>
      <c r="E51" s="1" t="s">
        <v>220</v>
      </c>
      <c r="F51" s="6">
        <v>333</v>
      </c>
      <c r="G51" s="6">
        <v>11215</v>
      </c>
      <c r="H51">
        <f t="shared" si="25"/>
        <v>2.9692376281765492E-2</v>
      </c>
      <c r="I51" s="31">
        <f t="shared" si="26"/>
        <v>4.8959999999999997E-2</v>
      </c>
      <c r="J51" s="1">
        <v>1104</v>
      </c>
      <c r="K51" s="2">
        <v>797</v>
      </c>
      <c r="L51" s="33">
        <f t="shared" si="27"/>
        <v>0.72192028985507251</v>
      </c>
      <c r="M51" s="1" t="s">
        <v>184</v>
      </c>
      <c r="N51">
        <f t="shared" si="28"/>
        <v>32.085935999999997</v>
      </c>
      <c r="O51" s="4"/>
      <c r="P51" s="34"/>
      <c r="Q51" s="34">
        <v>1104</v>
      </c>
      <c r="R51" s="34"/>
      <c r="S51" s="34">
        <f t="shared" si="29"/>
        <v>0</v>
      </c>
      <c r="U51" s="22"/>
      <c r="V51" s="22"/>
    </row>
    <row r="52" spans="1:22" x14ac:dyDescent="0.15">
      <c r="A52" s="4">
        <v>0.03</v>
      </c>
      <c r="B52" s="1">
        <v>2432</v>
      </c>
      <c r="C52" s="1">
        <v>2260</v>
      </c>
      <c r="D52" s="31">
        <f t="shared" si="24"/>
        <v>0.92927631578947367</v>
      </c>
      <c r="E52" s="1" t="s">
        <v>219</v>
      </c>
      <c r="F52" s="6">
        <v>375</v>
      </c>
      <c r="G52" s="6">
        <v>15353</v>
      </c>
      <c r="H52">
        <f t="shared" si="25"/>
        <v>2.4425193773203933E-2</v>
      </c>
      <c r="I52" s="4">
        <f t="shared" si="26"/>
        <v>9.7919999999999993E-2</v>
      </c>
      <c r="J52" s="1">
        <v>1104</v>
      </c>
      <c r="K52" s="1">
        <v>675</v>
      </c>
      <c r="L52" s="33">
        <f t="shared" si="27"/>
        <v>0.61141304347826086</v>
      </c>
      <c r="M52" s="1" t="s">
        <v>185</v>
      </c>
      <c r="N52">
        <f t="shared" si="28"/>
        <v>64.171871999999993</v>
      </c>
      <c r="O52" s="4"/>
      <c r="P52" s="34"/>
      <c r="Q52" s="34">
        <v>1104</v>
      </c>
      <c r="R52" s="19"/>
      <c r="S52" s="34">
        <f t="shared" si="29"/>
        <v>0</v>
      </c>
      <c r="U52" s="22"/>
      <c r="V52" s="22"/>
    </row>
    <row r="53" spans="1:22" x14ac:dyDescent="0.15">
      <c r="A53" s="4">
        <v>0.05</v>
      </c>
      <c r="B53" s="1">
        <v>2432</v>
      </c>
      <c r="C53" s="2">
        <v>2221</v>
      </c>
      <c r="D53" s="31">
        <f t="shared" si="24"/>
        <v>0.91324013157894735</v>
      </c>
      <c r="E53" s="1" t="s">
        <v>221</v>
      </c>
      <c r="F53" s="6">
        <v>454</v>
      </c>
      <c r="G53" s="6">
        <v>24445</v>
      </c>
      <c r="H53">
        <f t="shared" si="25"/>
        <v>1.8572305174882391E-2</v>
      </c>
      <c r="I53" s="31">
        <f t="shared" si="26"/>
        <v>0.19583999999999999</v>
      </c>
      <c r="J53" s="1">
        <v>1104</v>
      </c>
      <c r="K53" s="2">
        <v>543</v>
      </c>
      <c r="L53" s="33">
        <f t="shared" si="27"/>
        <v>0.49184782608695654</v>
      </c>
      <c r="M53" s="1" t="s">
        <v>191</v>
      </c>
      <c r="N53">
        <f t="shared" si="28"/>
        <v>128.34374399999999</v>
      </c>
      <c r="O53" s="4"/>
      <c r="P53" s="34"/>
      <c r="Q53" s="34">
        <v>1104</v>
      </c>
      <c r="R53" s="34"/>
      <c r="S53" s="34">
        <f t="shared" si="29"/>
        <v>0</v>
      </c>
      <c r="U53" s="22"/>
      <c r="V53" s="22"/>
    </row>
    <row r="54" spans="1:22" x14ac:dyDescent="0.15">
      <c r="B54" s="6"/>
      <c r="C54" s="6"/>
      <c r="D54" s="6">
        <f>AVERAGE(D47:D53)</f>
        <v>0.94648731203007508</v>
      </c>
      <c r="E54" s="6"/>
      <c r="H54">
        <f>AVERAGE(H47:H53)</f>
        <v>2.916652561915755E-2</v>
      </c>
      <c r="J54" s="6"/>
      <c r="K54" s="6"/>
      <c r="L54" s="6"/>
      <c r="M54" s="6"/>
    </row>
    <row r="55" spans="1:22" x14ac:dyDescent="0.15">
      <c r="B55" s="6"/>
      <c r="C55" s="6"/>
      <c r="D55" s="6"/>
      <c r="E55" s="6"/>
      <c r="J55" s="6"/>
      <c r="K55" s="6"/>
      <c r="L55" s="6"/>
      <c r="M55" s="6"/>
    </row>
    <row r="56" spans="1:22" x14ac:dyDescent="0.15">
      <c r="A56" s="5" t="s">
        <v>9</v>
      </c>
      <c r="B56" s="6"/>
      <c r="C56" s="6"/>
      <c r="D56" s="6"/>
      <c r="E56" s="6"/>
      <c r="H56" s="7"/>
      <c r="I56" s="8"/>
      <c r="J56" s="8"/>
      <c r="K56" s="8"/>
      <c r="L56" s="8"/>
      <c r="M56" s="8"/>
    </row>
    <row r="57" spans="1:22" x14ac:dyDescent="0.15">
      <c r="A57" s="3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H57" s="7"/>
      <c r="I57" s="7"/>
      <c r="J57" s="8"/>
      <c r="K57" s="8"/>
      <c r="L57" s="8"/>
      <c r="M57" s="8"/>
    </row>
    <row r="58" spans="1:22" x14ac:dyDescent="0.15">
      <c r="A58" s="4">
        <v>1E-3</v>
      </c>
      <c r="B58" s="1">
        <v>2759</v>
      </c>
      <c r="C58" s="1">
        <v>2502</v>
      </c>
      <c r="D58" s="1">
        <f>C58/B58</f>
        <v>0.90685030808263867</v>
      </c>
      <c r="E58" s="1" t="s">
        <v>148</v>
      </c>
      <c r="F58" s="6">
        <v>379</v>
      </c>
      <c r="G58" s="6">
        <v>28382</v>
      </c>
      <c r="H58" s="7">
        <f>F58/G58</f>
        <v>1.3353533929955606E-2</v>
      </c>
      <c r="I58" s="8"/>
      <c r="J58" s="8"/>
      <c r="K58" s="8"/>
      <c r="L58" s="8"/>
      <c r="M58" s="8"/>
    </row>
    <row r="59" spans="1:22" x14ac:dyDescent="0.15">
      <c r="A59" s="4">
        <v>3.0000000000000001E-3</v>
      </c>
      <c r="B59" s="1">
        <v>2759</v>
      </c>
      <c r="C59" s="1">
        <v>2456</v>
      </c>
      <c r="D59" s="31">
        <f t="shared" ref="D59:D64" si="30">C59/B59</f>
        <v>0.89017760057992024</v>
      </c>
      <c r="E59" s="1" t="s">
        <v>154</v>
      </c>
      <c r="F59" s="6">
        <v>376</v>
      </c>
      <c r="G59" s="6">
        <v>28388</v>
      </c>
      <c r="H59" s="7">
        <f t="shared" ref="H59:H64" si="31">F59/G59</f>
        <v>1.3245033112582781E-2</v>
      </c>
      <c r="I59" s="9"/>
      <c r="J59" s="8"/>
      <c r="K59" s="8"/>
      <c r="L59" s="8"/>
      <c r="M59" s="8"/>
    </row>
    <row r="60" spans="1:22" x14ac:dyDescent="0.15">
      <c r="A60" s="4">
        <v>5.0000000000000001E-3</v>
      </c>
      <c r="B60" s="1">
        <v>2759</v>
      </c>
      <c r="C60" s="1">
        <v>2436</v>
      </c>
      <c r="D60" s="31">
        <f t="shared" si="30"/>
        <v>0.88292859731786877</v>
      </c>
      <c r="E60" s="1" t="s">
        <v>166</v>
      </c>
      <c r="F60" s="6">
        <v>384</v>
      </c>
      <c r="G60" s="6">
        <v>29139</v>
      </c>
      <c r="H60" s="7">
        <f t="shared" si="31"/>
        <v>1.3178214763718728E-2</v>
      </c>
      <c r="I60" s="9"/>
      <c r="J60" s="8"/>
      <c r="K60" s="8"/>
      <c r="L60" s="8"/>
      <c r="M60" s="8"/>
    </row>
    <row r="61" spans="1:22" x14ac:dyDescent="0.15">
      <c r="A61" s="4">
        <v>8.0000000000000002E-3</v>
      </c>
      <c r="B61" s="1">
        <v>2759</v>
      </c>
      <c r="C61" s="1">
        <v>2423</v>
      </c>
      <c r="D61" s="31">
        <f t="shared" si="30"/>
        <v>0.87821674519753534</v>
      </c>
      <c r="E61" s="1" t="s">
        <v>197</v>
      </c>
      <c r="F61" s="6">
        <v>436</v>
      </c>
      <c r="G61" s="6">
        <v>33851</v>
      </c>
      <c r="H61" s="7">
        <f t="shared" si="31"/>
        <v>1.2879974003722195E-2</v>
      </c>
      <c r="I61" s="9"/>
      <c r="J61" s="8"/>
      <c r="K61" s="8"/>
      <c r="L61" s="8"/>
      <c r="M61" s="8"/>
    </row>
    <row r="62" spans="1:22" x14ac:dyDescent="0.15">
      <c r="A62" s="4">
        <v>0.01</v>
      </c>
      <c r="B62" s="1">
        <v>2759</v>
      </c>
      <c r="C62" s="2">
        <v>2417</v>
      </c>
      <c r="D62" s="31">
        <f t="shared" si="30"/>
        <v>0.87604204421891985</v>
      </c>
      <c r="E62" s="1" t="s">
        <v>147</v>
      </c>
      <c r="F62" s="6">
        <v>423</v>
      </c>
      <c r="G62" s="6">
        <v>32579</v>
      </c>
      <c r="H62" s="7">
        <f t="shared" si="31"/>
        <v>1.2983823935664078E-2</v>
      </c>
      <c r="I62" s="9"/>
      <c r="J62" s="8"/>
      <c r="K62" s="10"/>
      <c r="L62" s="8"/>
      <c r="M62" s="8"/>
    </row>
    <row r="63" spans="1:22" x14ac:dyDescent="0.15">
      <c r="A63" s="4">
        <v>0.03</v>
      </c>
      <c r="B63" s="1">
        <v>2759</v>
      </c>
      <c r="C63" s="1">
        <v>2395</v>
      </c>
      <c r="D63" s="31">
        <f t="shared" si="30"/>
        <v>0.86806814063066329</v>
      </c>
      <c r="E63" s="1" t="s">
        <v>208</v>
      </c>
      <c r="F63" s="6">
        <v>431</v>
      </c>
      <c r="G63" s="6">
        <v>34638</v>
      </c>
      <c r="H63" s="7">
        <f t="shared" si="31"/>
        <v>1.2442981696402795E-2</v>
      </c>
      <c r="I63" s="9"/>
      <c r="J63" s="8"/>
      <c r="K63" s="8"/>
      <c r="L63" s="8"/>
      <c r="M63" s="8"/>
    </row>
    <row r="64" spans="1:22" x14ac:dyDescent="0.15">
      <c r="A64" s="4">
        <v>0.05</v>
      </c>
      <c r="B64" s="1">
        <v>2759</v>
      </c>
      <c r="C64" s="2">
        <v>2289</v>
      </c>
      <c r="D64" s="31">
        <f t="shared" si="30"/>
        <v>0.82964842334179045</v>
      </c>
      <c r="E64" s="1" t="s">
        <v>222</v>
      </c>
      <c r="F64" s="6">
        <v>415</v>
      </c>
      <c r="G64" s="6">
        <v>35821</v>
      </c>
      <c r="H64" s="7">
        <f t="shared" si="31"/>
        <v>1.1585382875966612E-2</v>
      </c>
      <c r="I64" s="9"/>
      <c r="J64" s="8"/>
      <c r="K64" s="10"/>
      <c r="L64" s="8"/>
      <c r="M64" s="8"/>
    </row>
    <row r="65" spans="1:13" x14ac:dyDescent="0.15">
      <c r="B65" s="6"/>
      <c r="C65" s="6"/>
      <c r="D65" s="6">
        <f>AVERAGE(D58:D64)</f>
        <v>0.87599026562419102</v>
      </c>
      <c r="E65" s="6"/>
      <c r="H65">
        <f>AVERAGE(H58:H64)</f>
        <v>1.280984918828754E-2</v>
      </c>
      <c r="I65" s="7"/>
      <c r="J65" s="8"/>
      <c r="K65" s="8"/>
      <c r="L65" s="8"/>
      <c r="M65" s="8"/>
    </row>
    <row r="66" spans="1:13" x14ac:dyDescent="0.15">
      <c r="B66" s="6"/>
      <c r="C66" s="6"/>
      <c r="D66" s="6"/>
      <c r="E66" s="6"/>
      <c r="H66" s="8"/>
      <c r="I66" s="7"/>
      <c r="J66" s="8"/>
      <c r="K66" s="8"/>
      <c r="L66" s="8"/>
      <c r="M66" s="8"/>
    </row>
    <row r="67" spans="1:13" x14ac:dyDescent="0.15">
      <c r="A67" s="5" t="s">
        <v>10</v>
      </c>
      <c r="B67" s="6"/>
      <c r="C67" s="6"/>
      <c r="D67" s="6"/>
      <c r="E67" s="6"/>
      <c r="H67" s="8"/>
      <c r="I67" s="8"/>
      <c r="J67" s="8"/>
      <c r="K67" s="8"/>
      <c r="L67" s="8"/>
      <c r="M67" s="8"/>
    </row>
    <row r="68" spans="1:13" x14ac:dyDescent="0.15">
      <c r="A68" s="3" t="s">
        <v>1</v>
      </c>
      <c r="B68" s="1" t="s">
        <v>2</v>
      </c>
      <c r="C68" s="1" t="s">
        <v>3</v>
      </c>
      <c r="D68" s="1" t="s">
        <v>4</v>
      </c>
      <c r="E68" s="1" t="s">
        <v>5</v>
      </c>
      <c r="H68" s="8"/>
      <c r="I68" s="7"/>
      <c r="J68" s="8"/>
      <c r="K68" s="8"/>
      <c r="L68" s="8"/>
      <c r="M68" s="8"/>
    </row>
    <row r="69" spans="1:13" x14ac:dyDescent="0.15">
      <c r="A69" s="4">
        <v>1E-3</v>
      </c>
      <c r="B69" s="1">
        <v>2740</v>
      </c>
      <c r="C69" s="1">
        <v>2574</v>
      </c>
      <c r="D69" s="1">
        <f>C69/B69</f>
        <v>0.93941605839416054</v>
      </c>
      <c r="E69" s="1" t="s">
        <v>146</v>
      </c>
      <c r="F69" s="6">
        <v>322</v>
      </c>
      <c r="G69" s="6">
        <v>16720</v>
      </c>
      <c r="H69" s="8">
        <f>F69/G69</f>
        <v>1.9258373205741627E-2</v>
      </c>
      <c r="I69" s="8"/>
      <c r="J69" s="8"/>
      <c r="K69" s="8"/>
      <c r="L69" s="8"/>
      <c r="M69" s="8"/>
    </row>
    <row r="70" spans="1:13" x14ac:dyDescent="0.15">
      <c r="A70" s="4">
        <v>3.0000000000000001E-3</v>
      </c>
      <c r="B70" s="1">
        <v>2740</v>
      </c>
      <c r="C70" s="1">
        <v>2439</v>
      </c>
      <c r="D70" s="31">
        <f t="shared" ref="D70:D75" si="32">C70/B70</f>
        <v>0.89014598540145984</v>
      </c>
      <c r="E70" s="1" t="s">
        <v>156</v>
      </c>
      <c r="F70" s="6">
        <v>458</v>
      </c>
      <c r="G70" s="6">
        <v>23553</v>
      </c>
      <c r="H70" s="8">
        <f t="shared" ref="H70:H75" si="33">F70/G70</f>
        <v>1.9445505880354944E-2</v>
      </c>
      <c r="I70" s="9"/>
      <c r="J70" s="8"/>
      <c r="K70" s="8"/>
      <c r="L70" s="8"/>
      <c r="M70" s="8"/>
    </row>
    <row r="71" spans="1:13" x14ac:dyDescent="0.15">
      <c r="A71" s="4">
        <v>5.0000000000000001E-3</v>
      </c>
      <c r="B71" s="1">
        <v>2740</v>
      </c>
      <c r="C71" s="1">
        <v>2314</v>
      </c>
      <c r="D71" s="31">
        <f t="shared" si="32"/>
        <v>0.84452554744525543</v>
      </c>
      <c r="E71" s="1" t="s">
        <v>168</v>
      </c>
      <c r="F71" s="6">
        <v>649</v>
      </c>
      <c r="G71" s="6">
        <v>33030</v>
      </c>
      <c r="H71" s="8">
        <f t="shared" si="33"/>
        <v>1.9648804117468967E-2</v>
      </c>
      <c r="I71" s="9"/>
      <c r="J71" s="8"/>
      <c r="K71" s="8"/>
      <c r="L71" s="8"/>
      <c r="M71" s="8"/>
    </row>
    <row r="72" spans="1:13" x14ac:dyDescent="0.15">
      <c r="A72" s="4">
        <v>8.0000000000000002E-3</v>
      </c>
      <c r="B72" s="1">
        <v>2740</v>
      </c>
      <c r="C72" s="1">
        <v>2189</v>
      </c>
      <c r="D72" s="31">
        <f t="shared" si="32"/>
        <v>0.79890510948905114</v>
      </c>
      <c r="E72" s="1" t="s">
        <v>198</v>
      </c>
      <c r="F72" s="6">
        <v>775</v>
      </c>
      <c r="G72" s="6">
        <v>39088</v>
      </c>
      <c r="H72" s="8">
        <f t="shared" si="33"/>
        <v>1.9827056897257469E-2</v>
      </c>
      <c r="I72" s="9"/>
      <c r="J72" s="8"/>
      <c r="K72" s="8"/>
      <c r="L72" s="8"/>
      <c r="M72" s="8"/>
    </row>
    <row r="73" spans="1:13" x14ac:dyDescent="0.15">
      <c r="A73" s="4">
        <v>0.01</v>
      </c>
      <c r="B73" s="1">
        <v>2740</v>
      </c>
      <c r="C73" s="2">
        <v>2118</v>
      </c>
      <c r="D73" s="31">
        <f t="shared" si="32"/>
        <v>0.77299270072992698</v>
      </c>
      <c r="E73" s="1" t="s">
        <v>121</v>
      </c>
      <c r="F73" s="6">
        <v>866</v>
      </c>
      <c r="G73" s="6">
        <v>43570</v>
      </c>
      <c r="H73" s="8">
        <f t="shared" si="33"/>
        <v>1.9876061510213448E-2</v>
      </c>
      <c r="I73" s="9"/>
      <c r="J73" s="8"/>
      <c r="K73" s="10"/>
      <c r="L73" s="8"/>
      <c r="M73" s="8"/>
    </row>
    <row r="74" spans="1:13" x14ac:dyDescent="0.15">
      <c r="A74" s="4">
        <v>0.03</v>
      </c>
      <c r="B74" s="1">
        <v>2740</v>
      </c>
      <c r="C74" s="1">
        <v>1567</v>
      </c>
      <c r="D74" s="31">
        <f t="shared" si="32"/>
        <v>0.57189781021897812</v>
      </c>
      <c r="E74" s="1" t="s">
        <v>209</v>
      </c>
      <c r="F74" s="6">
        <v>1310</v>
      </c>
      <c r="G74" s="6">
        <v>64054</v>
      </c>
      <c r="H74" s="8">
        <f t="shared" si="33"/>
        <v>2.0451494051893716E-2</v>
      </c>
      <c r="I74" s="9"/>
      <c r="J74" s="8"/>
      <c r="K74" s="8"/>
      <c r="L74" s="8"/>
      <c r="M74" s="8"/>
    </row>
    <row r="75" spans="1:13" x14ac:dyDescent="0.15">
      <c r="A75" s="4">
        <v>0.05</v>
      </c>
      <c r="B75" s="1">
        <v>2740</v>
      </c>
      <c r="C75" s="2">
        <v>1197</v>
      </c>
      <c r="D75" s="31">
        <f t="shared" si="32"/>
        <v>0.43686131386861315</v>
      </c>
      <c r="E75" s="1" t="s">
        <v>229</v>
      </c>
      <c r="F75" s="6">
        <v>1620</v>
      </c>
      <c r="G75" s="6">
        <v>77075</v>
      </c>
      <c r="H75" s="8">
        <f t="shared" si="33"/>
        <v>2.1018488485241647E-2</v>
      </c>
      <c r="I75" s="9"/>
      <c r="J75" s="8"/>
      <c r="K75" s="10"/>
      <c r="L75" s="8"/>
      <c r="M75" s="8"/>
    </row>
    <row r="76" spans="1:13" x14ac:dyDescent="0.15">
      <c r="B76" s="6"/>
      <c r="C76" s="6"/>
      <c r="D76" s="6">
        <f>AVERAGE(D69:D75)</f>
        <v>0.75067778936392071</v>
      </c>
      <c r="E76" s="6"/>
      <c r="H76">
        <f>AVERAGE(H69:H75)</f>
        <v>1.9932254878310261E-2</v>
      </c>
      <c r="J76" s="6"/>
      <c r="K76" s="6"/>
      <c r="L76" s="6"/>
      <c r="M76" s="6"/>
    </row>
    <row r="77" spans="1:13" x14ac:dyDescent="0.15">
      <c r="B77" s="6"/>
      <c r="C77" s="6"/>
      <c r="D77" s="6"/>
      <c r="E77" s="6"/>
      <c r="J77" s="6"/>
      <c r="K77" s="6"/>
      <c r="L77" s="6"/>
      <c r="M77" s="6"/>
    </row>
    <row r="78" spans="1:13" x14ac:dyDescent="0.15">
      <c r="A78" s="5" t="s">
        <v>11</v>
      </c>
      <c r="B78" s="6"/>
      <c r="C78" s="6"/>
      <c r="D78" s="6"/>
      <c r="E78" s="6"/>
    </row>
    <row r="79" spans="1:13" x14ac:dyDescent="0.15">
      <c r="A79" s="3" t="s">
        <v>1</v>
      </c>
      <c r="B79" s="1" t="s">
        <v>2</v>
      </c>
      <c r="C79" s="1" t="s">
        <v>3</v>
      </c>
      <c r="D79" s="1" t="s">
        <v>4</v>
      </c>
      <c r="E79" s="1" t="s">
        <v>5</v>
      </c>
    </row>
    <row r="80" spans="1:13" x14ac:dyDescent="0.15">
      <c r="A80" s="4">
        <v>1E-3</v>
      </c>
      <c r="B80" s="1">
        <v>691</v>
      </c>
      <c r="C80" s="1">
        <v>677</v>
      </c>
      <c r="D80" s="1">
        <f>C80/B80</f>
        <v>0.97973950795947906</v>
      </c>
      <c r="E80" s="1" t="s">
        <v>144</v>
      </c>
      <c r="F80" s="6">
        <v>3</v>
      </c>
      <c r="G80" s="6">
        <v>55</v>
      </c>
      <c r="H80">
        <f>F80/G80</f>
        <v>5.4545454545454543E-2</v>
      </c>
    </row>
    <row r="81" spans="1:8" x14ac:dyDescent="0.15">
      <c r="A81" s="4">
        <v>3.0000000000000001E-3</v>
      </c>
      <c r="B81" s="1">
        <v>691</v>
      </c>
      <c r="C81" s="1">
        <v>670</v>
      </c>
      <c r="D81" s="31">
        <f t="shared" ref="D81:D86" si="34">C81/B81</f>
        <v>0.96960926193921848</v>
      </c>
      <c r="E81" s="1" t="s">
        <v>157</v>
      </c>
      <c r="F81" s="6">
        <v>5</v>
      </c>
      <c r="G81" s="6">
        <v>83</v>
      </c>
      <c r="H81">
        <f t="shared" ref="H81:H86" si="35">F81/G81</f>
        <v>6.0240963855421686E-2</v>
      </c>
    </row>
    <row r="82" spans="1:8" x14ac:dyDescent="0.15">
      <c r="A82" s="4">
        <v>5.0000000000000001E-3</v>
      </c>
      <c r="B82" s="1">
        <v>691</v>
      </c>
      <c r="C82" s="1">
        <v>664</v>
      </c>
      <c r="D82" s="31">
        <f t="shared" si="34"/>
        <v>0.96092619392185241</v>
      </c>
      <c r="E82" s="1" t="s">
        <v>169</v>
      </c>
      <c r="F82" s="6">
        <v>6</v>
      </c>
      <c r="G82" s="6">
        <v>113</v>
      </c>
      <c r="H82">
        <f t="shared" si="35"/>
        <v>5.3097345132743362E-2</v>
      </c>
    </row>
    <row r="83" spans="1:8" x14ac:dyDescent="0.15">
      <c r="A83" s="4">
        <v>8.0000000000000002E-3</v>
      </c>
      <c r="B83" s="1">
        <v>691</v>
      </c>
      <c r="C83" s="1">
        <v>664</v>
      </c>
      <c r="D83" s="31">
        <f t="shared" si="34"/>
        <v>0.96092619392185241</v>
      </c>
      <c r="E83" s="1" t="s">
        <v>199</v>
      </c>
      <c r="F83" s="6">
        <v>6</v>
      </c>
      <c r="G83" s="6">
        <v>111</v>
      </c>
      <c r="H83">
        <f t="shared" si="35"/>
        <v>5.4054054054054057E-2</v>
      </c>
    </row>
    <row r="84" spans="1:8" x14ac:dyDescent="0.15">
      <c r="A84" s="4">
        <v>0.01</v>
      </c>
      <c r="B84" s="1">
        <v>691</v>
      </c>
      <c r="C84" s="2">
        <v>664</v>
      </c>
      <c r="D84" s="31">
        <f t="shared" si="34"/>
        <v>0.96092619392185241</v>
      </c>
      <c r="E84" s="1" t="s">
        <v>115</v>
      </c>
      <c r="F84" s="6">
        <v>6</v>
      </c>
      <c r="G84" s="6">
        <v>109</v>
      </c>
      <c r="H84">
        <f t="shared" si="35"/>
        <v>5.5045871559633031E-2</v>
      </c>
    </row>
    <row r="85" spans="1:8" x14ac:dyDescent="0.15">
      <c r="A85" s="4">
        <v>0.03</v>
      </c>
      <c r="B85" s="1">
        <v>691</v>
      </c>
      <c r="C85" s="1">
        <v>660</v>
      </c>
      <c r="D85" s="31">
        <f t="shared" si="34"/>
        <v>0.95513748191027492</v>
      </c>
      <c r="E85" s="1" t="s">
        <v>210</v>
      </c>
      <c r="F85" s="6">
        <v>8</v>
      </c>
      <c r="G85" s="6">
        <v>177</v>
      </c>
      <c r="H85">
        <f t="shared" si="35"/>
        <v>4.519774011299435E-2</v>
      </c>
    </row>
    <row r="86" spans="1:8" x14ac:dyDescent="0.15">
      <c r="A86" s="4">
        <v>0.05</v>
      </c>
      <c r="B86" s="1">
        <v>691</v>
      </c>
      <c r="C86" s="2">
        <v>651</v>
      </c>
      <c r="D86" s="31">
        <f t="shared" si="34"/>
        <v>0.94211287988422576</v>
      </c>
      <c r="E86" s="1" t="s">
        <v>223</v>
      </c>
      <c r="F86" s="6">
        <v>10</v>
      </c>
      <c r="G86" s="6">
        <v>173</v>
      </c>
      <c r="H86">
        <f t="shared" si="35"/>
        <v>5.7803468208092484E-2</v>
      </c>
    </row>
    <row r="87" spans="1:8" x14ac:dyDescent="0.15">
      <c r="B87" s="6"/>
      <c r="C87" s="6"/>
      <c r="D87" s="6">
        <f>AVERAGE(D80:D86)</f>
        <v>0.96133967335125081</v>
      </c>
      <c r="E87" s="6"/>
      <c r="H87">
        <f>AVERAGE(H80:H86)</f>
        <v>5.4283556781199067E-2</v>
      </c>
    </row>
    <row r="88" spans="1:8" x14ac:dyDescent="0.15">
      <c r="B88" s="6"/>
      <c r="C88" s="6"/>
      <c r="D88" s="6"/>
      <c r="E88" s="6"/>
    </row>
    <row r="89" spans="1:8" x14ac:dyDescent="0.15">
      <c r="A89" s="1" t="s">
        <v>12</v>
      </c>
      <c r="B89" s="6"/>
      <c r="C89" s="6"/>
      <c r="D89" s="6"/>
      <c r="E89" s="6"/>
    </row>
    <row r="90" spans="1:8" x14ac:dyDescent="0.15">
      <c r="A90" t="s">
        <v>1</v>
      </c>
      <c r="B90" s="6" t="s">
        <v>2</v>
      </c>
      <c r="C90" s="6" t="s">
        <v>3</v>
      </c>
      <c r="D90" s="6" t="s">
        <v>4</v>
      </c>
      <c r="E90" s="6" t="s">
        <v>5</v>
      </c>
    </row>
    <row r="91" spans="1:8" x14ac:dyDescent="0.15">
      <c r="A91" s="4">
        <v>1E-3</v>
      </c>
      <c r="B91" s="1">
        <v>1063</v>
      </c>
      <c r="C91" s="1">
        <v>845</v>
      </c>
      <c r="D91" s="1">
        <f>C91/B91</f>
        <v>0.79492003762935093</v>
      </c>
      <c r="E91" s="1" t="s">
        <v>141</v>
      </c>
      <c r="F91" s="6">
        <v>80</v>
      </c>
      <c r="G91" s="6">
        <v>1455</v>
      </c>
      <c r="H91">
        <f t="shared" ref="H91:H97" si="36">F91/G91</f>
        <v>5.4982817869415807E-2</v>
      </c>
    </row>
    <row r="92" spans="1:8" x14ac:dyDescent="0.15">
      <c r="A92" s="4">
        <v>3.0000000000000001E-3</v>
      </c>
      <c r="B92" s="1">
        <v>1063</v>
      </c>
      <c r="C92" s="1">
        <v>836</v>
      </c>
      <c r="D92" s="31">
        <f t="shared" ref="D92:D97" si="37">C92/B92</f>
        <v>0.78645343367826903</v>
      </c>
      <c r="E92" s="1" t="s">
        <v>158</v>
      </c>
      <c r="F92" s="6">
        <v>81</v>
      </c>
      <c r="G92" s="6">
        <v>1472</v>
      </c>
      <c r="H92">
        <f t="shared" si="36"/>
        <v>5.502717391304348E-2</v>
      </c>
    </row>
    <row r="93" spans="1:8" x14ac:dyDescent="0.15">
      <c r="A93" s="4">
        <v>5.0000000000000001E-3</v>
      </c>
      <c r="B93" s="1">
        <v>1063</v>
      </c>
      <c r="C93" s="1">
        <v>827</v>
      </c>
      <c r="D93" s="31">
        <f t="shared" si="37"/>
        <v>0.77798682972718725</v>
      </c>
      <c r="E93" s="1" t="s">
        <v>170</v>
      </c>
      <c r="F93" s="6">
        <v>88</v>
      </c>
      <c r="G93" s="6">
        <v>1613</v>
      </c>
      <c r="H93">
        <f t="shared" si="36"/>
        <v>5.4556726596404218E-2</v>
      </c>
    </row>
    <row r="94" spans="1:8" x14ac:dyDescent="0.15">
      <c r="A94" s="4">
        <v>8.0000000000000002E-3</v>
      </c>
      <c r="B94" s="1">
        <v>1063</v>
      </c>
      <c r="C94" s="1">
        <v>815</v>
      </c>
      <c r="D94" s="31">
        <f t="shared" si="37"/>
        <v>0.76669802445907809</v>
      </c>
      <c r="E94" s="1" t="s">
        <v>200</v>
      </c>
      <c r="F94" s="6">
        <v>92</v>
      </c>
      <c r="G94" s="6">
        <v>1688</v>
      </c>
      <c r="H94">
        <f t="shared" si="36"/>
        <v>5.4502369668246446E-2</v>
      </c>
    </row>
    <row r="95" spans="1:8" x14ac:dyDescent="0.15">
      <c r="A95" s="4">
        <v>0.01</v>
      </c>
      <c r="B95" s="1">
        <v>1063</v>
      </c>
      <c r="C95" s="2">
        <v>808</v>
      </c>
      <c r="D95" s="31">
        <f t="shared" si="37"/>
        <v>0.76011288805268107</v>
      </c>
      <c r="E95" s="1" t="s">
        <v>117</v>
      </c>
      <c r="F95" s="6">
        <v>94</v>
      </c>
      <c r="G95" s="6">
        <v>23365</v>
      </c>
      <c r="H95">
        <f t="shared" si="36"/>
        <v>4.023111491547186E-3</v>
      </c>
    </row>
    <row r="96" spans="1:8" x14ac:dyDescent="0.15">
      <c r="A96" s="4">
        <v>0.03</v>
      </c>
      <c r="B96" s="1">
        <v>1063</v>
      </c>
      <c r="C96" s="1">
        <v>793</v>
      </c>
      <c r="D96" s="31">
        <f t="shared" si="37"/>
        <v>0.74600188146754465</v>
      </c>
      <c r="E96" s="1" t="s">
        <v>211</v>
      </c>
      <c r="F96" s="6">
        <v>111</v>
      </c>
      <c r="G96" s="6">
        <v>2056</v>
      </c>
      <c r="H96">
        <f t="shared" si="36"/>
        <v>5.398832684824903E-2</v>
      </c>
    </row>
    <row r="97" spans="1:8" x14ac:dyDescent="0.15">
      <c r="A97" s="4">
        <v>0.05</v>
      </c>
      <c r="B97" s="1">
        <v>1063</v>
      </c>
      <c r="C97" s="2">
        <v>779</v>
      </c>
      <c r="D97" s="31">
        <f t="shared" si="37"/>
        <v>0.73283160865475072</v>
      </c>
      <c r="E97" s="1" t="s">
        <v>224</v>
      </c>
      <c r="F97" s="6">
        <v>123</v>
      </c>
      <c r="G97" s="6">
        <v>2361</v>
      </c>
      <c r="H97">
        <f t="shared" si="36"/>
        <v>5.2096569250317665E-2</v>
      </c>
    </row>
    <row r="98" spans="1:8" x14ac:dyDescent="0.15">
      <c r="B98" s="6"/>
      <c r="C98" s="6"/>
      <c r="D98" s="6">
        <f>AVERAGE(D91:D97)</f>
        <v>0.76642924338126595</v>
      </c>
      <c r="E98" s="6"/>
      <c r="H98">
        <f>AVERAGE(H91:H97)</f>
        <v>4.7025299376746266E-2</v>
      </c>
    </row>
    <row r="99" spans="1:8" x14ac:dyDescent="0.15">
      <c r="B99" s="6"/>
      <c r="C99" s="6"/>
      <c r="D99" s="6"/>
      <c r="E99" s="6"/>
    </row>
    <row r="100" spans="1:8" x14ac:dyDescent="0.15">
      <c r="A100" s="5" t="s">
        <v>13</v>
      </c>
      <c r="B100" s="6"/>
      <c r="C100" s="6"/>
      <c r="D100" s="6"/>
      <c r="E100" s="6"/>
    </row>
    <row r="101" spans="1:8" x14ac:dyDescent="0.15">
      <c r="A101" s="3" t="s">
        <v>1</v>
      </c>
      <c r="B101" s="1" t="s">
        <v>2</v>
      </c>
      <c r="C101" s="1" t="s">
        <v>3</v>
      </c>
      <c r="D101" s="1" t="s">
        <v>4</v>
      </c>
      <c r="E101" s="1" t="s">
        <v>5</v>
      </c>
    </row>
    <row r="102" spans="1:8" x14ac:dyDescent="0.15">
      <c r="A102" s="4">
        <v>1E-3</v>
      </c>
      <c r="B102" s="1">
        <v>1128</v>
      </c>
      <c r="C102" s="1">
        <v>1027</v>
      </c>
      <c r="D102" s="1">
        <f>C102/B102</f>
        <v>0.91046099290780147</v>
      </c>
      <c r="E102" s="1" t="s">
        <v>142</v>
      </c>
      <c r="F102" s="6">
        <v>130</v>
      </c>
      <c r="G102" s="6">
        <v>2688</v>
      </c>
      <c r="H102">
        <f>F102/G102</f>
        <v>4.836309523809524E-2</v>
      </c>
    </row>
    <row r="103" spans="1:8" x14ac:dyDescent="0.15">
      <c r="A103" s="4">
        <v>3.0000000000000001E-3</v>
      </c>
      <c r="B103" s="1">
        <v>1128</v>
      </c>
      <c r="C103" s="1">
        <v>992</v>
      </c>
      <c r="D103" s="31">
        <f t="shared" ref="D103:D108" si="38">C103/B103</f>
        <v>0.87943262411347523</v>
      </c>
      <c r="E103" s="1" t="s">
        <v>159</v>
      </c>
      <c r="F103" s="6">
        <v>138</v>
      </c>
      <c r="G103" s="6">
        <v>2830</v>
      </c>
      <c r="H103">
        <f t="shared" ref="H103:H108" si="39">F103/G103</f>
        <v>4.8763250883392228E-2</v>
      </c>
    </row>
    <row r="104" spans="1:8" x14ac:dyDescent="0.15">
      <c r="A104" s="4">
        <v>5.0000000000000001E-3</v>
      </c>
      <c r="B104" s="1">
        <v>1128</v>
      </c>
      <c r="C104" s="1">
        <v>979</v>
      </c>
      <c r="D104" s="31">
        <f t="shared" si="38"/>
        <v>0.86790780141843971</v>
      </c>
      <c r="E104" s="1" t="s">
        <v>171</v>
      </c>
      <c r="F104" s="6">
        <v>156</v>
      </c>
      <c r="G104" s="6">
        <v>3164</v>
      </c>
      <c r="H104">
        <f t="shared" si="39"/>
        <v>4.9304677623261697E-2</v>
      </c>
    </row>
    <row r="105" spans="1:8" x14ac:dyDescent="0.15">
      <c r="A105" s="4">
        <v>8.0000000000000002E-3</v>
      </c>
      <c r="B105" s="1">
        <v>1128</v>
      </c>
      <c r="C105" s="1">
        <v>974</v>
      </c>
      <c r="D105" s="31">
        <f t="shared" si="38"/>
        <v>0.86347517730496459</v>
      </c>
      <c r="E105" s="1" t="s">
        <v>201</v>
      </c>
      <c r="F105" s="6">
        <v>163</v>
      </c>
      <c r="G105" s="6">
        <v>3289</v>
      </c>
      <c r="H105">
        <f t="shared" si="39"/>
        <v>4.9559136515658256E-2</v>
      </c>
    </row>
    <row r="106" spans="1:8" x14ac:dyDescent="0.15">
      <c r="A106" s="4">
        <v>0.01</v>
      </c>
      <c r="B106" s="1">
        <v>1128</v>
      </c>
      <c r="C106" s="2">
        <v>968</v>
      </c>
      <c r="D106" s="31">
        <f t="shared" si="38"/>
        <v>0.85815602836879434</v>
      </c>
      <c r="E106" s="1" t="s">
        <v>118</v>
      </c>
      <c r="F106" s="6">
        <v>167</v>
      </c>
      <c r="G106" s="6">
        <v>3357</v>
      </c>
      <c r="H106">
        <f t="shared" si="39"/>
        <v>4.9746797736073878E-2</v>
      </c>
    </row>
    <row r="107" spans="1:8" x14ac:dyDescent="0.15">
      <c r="A107" s="4">
        <v>0.03</v>
      </c>
      <c r="B107" s="1">
        <v>1128</v>
      </c>
      <c r="C107" s="1">
        <v>851</v>
      </c>
      <c r="D107" s="31">
        <f t="shared" si="38"/>
        <v>0.75443262411347523</v>
      </c>
      <c r="E107" s="1" t="s">
        <v>212</v>
      </c>
      <c r="F107" s="6">
        <v>217</v>
      </c>
      <c r="G107" s="6">
        <v>4308</v>
      </c>
      <c r="H107">
        <f t="shared" si="39"/>
        <v>5.0371402042711233E-2</v>
      </c>
    </row>
    <row r="108" spans="1:8" x14ac:dyDescent="0.15">
      <c r="A108" s="4">
        <v>0.05</v>
      </c>
      <c r="B108" s="1">
        <v>1128</v>
      </c>
      <c r="C108" s="2">
        <v>844</v>
      </c>
      <c r="D108" s="31">
        <f t="shared" si="38"/>
        <v>0.74822695035460995</v>
      </c>
      <c r="E108" s="1" t="s">
        <v>225</v>
      </c>
      <c r="F108" s="6">
        <v>223</v>
      </c>
      <c r="G108" s="6">
        <v>4465</v>
      </c>
      <c r="H108">
        <f t="shared" si="39"/>
        <v>4.9944008958566627E-2</v>
      </c>
    </row>
    <row r="109" spans="1:8" x14ac:dyDescent="0.15">
      <c r="B109" s="6"/>
      <c r="C109" s="6"/>
      <c r="D109" s="6">
        <f>AVERAGE(D102:D108)</f>
        <v>0.84029888551165144</v>
      </c>
      <c r="E109" s="6"/>
      <c r="H109">
        <f>AVERAGE(H102:H108)</f>
        <v>4.9436052713965596E-2</v>
      </c>
    </row>
    <row r="110" spans="1:8" x14ac:dyDescent="0.15">
      <c r="B110" s="6"/>
      <c r="C110" s="6"/>
      <c r="D110" s="6"/>
      <c r="E110" s="6"/>
    </row>
    <row r="111" spans="1:8" x14ac:dyDescent="0.15">
      <c r="A111" s="5" t="s">
        <v>14</v>
      </c>
      <c r="B111" s="6"/>
      <c r="C111" s="6"/>
      <c r="D111" s="6"/>
      <c r="E111" s="6"/>
    </row>
    <row r="112" spans="1:8" x14ac:dyDescent="0.15">
      <c r="A112" s="3" t="s">
        <v>1</v>
      </c>
      <c r="B112" s="1" t="s">
        <v>2</v>
      </c>
      <c r="C112" s="1" t="s">
        <v>3</v>
      </c>
      <c r="D112" s="1" t="s">
        <v>4</v>
      </c>
      <c r="E112" s="1" t="s">
        <v>5</v>
      </c>
    </row>
    <row r="113" spans="1:9" x14ac:dyDescent="0.15">
      <c r="A113" s="4">
        <v>1E-3</v>
      </c>
      <c r="B113" s="1">
        <v>1276</v>
      </c>
      <c r="C113" s="1">
        <v>1029</v>
      </c>
      <c r="D113" s="1">
        <f>C113/B113</f>
        <v>0.80642633228840122</v>
      </c>
      <c r="E113" s="1" t="s">
        <v>143</v>
      </c>
      <c r="F113" s="6">
        <v>45</v>
      </c>
      <c r="G113" s="6">
        <v>1547</v>
      </c>
      <c r="H113">
        <f>F113/G113</f>
        <v>2.9088558500323207E-2</v>
      </c>
    </row>
    <row r="114" spans="1:9" x14ac:dyDescent="0.15">
      <c r="A114" s="4">
        <v>3.0000000000000001E-3</v>
      </c>
      <c r="B114" s="1">
        <v>1276</v>
      </c>
      <c r="C114" s="1">
        <v>1029</v>
      </c>
      <c r="D114" s="31">
        <f t="shared" ref="D114:D119" si="40">C114/B114</f>
        <v>0.80642633228840122</v>
      </c>
      <c r="E114" s="1" t="s">
        <v>160</v>
      </c>
      <c r="F114" s="6">
        <v>44</v>
      </c>
      <c r="G114" s="6">
        <v>1506</v>
      </c>
      <c r="H114">
        <f t="shared" ref="H114:H119" si="41">F114/G114</f>
        <v>2.9216467463479414E-2</v>
      </c>
    </row>
    <row r="115" spans="1:9" x14ac:dyDescent="0.15">
      <c r="A115" s="4">
        <v>5.0000000000000001E-3</v>
      </c>
      <c r="B115" s="1">
        <v>1276</v>
      </c>
      <c r="C115" s="1">
        <v>1019</v>
      </c>
      <c r="D115" s="31">
        <f t="shared" si="40"/>
        <v>0.79858934169278994</v>
      </c>
      <c r="E115" s="1" t="s">
        <v>172</v>
      </c>
      <c r="F115" s="6">
        <v>52</v>
      </c>
      <c r="G115" s="6">
        <v>1810</v>
      </c>
      <c r="H115">
        <f t="shared" si="41"/>
        <v>2.8729281767955802E-2</v>
      </c>
    </row>
    <row r="116" spans="1:9" x14ac:dyDescent="0.15">
      <c r="A116" s="4">
        <v>8.0000000000000002E-3</v>
      </c>
      <c r="B116" s="1">
        <v>1276</v>
      </c>
      <c r="C116" s="1">
        <v>1015</v>
      </c>
      <c r="D116" s="31">
        <f t="shared" si="40"/>
        <v>0.79545454545454541</v>
      </c>
      <c r="E116" s="1" t="s">
        <v>202</v>
      </c>
      <c r="F116" s="6">
        <v>54</v>
      </c>
      <c r="G116" s="6">
        <v>1878</v>
      </c>
      <c r="H116">
        <f t="shared" si="41"/>
        <v>2.8753993610223641E-2</v>
      </c>
    </row>
    <row r="117" spans="1:9" x14ac:dyDescent="0.15">
      <c r="A117" s="4">
        <v>0.01</v>
      </c>
      <c r="B117" s="1">
        <v>1276</v>
      </c>
      <c r="C117" s="1">
        <v>1015</v>
      </c>
      <c r="D117" s="31">
        <f t="shared" si="40"/>
        <v>0.79545454545454541</v>
      </c>
      <c r="E117" s="1" t="s">
        <v>120</v>
      </c>
      <c r="F117" s="6">
        <v>54</v>
      </c>
      <c r="G117" s="6">
        <v>1866</v>
      </c>
      <c r="H117">
        <f t="shared" si="41"/>
        <v>2.8938906752411574E-2</v>
      </c>
    </row>
    <row r="118" spans="1:9" x14ac:dyDescent="0.15">
      <c r="A118" s="4">
        <v>0.03</v>
      </c>
      <c r="B118" s="1">
        <v>1276</v>
      </c>
      <c r="C118" s="2">
        <v>1012</v>
      </c>
      <c r="D118" s="31">
        <f t="shared" si="40"/>
        <v>0.7931034482758621</v>
      </c>
      <c r="E118" s="1" t="s">
        <v>213</v>
      </c>
      <c r="F118" s="6">
        <v>50</v>
      </c>
      <c r="G118" s="6">
        <v>1802</v>
      </c>
      <c r="H118">
        <f t="shared" si="41"/>
        <v>2.774694783573807E-2</v>
      </c>
    </row>
    <row r="119" spans="1:9" x14ac:dyDescent="0.15">
      <c r="A119" s="4">
        <v>0.05</v>
      </c>
      <c r="B119" s="1">
        <v>1276</v>
      </c>
      <c r="C119" s="2">
        <v>1002</v>
      </c>
      <c r="D119" s="31">
        <f t="shared" si="40"/>
        <v>0.78526645768025083</v>
      </c>
      <c r="E119" s="1" t="s">
        <v>226</v>
      </c>
      <c r="F119" s="6">
        <v>57</v>
      </c>
      <c r="G119" s="6">
        <v>2099</v>
      </c>
      <c r="H119">
        <f t="shared" si="41"/>
        <v>2.7155788470700333E-2</v>
      </c>
    </row>
    <row r="120" spans="1:9" x14ac:dyDescent="0.15">
      <c r="B120" s="6"/>
      <c r="C120" s="6"/>
      <c r="D120" s="6">
        <f>AVERAGE(D113:D119)</f>
        <v>0.79724585759068523</v>
      </c>
      <c r="E120" s="6"/>
      <c r="H120">
        <f>AVERAGE(H113:H119)</f>
        <v>2.8518563485833148E-2</v>
      </c>
    </row>
    <row r="121" spans="1:9" x14ac:dyDescent="0.15">
      <c r="B121" s="6"/>
      <c r="C121" s="6"/>
      <c r="D121" s="6"/>
      <c r="E121" s="6"/>
    </row>
    <row r="122" spans="1:9" x14ac:dyDescent="0.15">
      <c r="A122" s="5" t="s">
        <v>15</v>
      </c>
      <c r="B122" s="6"/>
      <c r="C122" s="6"/>
      <c r="D122" s="6"/>
      <c r="E122" s="6"/>
    </row>
    <row r="123" spans="1:9" x14ac:dyDescent="0.15">
      <c r="A123" s="3" t="s">
        <v>1</v>
      </c>
      <c r="B123" s="1" t="s">
        <v>2</v>
      </c>
      <c r="C123" s="1" t="s">
        <v>3</v>
      </c>
      <c r="D123" s="1" t="s">
        <v>4</v>
      </c>
      <c r="E123" s="1" t="s">
        <v>5</v>
      </c>
    </row>
    <row r="124" spans="1:9" x14ac:dyDescent="0.15">
      <c r="A124" s="4">
        <v>1E-3</v>
      </c>
      <c r="B124" s="1">
        <v>1104</v>
      </c>
      <c r="C124" s="1">
        <v>1056</v>
      </c>
      <c r="D124" s="1">
        <f>C124/B124</f>
        <v>0.95652173913043481</v>
      </c>
      <c r="E124" s="1" t="s">
        <v>145</v>
      </c>
      <c r="F124" s="6">
        <v>56</v>
      </c>
      <c r="G124" s="6">
        <v>2494</v>
      </c>
      <c r="H124">
        <f>F124/G124</f>
        <v>2.2453889334402566E-2</v>
      </c>
    </row>
    <row r="125" spans="1:9" x14ac:dyDescent="0.15">
      <c r="A125" s="4">
        <v>3.0000000000000001E-3</v>
      </c>
      <c r="B125" s="1">
        <v>1104</v>
      </c>
      <c r="C125" s="1">
        <v>1052</v>
      </c>
      <c r="D125" s="31">
        <f t="shared" ref="D125:D130" si="42">C125/B125</f>
        <v>0.95289855072463769</v>
      </c>
      <c r="E125" s="1" t="s">
        <v>161</v>
      </c>
      <c r="F125" s="6">
        <v>58</v>
      </c>
      <c r="G125" s="6">
        <v>2574</v>
      </c>
      <c r="H125">
        <f t="shared" ref="H125:H130" si="43">F125/G125</f>
        <v>2.2533022533022532E-2</v>
      </c>
    </row>
    <row r="126" spans="1:9" x14ac:dyDescent="0.15">
      <c r="A126" s="4">
        <v>5.0000000000000001E-3</v>
      </c>
      <c r="B126" s="1">
        <v>1104</v>
      </c>
      <c r="C126" s="1">
        <v>1056</v>
      </c>
      <c r="D126" s="31">
        <f t="shared" si="42"/>
        <v>0.95652173913043481</v>
      </c>
      <c r="E126" s="1" t="s">
        <v>173</v>
      </c>
      <c r="F126" s="6">
        <v>63</v>
      </c>
      <c r="G126" s="6">
        <v>2794</v>
      </c>
      <c r="H126">
        <f t="shared" si="43"/>
        <v>2.2548317823908374E-2</v>
      </c>
      <c r="I126" s="6" t="s">
        <v>174</v>
      </c>
    </row>
    <row r="127" spans="1:9" x14ac:dyDescent="0.15">
      <c r="A127" s="4">
        <v>8.0000000000000002E-3</v>
      </c>
      <c r="B127" s="1">
        <v>1104</v>
      </c>
      <c r="C127" s="1">
        <v>1053</v>
      </c>
      <c r="D127" s="31">
        <f t="shared" si="42"/>
        <v>0.95380434782608692</v>
      </c>
      <c r="E127" s="1" t="s">
        <v>203</v>
      </c>
      <c r="F127" s="6">
        <v>71</v>
      </c>
      <c r="G127" s="6">
        <v>3157</v>
      </c>
      <c r="H127">
        <f t="shared" si="43"/>
        <v>2.2489705416534684E-2</v>
      </c>
    </row>
    <row r="128" spans="1:9" x14ac:dyDescent="0.15">
      <c r="A128" s="4">
        <v>0.01</v>
      </c>
      <c r="B128" s="1">
        <v>1104</v>
      </c>
      <c r="C128" s="2">
        <v>1045</v>
      </c>
      <c r="D128" s="31">
        <f t="shared" si="42"/>
        <v>0.94655797101449279</v>
      </c>
      <c r="E128" s="1" t="s">
        <v>119</v>
      </c>
      <c r="F128" s="6">
        <v>70</v>
      </c>
      <c r="G128" s="6">
        <v>3132</v>
      </c>
      <c r="H128">
        <f t="shared" si="43"/>
        <v>2.2349936143039591E-2</v>
      </c>
    </row>
    <row r="129" spans="1:8" x14ac:dyDescent="0.15">
      <c r="A129" s="4">
        <v>0.03</v>
      </c>
      <c r="B129" s="1">
        <v>1104</v>
      </c>
      <c r="C129" s="1">
        <v>1022</v>
      </c>
      <c r="D129" s="31">
        <f t="shared" si="42"/>
        <v>0.92572463768115942</v>
      </c>
      <c r="E129" s="1" t="s">
        <v>214</v>
      </c>
      <c r="F129" s="6">
        <v>85</v>
      </c>
      <c r="G129" s="6">
        <v>3894</v>
      </c>
      <c r="H129">
        <f t="shared" si="43"/>
        <v>2.1828454031843861E-2</v>
      </c>
    </row>
    <row r="130" spans="1:8" x14ac:dyDescent="0.15">
      <c r="A130" s="4">
        <v>0.05</v>
      </c>
      <c r="B130" s="1">
        <v>1104</v>
      </c>
      <c r="C130" s="2">
        <v>1017</v>
      </c>
      <c r="D130" s="31">
        <f t="shared" si="42"/>
        <v>0.92119565217391308</v>
      </c>
      <c r="E130" s="1" t="s">
        <v>227</v>
      </c>
      <c r="F130" s="6">
        <v>91</v>
      </c>
      <c r="G130" s="6">
        <v>4064</v>
      </c>
      <c r="H130">
        <f t="shared" si="43"/>
        <v>2.2391732283464565E-2</v>
      </c>
    </row>
    <row r="131" spans="1:8" x14ac:dyDescent="0.15">
      <c r="B131" s="6"/>
      <c r="C131" s="6"/>
      <c r="D131" s="6">
        <f>AVERAGE(D124:D130)</f>
        <v>0.94474637681159412</v>
      </c>
      <c r="E131" s="6"/>
      <c r="H131">
        <f>AVERAGE(H124:H130)</f>
        <v>2.2370722509459453E-2</v>
      </c>
    </row>
    <row r="135" spans="1:8" x14ac:dyDescent="0.15">
      <c r="A135" s="32" t="s">
        <v>26</v>
      </c>
      <c r="B135" s="32" t="s">
        <v>27</v>
      </c>
      <c r="C135" s="50" t="s">
        <v>228</v>
      </c>
      <c r="D135" s="50"/>
      <c r="E135" s="50"/>
    </row>
    <row r="136" spans="1:8" x14ac:dyDescent="0.15">
      <c r="A136" s="32"/>
      <c r="B136" s="32"/>
      <c r="C136" s="32" t="s">
        <v>84</v>
      </c>
      <c r="D136" s="32" t="s">
        <v>89</v>
      </c>
      <c r="E136" s="32" t="s">
        <v>90</v>
      </c>
      <c r="F136" s="6" t="s">
        <v>236</v>
      </c>
    </row>
    <row r="137" spans="1:8" x14ac:dyDescent="0.15">
      <c r="A137" s="32" t="s">
        <v>0</v>
      </c>
      <c r="B137" s="32" t="s">
        <v>28</v>
      </c>
      <c r="C137" s="32">
        <v>0.89600000000000002</v>
      </c>
      <c r="D137" s="32">
        <v>0.89300000000000002</v>
      </c>
      <c r="E137" s="32">
        <v>0.873</v>
      </c>
      <c r="F137" s="36">
        <v>4.66</v>
      </c>
    </row>
    <row r="138" spans="1:8" x14ac:dyDescent="0.15">
      <c r="A138" s="32" t="s">
        <v>16</v>
      </c>
      <c r="B138" s="32" t="s">
        <v>29</v>
      </c>
      <c r="C138" s="32">
        <v>0.61</v>
      </c>
      <c r="D138" s="32">
        <v>0.59499999999999997</v>
      </c>
      <c r="E138" s="32">
        <v>0.59199999999999997</v>
      </c>
      <c r="F138" s="36">
        <v>4.05</v>
      </c>
    </row>
    <row r="139" spans="1:8" x14ac:dyDescent="0.15">
      <c r="A139" s="32" t="s">
        <v>6</v>
      </c>
      <c r="B139" s="32" t="s">
        <v>30</v>
      </c>
      <c r="C139" s="32">
        <v>0.72399999999999998</v>
      </c>
      <c r="D139" s="32">
        <v>0.66200000000000003</v>
      </c>
      <c r="E139" s="32">
        <v>0.64700000000000002</v>
      </c>
      <c r="F139" s="36">
        <v>4.84</v>
      </c>
    </row>
    <row r="140" spans="1:8" x14ac:dyDescent="0.15">
      <c r="A140" s="32" t="s">
        <v>7</v>
      </c>
      <c r="B140" s="32" t="s">
        <v>31</v>
      </c>
      <c r="C140" s="32">
        <v>0.97499999999999998</v>
      </c>
      <c r="D140" s="32">
        <v>0.96599999999999997</v>
      </c>
      <c r="E140" s="32">
        <v>0.93600000000000005</v>
      </c>
      <c r="F140" s="36">
        <v>2.34</v>
      </c>
    </row>
    <row r="141" spans="1:8" x14ac:dyDescent="0.15">
      <c r="A141" s="32" t="s">
        <v>8</v>
      </c>
      <c r="B141" s="32" t="s">
        <v>32</v>
      </c>
      <c r="C141" s="32">
        <v>0.98099999999999998</v>
      </c>
      <c r="D141" s="32">
        <v>0.97799999999999998</v>
      </c>
      <c r="E141" s="32">
        <v>0.94599999999999995</v>
      </c>
      <c r="F141" s="36">
        <v>2.92</v>
      </c>
    </row>
    <row r="142" spans="1:8" x14ac:dyDescent="0.15">
      <c r="A142" s="32" t="s">
        <v>9</v>
      </c>
      <c r="B142" s="32" t="s">
        <v>33</v>
      </c>
      <c r="C142" s="32">
        <v>0.94799999999999995</v>
      </c>
      <c r="D142" s="32">
        <v>0.94</v>
      </c>
      <c r="E142" s="32">
        <v>0.876</v>
      </c>
      <c r="F142" s="36">
        <v>1.28</v>
      </c>
      <c r="G142" s="6">
        <f>D142-E142</f>
        <v>6.3999999999999946E-2</v>
      </c>
    </row>
    <row r="143" spans="1:8" x14ac:dyDescent="0.15">
      <c r="A143" s="32" t="s">
        <v>10</v>
      </c>
      <c r="B143" s="18" t="s">
        <v>34</v>
      </c>
      <c r="C143" s="32">
        <v>0.89200000000000002</v>
      </c>
      <c r="D143" s="32">
        <v>0.878</v>
      </c>
      <c r="E143" s="32">
        <v>0.751</v>
      </c>
      <c r="F143" s="36">
        <v>1.99</v>
      </c>
      <c r="G143" s="6">
        <f>D143-E143</f>
        <v>0.127</v>
      </c>
    </row>
    <row r="144" spans="1:8" x14ac:dyDescent="0.15">
      <c r="A144" s="32" t="s">
        <v>11</v>
      </c>
      <c r="B144" s="32" t="s">
        <v>35</v>
      </c>
      <c r="C144" s="32">
        <v>0.97199999999999998</v>
      </c>
      <c r="D144" s="32">
        <v>0.97</v>
      </c>
      <c r="E144" s="32">
        <v>0.96099999999999997</v>
      </c>
      <c r="F144" s="36">
        <v>5.43</v>
      </c>
      <c r="G144" s="6">
        <f>D144-E144</f>
        <v>9.000000000000008E-3</v>
      </c>
    </row>
    <row r="145" spans="1:8" x14ac:dyDescent="0.15">
      <c r="A145" s="32" t="s">
        <v>12</v>
      </c>
      <c r="B145" s="32" t="s">
        <v>35</v>
      </c>
      <c r="C145" s="32">
        <v>0.82899999999999996</v>
      </c>
      <c r="D145" s="32">
        <v>0.82199999999999995</v>
      </c>
      <c r="E145" s="32">
        <v>0.76600000000000001</v>
      </c>
      <c r="F145" s="36">
        <v>4.7</v>
      </c>
    </row>
    <row r="146" spans="1:8" x14ac:dyDescent="0.15">
      <c r="A146" s="32" t="s">
        <v>13</v>
      </c>
      <c r="B146" s="32" t="s">
        <v>35</v>
      </c>
      <c r="C146" s="32">
        <v>0.84799999999999998</v>
      </c>
      <c r="D146" s="32">
        <v>0.84899999999999998</v>
      </c>
      <c r="E146" s="32">
        <v>0.84</v>
      </c>
      <c r="F146" s="36">
        <v>4.9400000000000004</v>
      </c>
    </row>
    <row r="147" spans="1:8" x14ac:dyDescent="0.15">
      <c r="A147" s="32" t="s">
        <v>14</v>
      </c>
      <c r="B147" s="32" t="s">
        <v>36</v>
      </c>
      <c r="C147" s="32">
        <v>0.82899999999999996</v>
      </c>
      <c r="D147" s="32">
        <v>0.81899999999999995</v>
      </c>
      <c r="E147" s="32">
        <v>0.79700000000000004</v>
      </c>
      <c r="F147" s="36">
        <v>2.85</v>
      </c>
    </row>
    <row r="148" spans="1:8" x14ac:dyDescent="0.15">
      <c r="A148" s="32" t="s">
        <v>15</v>
      </c>
      <c r="B148" s="32" t="s">
        <v>36</v>
      </c>
      <c r="C148" s="32">
        <v>0.95899999999999996</v>
      </c>
      <c r="D148" s="32">
        <v>0.95299999999999996</v>
      </c>
      <c r="E148" s="32">
        <v>0.94499999999999995</v>
      </c>
      <c r="F148" s="36">
        <v>2.2400000000000002</v>
      </c>
    </row>
    <row r="149" spans="1:8" x14ac:dyDescent="0.15">
      <c r="C149" s="6">
        <f>AVERAGE(C137:C148)</f>
        <v>0.87191666666666678</v>
      </c>
      <c r="D149" s="6">
        <f>AVERAGE(D137:D148)</f>
        <v>0.86041666666666661</v>
      </c>
      <c r="E149" s="6">
        <f>AVERAGE(E137:E148)</f>
        <v>0.82750000000000012</v>
      </c>
      <c r="F149" s="6">
        <f>AVERAGE(F137:F148)</f>
        <v>3.52</v>
      </c>
      <c r="G149" s="6">
        <f>C149-E149</f>
        <v>4.441666666666666E-2</v>
      </c>
      <c r="H149" s="6">
        <f>D149-E149</f>
        <v>3.2916666666666483E-2</v>
      </c>
    </row>
    <row r="154" spans="1:8" x14ac:dyDescent="0.15">
      <c r="A154" s="35" t="s">
        <v>26</v>
      </c>
      <c r="B154" s="35" t="s">
        <v>27</v>
      </c>
      <c r="C154" s="50" t="s">
        <v>238</v>
      </c>
      <c r="D154" s="50"/>
      <c r="E154" s="50" t="s">
        <v>239</v>
      </c>
      <c r="F154" s="50"/>
    </row>
    <row r="155" spans="1:8" x14ac:dyDescent="0.15">
      <c r="A155" s="35"/>
      <c r="B155" s="35"/>
      <c r="C155" s="35" t="s">
        <v>237</v>
      </c>
      <c r="D155" s="35" t="s">
        <v>241</v>
      </c>
      <c r="E155" s="35" t="s">
        <v>240</v>
      </c>
      <c r="F155" s="35" t="s">
        <v>241</v>
      </c>
      <c r="G155" s="6" t="s">
        <v>242</v>
      </c>
    </row>
    <row r="156" spans="1:8" x14ac:dyDescent="0.15">
      <c r="A156" s="35" t="s">
        <v>0</v>
      </c>
      <c r="B156" s="35" t="s">
        <v>28</v>
      </c>
      <c r="C156" s="35">
        <v>521</v>
      </c>
      <c r="D156" s="35">
        <v>14356</v>
      </c>
      <c r="E156" s="35">
        <v>521</v>
      </c>
      <c r="F156" s="35">
        <v>193</v>
      </c>
      <c r="G156" s="6">
        <f>D156/F156</f>
        <v>74.383419689119165</v>
      </c>
      <c r="H156" s="35">
        <v>599</v>
      </c>
    </row>
    <row r="157" spans="1:8" x14ac:dyDescent="0.15">
      <c r="A157" s="35" t="s">
        <v>16</v>
      </c>
      <c r="B157" s="35" t="s">
        <v>29</v>
      </c>
      <c r="C157" s="35">
        <v>663</v>
      </c>
      <c r="D157" s="35">
        <v>185863</v>
      </c>
      <c r="E157" s="35">
        <v>663</v>
      </c>
      <c r="F157" s="35">
        <v>879</v>
      </c>
      <c r="G157" s="6">
        <f>D157/F157</f>
        <v>211.44823663253698</v>
      </c>
      <c r="H157" s="35">
        <v>1013</v>
      </c>
    </row>
    <row r="158" spans="1:8" x14ac:dyDescent="0.15">
      <c r="A158" s="35" t="s">
        <v>6</v>
      </c>
      <c r="B158" s="35" t="s">
        <v>30</v>
      </c>
      <c r="C158" s="35">
        <v>928</v>
      </c>
      <c r="D158" s="35">
        <f>2094*60+9</f>
        <v>125649</v>
      </c>
      <c r="E158" s="35">
        <v>928</v>
      </c>
      <c r="F158" s="35">
        <f>51*60+13</f>
        <v>3073</v>
      </c>
      <c r="G158" s="6">
        <f>D158/F158</f>
        <v>40.888057273023108</v>
      </c>
      <c r="H158" s="35">
        <v>1434</v>
      </c>
    </row>
    <row r="159" spans="1:8" x14ac:dyDescent="0.15">
      <c r="A159" s="35" t="s">
        <v>7</v>
      </c>
      <c r="B159" s="35" t="s">
        <v>31</v>
      </c>
      <c r="C159" s="35"/>
      <c r="D159" s="35"/>
      <c r="E159" s="35"/>
      <c r="F159" s="35"/>
      <c r="H159" s="35">
        <v>1615</v>
      </c>
    </row>
    <row r="160" spans="1:8" x14ac:dyDescent="0.15">
      <c r="A160" s="35" t="s">
        <v>8</v>
      </c>
      <c r="B160" s="35" t="s">
        <v>32</v>
      </c>
      <c r="C160" s="35"/>
      <c r="D160" s="35"/>
      <c r="E160" s="35"/>
      <c r="F160" s="35"/>
      <c r="H160" s="35">
        <v>2432</v>
      </c>
    </row>
    <row r="161" spans="1:8" x14ac:dyDescent="0.15">
      <c r="A161" s="35" t="s">
        <v>9</v>
      </c>
      <c r="B161" s="35" t="s">
        <v>33</v>
      </c>
      <c r="C161" s="35"/>
      <c r="D161" s="35"/>
      <c r="E161" s="35"/>
      <c r="F161" s="35"/>
      <c r="H161" s="35">
        <v>2759</v>
      </c>
    </row>
    <row r="162" spans="1:8" x14ac:dyDescent="0.15">
      <c r="A162" s="35" t="s">
        <v>10</v>
      </c>
      <c r="B162" s="18" t="s">
        <v>34</v>
      </c>
      <c r="C162" s="35"/>
      <c r="D162" s="35"/>
      <c r="E162" s="35"/>
      <c r="F162" s="35"/>
      <c r="H162" s="35">
        <v>2740</v>
      </c>
    </row>
    <row r="163" spans="1:8" x14ac:dyDescent="0.15">
      <c r="A163" s="35" t="s">
        <v>11</v>
      </c>
      <c r="B163" s="35" t="s">
        <v>35</v>
      </c>
      <c r="C163" s="35">
        <v>664</v>
      </c>
      <c r="D163" s="35">
        <v>3561</v>
      </c>
      <c r="E163" s="35">
        <v>664</v>
      </c>
      <c r="F163" s="35">
        <v>110</v>
      </c>
      <c r="G163" s="6">
        <f>D163/F163</f>
        <v>32.372727272727275</v>
      </c>
      <c r="H163" s="35">
        <v>691</v>
      </c>
    </row>
    <row r="164" spans="1:8" x14ac:dyDescent="0.15">
      <c r="A164" s="35" t="s">
        <v>12</v>
      </c>
      <c r="B164" s="35" t="s">
        <v>35</v>
      </c>
      <c r="C164" s="35"/>
      <c r="D164" s="35"/>
      <c r="E164" s="35"/>
      <c r="F164" s="35"/>
      <c r="H164" s="35">
        <v>1063</v>
      </c>
    </row>
    <row r="165" spans="1:8" x14ac:dyDescent="0.15">
      <c r="A165" s="35" t="s">
        <v>13</v>
      </c>
      <c r="B165" s="35" t="s">
        <v>35</v>
      </c>
      <c r="C165" s="35"/>
      <c r="D165" s="35"/>
      <c r="E165" s="35"/>
      <c r="F165" s="35"/>
      <c r="H165" s="35">
        <v>1128</v>
      </c>
    </row>
    <row r="166" spans="1:8" x14ac:dyDescent="0.15">
      <c r="A166" s="35" t="s">
        <v>14</v>
      </c>
      <c r="B166" s="35" t="s">
        <v>36</v>
      </c>
      <c r="C166" s="35">
        <v>1015</v>
      </c>
      <c r="D166" s="35">
        <f>5875*60+2</f>
        <v>352502</v>
      </c>
      <c r="E166" s="35">
        <v>1015</v>
      </c>
      <c r="F166" s="35">
        <f>31*60+5</f>
        <v>1865</v>
      </c>
      <c r="G166" s="6">
        <f>D166/F166</f>
        <v>189.00911528150135</v>
      </c>
      <c r="H166" s="35">
        <v>1276</v>
      </c>
    </row>
    <row r="167" spans="1:8" x14ac:dyDescent="0.15">
      <c r="A167" s="35" t="s">
        <v>15</v>
      </c>
      <c r="B167" s="35" t="s">
        <v>36</v>
      </c>
      <c r="C167" s="35"/>
      <c r="D167" s="35"/>
      <c r="E167" s="35"/>
      <c r="F167" s="35"/>
      <c r="H167" s="35">
        <v>1104</v>
      </c>
    </row>
    <row r="168" spans="1:8" x14ac:dyDescent="0.15">
      <c r="G168" s="6">
        <f>AVERAGE(G156,G157,G166,G158,G163)</f>
        <v>109.62031122978158</v>
      </c>
    </row>
    <row r="171" spans="1:8" x14ac:dyDescent="0.15">
      <c r="A171" s="37" t="s">
        <v>26</v>
      </c>
      <c r="B171" s="37" t="s">
        <v>27</v>
      </c>
      <c r="C171" s="50" t="s">
        <v>238</v>
      </c>
      <c r="D171" s="50"/>
      <c r="E171" s="50" t="s">
        <v>90</v>
      </c>
      <c r="F171" s="50"/>
    </row>
    <row r="172" spans="1:8" x14ac:dyDescent="0.15">
      <c r="A172" s="37"/>
      <c r="B172" s="37"/>
      <c r="C172" s="37" t="s">
        <v>237</v>
      </c>
      <c r="D172" s="37" t="s">
        <v>5</v>
      </c>
      <c r="E172" s="37" t="s">
        <v>237</v>
      </c>
      <c r="F172" s="37" t="s">
        <v>5</v>
      </c>
    </row>
    <row r="173" spans="1:8" x14ac:dyDescent="0.15">
      <c r="A173" s="37" t="s">
        <v>0</v>
      </c>
      <c r="B173" s="37" t="s">
        <v>28</v>
      </c>
      <c r="C173" s="37">
        <v>521</v>
      </c>
      <c r="D173" s="37">
        <v>14356</v>
      </c>
      <c r="E173" s="37">
        <v>521</v>
      </c>
      <c r="F173" s="37">
        <v>193</v>
      </c>
    </row>
    <row r="174" spans="1:8" x14ac:dyDescent="0.15">
      <c r="A174" s="37" t="s">
        <v>16</v>
      </c>
      <c r="B174" s="37" t="s">
        <v>29</v>
      </c>
      <c r="C174" s="37">
        <v>663</v>
      </c>
      <c r="D174" s="37">
        <v>185863</v>
      </c>
      <c r="E174" s="37">
        <v>663</v>
      </c>
      <c r="F174" s="37">
        <v>879</v>
      </c>
    </row>
    <row r="175" spans="1:8" x14ac:dyDescent="0.15">
      <c r="A175" s="37" t="s">
        <v>6</v>
      </c>
      <c r="B175" s="37" t="s">
        <v>30</v>
      </c>
      <c r="C175" s="37">
        <v>928</v>
      </c>
      <c r="D175" s="37">
        <f>2094*60+9</f>
        <v>125649</v>
      </c>
      <c r="E175" s="37">
        <v>928</v>
      </c>
      <c r="F175" s="37">
        <f>51*60+13</f>
        <v>3073</v>
      </c>
    </row>
    <row r="176" spans="1:8" x14ac:dyDescent="0.15">
      <c r="A176" s="37" t="s">
        <v>7</v>
      </c>
      <c r="B176" s="37" t="s">
        <v>31</v>
      </c>
      <c r="C176" s="37"/>
      <c r="D176" s="37"/>
      <c r="E176" s="37"/>
      <c r="F176" s="37"/>
    </row>
    <row r="177" spans="1:15" x14ac:dyDescent="0.15">
      <c r="A177" s="37" t="s">
        <v>8</v>
      </c>
      <c r="B177" s="37" t="s">
        <v>32</v>
      </c>
      <c r="C177" s="37"/>
      <c r="D177" s="37"/>
      <c r="E177" s="37"/>
      <c r="F177" s="37"/>
    </row>
    <row r="178" spans="1:15" x14ac:dyDescent="0.15">
      <c r="A178" s="37" t="s">
        <v>9</v>
      </c>
      <c r="B178" s="37" t="s">
        <v>33</v>
      </c>
      <c r="C178" s="37"/>
      <c r="D178" s="37"/>
      <c r="E178" s="37"/>
      <c r="F178" s="37"/>
    </row>
    <row r="179" spans="1:15" x14ac:dyDescent="0.15">
      <c r="A179" s="37" t="s">
        <v>10</v>
      </c>
      <c r="B179" s="18" t="s">
        <v>34</v>
      </c>
      <c r="C179" s="37"/>
      <c r="D179" s="37"/>
      <c r="E179" s="37"/>
      <c r="F179" s="37"/>
    </row>
    <row r="180" spans="1:15" x14ac:dyDescent="0.15">
      <c r="A180" s="37" t="s">
        <v>11</v>
      </c>
      <c r="B180" s="37" t="s">
        <v>35</v>
      </c>
      <c r="C180" s="37">
        <v>664</v>
      </c>
      <c r="D180" s="37">
        <v>3561</v>
      </c>
      <c r="E180" s="37">
        <v>664</v>
      </c>
      <c r="F180" s="37">
        <v>110</v>
      </c>
    </row>
    <row r="181" spans="1:15" x14ac:dyDescent="0.15">
      <c r="A181" s="37" t="s">
        <v>12</v>
      </c>
      <c r="B181" s="37" t="s">
        <v>35</v>
      </c>
      <c r="C181" s="37"/>
      <c r="D181" s="37"/>
      <c r="E181" s="37"/>
      <c r="F181" s="37"/>
    </row>
    <row r="182" spans="1:15" x14ac:dyDescent="0.15">
      <c r="A182" s="37" t="s">
        <v>13</v>
      </c>
      <c r="B182" s="37" t="s">
        <v>35</v>
      </c>
      <c r="C182" s="37"/>
      <c r="D182" s="37"/>
      <c r="E182" s="37"/>
      <c r="F182" s="37"/>
    </row>
    <row r="183" spans="1:15" x14ac:dyDescent="0.15">
      <c r="A183" s="37" t="s">
        <v>14</v>
      </c>
      <c r="B183" s="37" t="s">
        <v>36</v>
      </c>
      <c r="C183" s="37">
        <v>1015</v>
      </c>
      <c r="D183" s="37">
        <f>5875*60+2</f>
        <v>352502</v>
      </c>
      <c r="E183" s="37">
        <v>1015</v>
      </c>
      <c r="F183" s="37">
        <f>31*60+5</f>
        <v>1865</v>
      </c>
    </row>
    <row r="184" spans="1:15" x14ac:dyDescent="0.15">
      <c r="A184" s="37" t="s">
        <v>15</v>
      </c>
      <c r="B184" s="37" t="s">
        <v>36</v>
      </c>
      <c r="C184" s="37"/>
      <c r="D184" s="37"/>
      <c r="E184" s="37"/>
      <c r="F184" s="37"/>
    </row>
    <row r="187" spans="1:15" x14ac:dyDescent="0.15">
      <c r="A187" s="37" t="s">
        <v>26</v>
      </c>
      <c r="B187" s="37" t="s">
        <v>27</v>
      </c>
      <c r="C187" s="50" t="s">
        <v>243</v>
      </c>
      <c r="D187" s="50"/>
      <c r="E187" s="50"/>
      <c r="F187" s="50"/>
      <c r="G187" s="50" t="s">
        <v>244</v>
      </c>
      <c r="H187" s="50"/>
      <c r="I187" s="50"/>
      <c r="J187" s="50"/>
      <c r="K187" s="37" t="s">
        <v>252</v>
      </c>
      <c r="L187" s="37" t="s">
        <v>248</v>
      </c>
      <c r="M187" s="23" t="s">
        <v>250</v>
      </c>
    </row>
    <row r="188" spans="1:15" x14ac:dyDescent="0.15">
      <c r="A188" s="37"/>
      <c r="B188" s="37"/>
      <c r="C188" s="37" t="s">
        <v>245</v>
      </c>
      <c r="D188" s="37" t="s">
        <v>247</v>
      </c>
      <c r="E188" s="37" t="s">
        <v>251</v>
      </c>
      <c r="F188" s="37" t="s">
        <v>246</v>
      </c>
      <c r="G188" s="37" t="s">
        <v>245</v>
      </c>
      <c r="H188" s="37" t="s">
        <v>247</v>
      </c>
      <c r="I188" s="37" t="s">
        <v>251</v>
      </c>
      <c r="J188" s="37" t="s">
        <v>246</v>
      </c>
      <c r="K188" s="37" t="s">
        <v>253</v>
      </c>
      <c r="L188" s="37" t="s">
        <v>249</v>
      </c>
      <c r="M188" s="37" t="s">
        <v>249</v>
      </c>
    </row>
    <row r="189" spans="1:15" x14ac:dyDescent="0.15">
      <c r="A189" s="37" t="s">
        <v>0</v>
      </c>
      <c r="B189" s="37" t="s">
        <v>28</v>
      </c>
      <c r="C189" s="37">
        <v>492</v>
      </c>
      <c r="D189" s="37">
        <f>4*60+12</f>
        <v>252</v>
      </c>
      <c r="E189" s="37">
        <v>11</v>
      </c>
      <c r="F189" s="40">
        <f>D189/E189</f>
        <v>22.90909090909091</v>
      </c>
      <c r="G189" s="37">
        <v>487</v>
      </c>
      <c r="H189" s="37">
        <v>370</v>
      </c>
      <c r="I189" s="37">
        <v>12</v>
      </c>
      <c r="J189" s="40">
        <f>H189/I189</f>
        <v>30.833333333333332</v>
      </c>
      <c r="K189" s="33">
        <f>(C189-G189)/O189</f>
        <v>8.3472454090150246E-3</v>
      </c>
      <c r="L189" s="41">
        <f t="shared" ref="L189:L200" si="44">H189/D189</f>
        <v>1.4682539682539681</v>
      </c>
      <c r="M189" s="41">
        <f>J189/F189</f>
        <v>1.3458994708994707</v>
      </c>
      <c r="O189" s="37">
        <v>599</v>
      </c>
    </row>
    <row r="190" spans="1:15" x14ac:dyDescent="0.15">
      <c r="A190" s="37" t="s">
        <v>16</v>
      </c>
      <c r="B190" s="37" t="s">
        <v>29</v>
      </c>
      <c r="C190" s="37">
        <v>279</v>
      </c>
      <c r="D190" s="37">
        <v>1595</v>
      </c>
      <c r="E190" s="37">
        <v>62</v>
      </c>
      <c r="F190" s="40">
        <f t="shared" ref="F190:F200" si="45">D190/E190</f>
        <v>25.725806451612904</v>
      </c>
      <c r="G190" s="37">
        <v>279</v>
      </c>
      <c r="H190" s="37">
        <v>2458</v>
      </c>
      <c r="I190" s="37">
        <v>69</v>
      </c>
      <c r="J190" s="40">
        <f t="shared" ref="J190:J200" si="46">H190/I190</f>
        <v>35.623188405797102</v>
      </c>
      <c r="K190" s="33">
        <f t="shared" ref="K190:K200" si="47">(C190-G190)/O190</f>
        <v>0</v>
      </c>
      <c r="L190" s="41">
        <f t="shared" si="44"/>
        <v>1.5410658307210032</v>
      </c>
      <c r="M190" s="41">
        <f t="shared" ref="M190:M200" si="48">J190/F190</f>
        <v>1.3847258189087275</v>
      </c>
      <c r="O190" s="37">
        <v>1013</v>
      </c>
    </row>
    <row r="191" spans="1:15" x14ac:dyDescent="0.15">
      <c r="A191" s="37" t="s">
        <v>6</v>
      </c>
      <c r="B191" s="37" t="s">
        <v>30</v>
      </c>
      <c r="C191" s="37">
        <v>905</v>
      </c>
      <c r="D191" s="37">
        <v>663</v>
      </c>
      <c r="E191" s="37">
        <v>14</v>
      </c>
      <c r="F191" s="40">
        <f t="shared" si="45"/>
        <v>47.357142857142854</v>
      </c>
      <c r="G191" s="37">
        <v>873</v>
      </c>
      <c r="H191" s="37">
        <v>5054</v>
      </c>
      <c r="I191" s="37">
        <v>58</v>
      </c>
      <c r="J191" s="40">
        <f t="shared" si="46"/>
        <v>87.137931034482762</v>
      </c>
      <c r="K191" s="33">
        <f t="shared" si="47"/>
        <v>2.2315202231520222E-2</v>
      </c>
      <c r="L191" s="41">
        <f t="shared" si="44"/>
        <v>7.6229260935143284</v>
      </c>
      <c r="M191" s="41">
        <f t="shared" si="48"/>
        <v>1.8400166432620795</v>
      </c>
      <c r="O191" s="37">
        <v>1434</v>
      </c>
    </row>
    <row r="192" spans="1:15" x14ac:dyDescent="0.15">
      <c r="A192" s="37" t="s">
        <v>7</v>
      </c>
      <c r="B192" s="37" t="s">
        <v>31</v>
      </c>
      <c r="C192" s="37">
        <v>1504</v>
      </c>
      <c r="D192" s="37">
        <f>38*60</f>
        <v>2280</v>
      </c>
      <c r="E192" s="37">
        <v>13</v>
      </c>
      <c r="F192" s="40">
        <f t="shared" si="45"/>
        <v>175.38461538461539</v>
      </c>
      <c r="G192" s="37">
        <v>1278</v>
      </c>
      <c r="H192" s="37">
        <v>17473</v>
      </c>
      <c r="I192" s="37">
        <v>80</v>
      </c>
      <c r="J192" s="40">
        <f t="shared" si="46"/>
        <v>218.41249999999999</v>
      </c>
      <c r="K192" s="33">
        <f t="shared" si="47"/>
        <v>0.13993808049535603</v>
      </c>
      <c r="L192" s="41">
        <f t="shared" si="44"/>
        <v>7.6635964912280699</v>
      </c>
      <c r="M192" s="41">
        <f t="shared" si="48"/>
        <v>1.2453344298245614</v>
      </c>
      <c r="O192" s="37">
        <v>1615</v>
      </c>
    </row>
    <row r="193" spans="1:15" x14ac:dyDescent="0.15">
      <c r="A193" s="37" t="s">
        <v>8</v>
      </c>
      <c r="B193" s="37" t="s">
        <v>32</v>
      </c>
      <c r="C193" s="37">
        <v>2325</v>
      </c>
      <c r="D193" s="37">
        <f>65*60+37</f>
        <v>3937</v>
      </c>
      <c r="E193" s="37">
        <v>23</v>
      </c>
      <c r="F193" s="40">
        <f t="shared" si="45"/>
        <v>171.17391304347825</v>
      </c>
      <c r="G193" s="37">
        <v>2221</v>
      </c>
      <c r="H193" s="37">
        <v>24445</v>
      </c>
      <c r="I193" s="37">
        <v>59</v>
      </c>
      <c r="J193" s="40">
        <f t="shared" si="46"/>
        <v>414.32203389830511</v>
      </c>
      <c r="K193" s="33">
        <f t="shared" si="47"/>
        <v>4.2763157894736843E-2</v>
      </c>
      <c r="L193" s="41">
        <f t="shared" si="44"/>
        <v>6.2090424180848363</v>
      </c>
      <c r="M193" s="41">
        <f t="shared" si="48"/>
        <v>2.4204741629822246</v>
      </c>
      <c r="O193" s="37">
        <v>2432</v>
      </c>
    </row>
    <row r="194" spans="1:15" x14ac:dyDescent="0.15">
      <c r="A194" s="37" t="s">
        <v>9</v>
      </c>
      <c r="B194" s="37" t="s">
        <v>33</v>
      </c>
      <c r="C194" s="37">
        <v>2512</v>
      </c>
      <c r="D194" s="37">
        <f>60*60+16</f>
        <v>3616</v>
      </c>
      <c r="E194" s="37">
        <v>6</v>
      </c>
      <c r="F194" s="40">
        <f t="shared" si="45"/>
        <v>602.66666666666663</v>
      </c>
      <c r="G194" s="37">
        <v>2289</v>
      </c>
      <c r="H194" s="37">
        <v>35821</v>
      </c>
      <c r="I194" s="37">
        <v>48</v>
      </c>
      <c r="J194" s="40">
        <f t="shared" si="46"/>
        <v>746.27083333333337</v>
      </c>
      <c r="K194" s="33">
        <f t="shared" si="47"/>
        <v>8.0826386371873865E-2</v>
      </c>
      <c r="L194" s="41">
        <f t="shared" si="44"/>
        <v>9.90625</v>
      </c>
      <c r="M194" s="41">
        <f t="shared" si="48"/>
        <v>1.2382812500000002</v>
      </c>
      <c r="O194" s="37">
        <v>2759</v>
      </c>
    </row>
    <row r="195" spans="1:15" x14ac:dyDescent="0.15">
      <c r="A195" s="37" t="s">
        <v>10</v>
      </c>
      <c r="B195" s="18" t="s">
        <v>34</v>
      </c>
      <c r="C195" s="37">
        <v>1845</v>
      </c>
      <c r="D195" s="37">
        <f>195*60+32</f>
        <v>11732</v>
      </c>
      <c r="E195" s="37">
        <v>36</v>
      </c>
      <c r="F195" s="40">
        <f t="shared" si="45"/>
        <v>325.88888888888891</v>
      </c>
      <c r="G195" s="37">
        <v>1197</v>
      </c>
      <c r="H195" s="37">
        <v>77075</v>
      </c>
      <c r="I195" s="37">
        <v>265</v>
      </c>
      <c r="J195" s="40">
        <f t="shared" si="46"/>
        <v>290.84905660377359</v>
      </c>
      <c r="K195" s="33">
        <f t="shared" si="47"/>
        <v>0.2364963503649635</v>
      </c>
      <c r="L195" s="41">
        <f t="shared" si="44"/>
        <v>6.5696385952949194</v>
      </c>
      <c r="M195" s="41">
        <f t="shared" si="48"/>
        <v>0.89247920539855508</v>
      </c>
      <c r="O195" s="37">
        <v>2740</v>
      </c>
    </row>
    <row r="196" spans="1:15" x14ac:dyDescent="0.15">
      <c r="A196" s="37" t="s">
        <v>11</v>
      </c>
      <c r="B196" s="37" t="s">
        <v>35</v>
      </c>
      <c r="C196" s="37">
        <v>661</v>
      </c>
      <c r="D196" s="37">
        <v>67</v>
      </c>
      <c r="E196" s="37">
        <v>2</v>
      </c>
      <c r="F196" s="40">
        <f t="shared" si="45"/>
        <v>33.5</v>
      </c>
      <c r="G196" s="37">
        <v>651</v>
      </c>
      <c r="H196" s="37">
        <v>173</v>
      </c>
      <c r="I196" s="37">
        <v>5</v>
      </c>
      <c r="J196" s="40">
        <f t="shared" si="46"/>
        <v>34.6</v>
      </c>
      <c r="K196" s="33">
        <f t="shared" si="47"/>
        <v>1.4471780028943559E-2</v>
      </c>
      <c r="L196" s="41">
        <f t="shared" si="44"/>
        <v>2.5820895522388061</v>
      </c>
      <c r="M196" s="41">
        <f t="shared" si="48"/>
        <v>1.0328358208955224</v>
      </c>
      <c r="O196" s="37">
        <v>691</v>
      </c>
    </row>
    <row r="197" spans="1:15" x14ac:dyDescent="0.15">
      <c r="A197" s="37" t="s">
        <v>12</v>
      </c>
      <c r="B197" s="37" t="s">
        <v>35</v>
      </c>
      <c r="C197" s="37">
        <v>831</v>
      </c>
      <c r="D197" s="37">
        <f>13*60+26</f>
        <v>806</v>
      </c>
      <c r="E197" s="37">
        <v>20</v>
      </c>
      <c r="F197" s="40">
        <f t="shared" si="45"/>
        <v>40.299999999999997</v>
      </c>
      <c r="G197" s="37">
        <v>779</v>
      </c>
      <c r="H197" s="37">
        <v>2361</v>
      </c>
      <c r="I197" s="37">
        <v>45</v>
      </c>
      <c r="J197" s="40">
        <f t="shared" si="46"/>
        <v>52.466666666666669</v>
      </c>
      <c r="K197" s="33">
        <f t="shared" si="47"/>
        <v>4.8918156161806212E-2</v>
      </c>
      <c r="L197" s="41">
        <f t="shared" si="44"/>
        <v>2.9292803970223327</v>
      </c>
      <c r="M197" s="41">
        <f t="shared" si="48"/>
        <v>1.3019023986765923</v>
      </c>
      <c r="O197" s="37">
        <v>1063</v>
      </c>
    </row>
    <row r="198" spans="1:15" x14ac:dyDescent="0.15">
      <c r="A198" s="37" t="s">
        <v>13</v>
      </c>
      <c r="B198" s="37" t="s">
        <v>35</v>
      </c>
      <c r="C198" s="37">
        <v>849</v>
      </c>
      <c r="D198" s="37">
        <f>47*60+9</f>
        <v>2829</v>
      </c>
      <c r="E198" s="37">
        <v>68</v>
      </c>
      <c r="F198" s="40">
        <f t="shared" si="45"/>
        <v>41.602941176470587</v>
      </c>
      <c r="G198" s="37">
        <v>844</v>
      </c>
      <c r="H198" s="37">
        <v>4465</v>
      </c>
      <c r="I198" s="37">
        <v>74</v>
      </c>
      <c r="J198" s="40">
        <f t="shared" si="46"/>
        <v>60.337837837837839</v>
      </c>
      <c r="K198" s="33">
        <f t="shared" si="47"/>
        <v>4.4326241134751776E-3</v>
      </c>
      <c r="L198" s="41">
        <f t="shared" si="44"/>
        <v>1.5782962177447861</v>
      </c>
      <c r="M198" s="41">
        <f t="shared" si="48"/>
        <v>1.4503262541438575</v>
      </c>
      <c r="O198" s="37">
        <v>1128</v>
      </c>
    </row>
    <row r="199" spans="1:15" x14ac:dyDescent="0.15">
      <c r="A199" s="37" t="s">
        <v>14</v>
      </c>
      <c r="B199" s="37" t="s">
        <v>36</v>
      </c>
      <c r="C199" s="37">
        <v>1038</v>
      </c>
      <c r="D199" s="37">
        <f>12*60+58</f>
        <v>778</v>
      </c>
      <c r="E199" s="37">
        <v>8</v>
      </c>
      <c r="F199" s="40">
        <f t="shared" si="45"/>
        <v>97.25</v>
      </c>
      <c r="G199" s="37">
        <v>1002</v>
      </c>
      <c r="H199" s="37">
        <v>2099</v>
      </c>
      <c r="I199" s="37">
        <v>16</v>
      </c>
      <c r="J199" s="40">
        <f t="shared" si="46"/>
        <v>131.1875</v>
      </c>
      <c r="K199" s="33">
        <f t="shared" si="47"/>
        <v>2.8213166144200628E-2</v>
      </c>
      <c r="L199" s="41">
        <f t="shared" si="44"/>
        <v>2.6979434447300772</v>
      </c>
      <c r="M199" s="41">
        <f t="shared" si="48"/>
        <v>1.3489717223650386</v>
      </c>
      <c r="O199" s="37">
        <v>1276</v>
      </c>
    </row>
    <row r="200" spans="1:15" x14ac:dyDescent="0.15">
      <c r="A200" s="37" t="s">
        <v>15</v>
      </c>
      <c r="B200" s="37" t="s">
        <v>36</v>
      </c>
      <c r="C200" s="37">
        <v>1029</v>
      </c>
      <c r="D200" s="37">
        <f>30*60+56</f>
        <v>1856</v>
      </c>
      <c r="E200" s="37">
        <v>17</v>
      </c>
      <c r="F200" s="40">
        <f t="shared" si="45"/>
        <v>109.17647058823529</v>
      </c>
      <c r="G200" s="37">
        <v>1017</v>
      </c>
      <c r="H200" s="37">
        <v>4064</v>
      </c>
      <c r="I200" s="37">
        <v>29</v>
      </c>
      <c r="J200" s="40">
        <f t="shared" si="46"/>
        <v>140.13793103448276</v>
      </c>
      <c r="K200" s="33">
        <f t="shared" si="47"/>
        <v>1.0869565217391304E-2</v>
      </c>
      <c r="L200" s="41">
        <f t="shared" si="44"/>
        <v>2.1896551724137931</v>
      </c>
      <c r="M200" s="41">
        <f t="shared" si="48"/>
        <v>1.2835909631391202</v>
      </c>
      <c r="O200" s="37">
        <v>1104</v>
      </c>
    </row>
    <row r="201" spans="1:15" x14ac:dyDescent="0.15">
      <c r="K201" s="39">
        <f>AVERAGE(K189:K200)</f>
        <v>5.3132642869440201E-2</v>
      </c>
      <c r="L201" s="39">
        <f>AVERAGE(L189:L200)</f>
        <v>4.413169848437243</v>
      </c>
      <c r="M201" s="39">
        <f>AVERAGE(M189:M200)</f>
        <v>1.3987365117079793</v>
      </c>
    </row>
    <row r="204" spans="1:15" x14ac:dyDescent="0.15">
      <c r="A204" t="s">
        <v>254</v>
      </c>
    </row>
    <row r="205" spans="1:15" x14ac:dyDescent="0.15">
      <c r="A205" s="38" t="s">
        <v>26</v>
      </c>
      <c r="B205" s="38" t="s">
        <v>27</v>
      </c>
      <c r="C205" s="50" t="s">
        <v>243</v>
      </c>
      <c r="D205" s="50"/>
      <c r="E205" s="50"/>
      <c r="F205" s="50"/>
      <c r="G205" s="50" t="s">
        <v>90</v>
      </c>
      <c r="H205" s="50"/>
      <c r="I205" s="50"/>
      <c r="J205" s="50"/>
      <c r="K205" s="38" t="s">
        <v>252</v>
      </c>
      <c r="L205" s="38" t="s">
        <v>233</v>
      </c>
      <c r="M205" s="23" t="s">
        <v>250</v>
      </c>
    </row>
    <row r="206" spans="1:15" x14ac:dyDescent="0.15">
      <c r="A206" s="38"/>
      <c r="B206" s="38"/>
      <c r="C206" s="38" t="s">
        <v>237</v>
      </c>
      <c r="D206" s="38" t="s">
        <v>247</v>
      </c>
      <c r="E206" s="38" t="s">
        <v>251</v>
      </c>
      <c r="F206" s="38" t="s">
        <v>246</v>
      </c>
      <c r="G206" s="38" t="s">
        <v>237</v>
      </c>
      <c r="H206" s="38" t="s">
        <v>247</v>
      </c>
      <c r="I206" s="38" t="s">
        <v>251</v>
      </c>
      <c r="J206" s="38" t="s">
        <v>246</v>
      </c>
      <c r="K206" s="38" t="s">
        <v>4</v>
      </c>
      <c r="L206" s="38" t="s">
        <v>4</v>
      </c>
      <c r="M206" s="38" t="s">
        <v>4</v>
      </c>
    </row>
    <row r="207" spans="1:15" x14ac:dyDescent="0.15">
      <c r="A207" s="38" t="s">
        <v>0</v>
      </c>
      <c r="B207" s="38" t="s">
        <v>28</v>
      </c>
      <c r="C207" s="42">
        <v>492</v>
      </c>
      <c r="D207" s="42">
        <f>4*60+12</f>
        <v>252</v>
      </c>
      <c r="E207" s="42">
        <v>11</v>
      </c>
      <c r="F207" s="40">
        <f>D207/E207</f>
        <v>22.90909090909091</v>
      </c>
      <c r="G207" s="38">
        <v>487</v>
      </c>
      <c r="H207" s="38">
        <v>370</v>
      </c>
      <c r="I207" s="38">
        <v>12</v>
      </c>
      <c r="J207" s="40">
        <f>H207/I207</f>
        <v>30.833333333333332</v>
      </c>
      <c r="K207" s="33">
        <f>(C207-G207)/O207</f>
        <v>8.3472454090150246E-3</v>
      </c>
      <c r="L207" s="41">
        <f t="shared" ref="L207:L218" si="49">H207/D207</f>
        <v>1.4682539682539681</v>
      </c>
      <c r="M207" s="41">
        <f>J207/F207</f>
        <v>1.3458994708994707</v>
      </c>
      <c r="O207" s="38">
        <v>599</v>
      </c>
    </row>
    <row r="208" spans="1:15" x14ac:dyDescent="0.15">
      <c r="A208" s="38" t="s">
        <v>16</v>
      </c>
      <c r="B208" s="38" t="s">
        <v>29</v>
      </c>
      <c r="C208" s="42">
        <v>279</v>
      </c>
      <c r="D208" s="42">
        <v>1595</v>
      </c>
      <c r="E208" s="42">
        <v>62</v>
      </c>
      <c r="F208" s="40">
        <f t="shared" ref="F208:F218" si="50">D208/E208</f>
        <v>25.725806451612904</v>
      </c>
      <c r="G208" s="38">
        <v>279</v>
      </c>
      <c r="H208" s="38">
        <v>2458</v>
      </c>
      <c r="I208" s="38">
        <v>69</v>
      </c>
      <c r="J208" s="40">
        <f t="shared" ref="J208:J218" si="51">H208/I208</f>
        <v>35.623188405797102</v>
      </c>
      <c r="K208" s="33">
        <f t="shared" ref="K208:K218" si="52">(C208-G208)/O208</f>
        <v>0</v>
      </c>
      <c r="L208" s="41">
        <f t="shared" si="49"/>
        <v>1.5410658307210032</v>
      </c>
      <c r="M208" s="41">
        <f t="shared" ref="M208:M218" si="53">J208/F208</f>
        <v>1.3847258189087275</v>
      </c>
      <c r="O208" s="38">
        <v>1013</v>
      </c>
    </row>
    <row r="209" spans="1:15" x14ac:dyDescent="0.15">
      <c r="A209" s="38" t="s">
        <v>6</v>
      </c>
      <c r="B209" s="38" t="s">
        <v>30</v>
      </c>
      <c r="C209" s="42">
        <v>905</v>
      </c>
      <c r="D209" s="42">
        <v>663</v>
      </c>
      <c r="E209" s="42">
        <v>14</v>
      </c>
      <c r="F209" s="40">
        <f t="shared" si="50"/>
        <v>47.357142857142854</v>
      </c>
      <c r="G209" s="38">
        <v>873</v>
      </c>
      <c r="H209" s="38">
        <v>5054</v>
      </c>
      <c r="I209" s="38">
        <v>58</v>
      </c>
      <c r="J209" s="40">
        <f t="shared" si="51"/>
        <v>87.137931034482762</v>
      </c>
      <c r="K209" s="33">
        <f t="shared" si="52"/>
        <v>2.2315202231520222E-2</v>
      </c>
      <c r="L209" s="41">
        <f t="shared" si="49"/>
        <v>7.6229260935143284</v>
      </c>
      <c r="M209" s="41">
        <f t="shared" si="53"/>
        <v>1.8400166432620795</v>
      </c>
      <c r="O209" s="38">
        <v>1434</v>
      </c>
    </row>
    <row r="210" spans="1:15" x14ac:dyDescent="0.15">
      <c r="A210" s="38" t="s">
        <v>7</v>
      </c>
      <c r="B210" s="38" t="s">
        <v>31</v>
      </c>
      <c r="C210" s="42">
        <v>1504</v>
      </c>
      <c r="D210" s="42">
        <f>38*60</f>
        <v>2280</v>
      </c>
      <c r="E210" s="42">
        <v>13</v>
      </c>
      <c r="F210" s="40">
        <f t="shared" si="50"/>
        <v>175.38461538461539</v>
      </c>
      <c r="G210" s="38">
        <v>1278</v>
      </c>
      <c r="H210" s="38">
        <v>17473</v>
      </c>
      <c r="I210" s="38">
        <v>80</v>
      </c>
      <c r="J210" s="40">
        <f t="shared" si="51"/>
        <v>218.41249999999999</v>
      </c>
      <c r="K210" s="33">
        <f t="shared" si="52"/>
        <v>0.13993808049535603</v>
      </c>
      <c r="L210" s="41">
        <f t="shared" si="49"/>
        <v>7.6635964912280699</v>
      </c>
      <c r="M210" s="41">
        <f t="shared" si="53"/>
        <v>1.2453344298245614</v>
      </c>
      <c r="O210" s="38">
        <v>1615</v>
      </c>
    </row>
    <row r="211" spans="1:15" x14ac:dyDescent="0.15">
      <c r="A211" s="38" t="s">
        <v>8</v>
      </c>
      <c r="B211" s="38" t="s">
        <v>32</v>
      </c>
      <c r="C211" s="42">
        <v>2325</v>
      </c>
      <c r="D211" s="42">
        <f>65*60+37</f>
        <v>3937</v>
      </c>
      <c r="E211" s="42">
        <v>23</v>
      </c>
      <c r="F211" s="40">
        <f t="shared" si="50"/>
        <v>171.17391304347825</v>
      </c>
      <c r="G211" s="38">
        <v>2221</v>
      </c>
      <c r="H211" s="38">
        <v>24445</v>
      </c>
      <c r="I211" s="38">
        <v>59</v>
      </c>
      <c r="J211" s="40">
        <f t="shared" si="51"/>
        <v>414.32203389830511</v>
      </c>
      <c r="K211" s="33">
        <f t="shared" si="52"/>
        <v>4.2763157894736843E-2</v>
      </c>
      <c r="L211" s="41">
        <f t="shared" si="49"/>
        <v>6.2090424180848363</v>
      </c>
      <c r="M211" s="41">
        <f t="shared" si="53"/>
        <v>2.4204741629822246</v>
      </c>
      <c r="O211" s="38">
        <v>2432</v>
      </c>
    </row>
    <row r="212" spans="1:15" x14ac:dyDescent="0.15">
      <c r="A212" s="38" t="s">
        <v>9</v>
      </c>
      <c r="B212" s="38" t="s">
        <v>33</v>
      </c>
      <c r="C212" s="42">
        <v>2512</v>
      </c>
      <c r="D212" s="42">
        <f>60*60+16</f>
        <v>3616</v>
      </c>
      <c r="E212" s="42">
        <v>6</v>
      </c>
      <c r="F212" s="40">
        <f t="shared" si="50"/>
        <v>602.66666666666663</v>
      </c>
      <c r="G212" s="38">
        <v>2289</v>
      </c>
      <c r="H212" s="38">
        <v>35821</v>
      </c>
      <c r="I212" s="38">
        <v>48</v>
      </c>
      <c r="J212" s="40">
        <f t="shared" si="51"/>
        <v>746.27083333333337</v>
      </c>
      <c r="K212" s="33">
        <f t="shared" si="52"/>
        <v>8.0826386371873865E-2</v>
      </c>
      <c r="L212" s="41">
        <f t="shared" si="49"/>
        <v>9.90625</v>
      </c>
      <c r="M212" s="41">
        <f t="shared" si="53"/>
        <v>1.2382812500000002</v>
      </c>
      <c r="O212" s="38">
        <v>2759</v>
      </c>
    </row>
    <row r="213" spans="1:15" x14ac:dyDescent="0.15">
      <c r="A213" s="38" t="s">
        <v>10</v>
      </c>
      <c r="B213" s="18" t="s">
        <v>34</v>
      </c>
      <c r="C213" s="42">
        <v>1845</v>
      </c>
      <c r="D213" s="42">
        <f>195*60+32</f>
        <v>11732</v>
      </c>
      <c r="E213" s="42">
        <v>36</v>
      </c>
      <c r="F213" s="40">
        <f t="shared" si="50"/>
        <v>325.88888888888891</v>
      </c>
      <c r="G213" s="38">
        <v>1197</v>
      </c>
      <c r="H213" s="38">
        <v>77075</v>
      </c>
      <c r="I213" s="38">
        <v>265</v>
      </c>
      <c r="J213" s="40">
        <f t="shared" si="51"/>
        <v>290.84905660377359</v>
      </c>
      <c r="K213" s="33">
        <f t="shared" si="52"/>
        <v>0.2364963503649635</v>
      </c>
      <c r="L213" s="41">
        <f t="shared" si="49"/>
        <v>6.5696385952949194</v>
      </c>
      <c r="M213" s="41">
        <f t="shared" si="53"/>
        <v>0.89247920539855508</v>
      </c>
      <c r="O213" s="38">
        <v>2740</v>
      </c>
    </row>
    <row r="214" spans="1:15" x14ac:dyDescent="0.15">
      <c r="A214" s="38" t="s">
        <v>11</v>
      </c>
      <c r="B214" s="38" t="s">
        <v>35</v>
      </c>
      <c r="C214" s="42">
        <v>661</v>
      </c>
      <c r="D214" s="42">
        <v>67</v>
      </c>
      <c r="E214" s="42">
        <v>2</v>
      </c>
      <c r="F214" s="40">
        <f t="shared" si="50"/>
        <v>33.5</v>
      </c>
      <c r="G214" s="38">
        <v>651</v>
      </c>
      <c r="H214" s="38">
        <v>173</v>
      </c>
      <c r="I214" s="38">
        <v>5</v>
      </c>
      <c r="J214" s="40">
        <f t="shared" si="51"/>
        <v>34.6</v>
      </c>
      <c r="K214" s="33">
        <f t="shared" si="52"/>
        <v>1.4471780028943559E-2</v>
      </c>
      <c r="L214" s="41">
        <f t="shared" si="49"/>
        <v>2.5820895522388061</v>
      </c>
      <c r="M214" s="41">
        <f t="shared" si="53"/>
        <v>1.0328358208955224</v>
      </c>
      <c r="O214" s="38">
        <v>691</v>
      </c>
    </row>
    <row r="215" spans="1:15" x14ac:dyDescent="0.15">
      <c r="A215" s="38" t="s">
        <v>12</v>
      </c>
      <c r="B215" s="38" t="s">
        <v>35</v>
      </c>
      <c r="C215" s="42">
        <v>831</v>
      </c>
      <c r="D215" s="42">
        <f>13*60+26</f>
        <v>806</v>
      </c>
      <c r="E215" s="42">
        <v>20</v>
      </c>
      <c r="F215" s="40">
        <f t="shared" si="50"/>
        <v>40.299999999999997</v>
      </c>
      <c r="G215" s="38">
        <v>779</v>
      </c>
      <c r="H215" s="38">
        <v>2361</v>
      </c>
      <c r="I215" s="38">
        <v>45</v>
      </c>
      <c r="J215" s="40">
        <f t="shared" si="51"/>
        <v>52.466666666666669</v>
      </c>
      <c r="K215" s="33">
        <f t="shared" si="52"/>
        <v>4.8918156161806212E-2</v>
      </c>
      <c r="L215" s="41">
        <f t="shared" si="49"/>
        <v>2.9292803970223327</v>
      </c>
      <c r="M215" s="41">
        <f t="shared" si="53"/>
        <v>1.3019023986765923</v>
      </c>
      <c r="O215" s="38">
        <v>1063</v>
      </c>
    </row>
    <row r="216" spans="1:15" x14ac:dyDescent="0.15">
      <c r="A216" s="38" t="s">
        <v>13</v>
      </c>
      <c r="B216" s="38" t="s">
        <v>35</v>
      </c>
      <c r="C216" s="42">
        <v>849</v>
      </c>
      <c r="D216" s="42">
        <f>47*60+9</f>
        <v>2829</v>
      </c>
      <c r="E216" s="42">
        <v>68</v>
      </c>
      <c r="F216" s="40">
        <f t="shared" si="50"/>
        <v>41.602941176470587</v>
      </c>
      <c r="G216" s="38">
        <v>844</v>
      </c>
      <c r="H216" s="38">
        <v>4465</v>
      </c>
      <c r="I216" s="38">
        <v>74</v>
      </c>
      <c r="J216" s="40">
        <f t="shared" si="51"/>
        <v>60.337837837837839</v>
      </c>
      <c r="K216" s="33">
        <f t="shared" si="52"/>
        <v>4.4326241134751776E-3</v>
      </c>
      <c r="L216" s="41">
        <f t="shared" si="49"/>
        <v>1.5782962177447861</v>
      </c>
      <c r="M216" s="41">
        <f t="shared" si="53"/>
        <v>1.4503262541438575</v>
      </c>
      <c r="O216" s="38">
        <v>1128</v>
      </c>
    </row>
    <row r="217" spans="1:15" x14ac:dyDescent="0.15">
      <c r="A217" s="38" t="s">
        <v>14</v>
      </c>
      <c r="B217" s="38" t="s">
        <v>36</v>
      </c>
      <c r="C217" s="42">
        <v>1038</v>
      </c>
      <c r="D217" s="42">
        <f>12*60+58</f>
        <v>778</v>
      </c>
      <c r="E217" s="42">
        <v>8</v>
      </c>
      <c r="F217" s="40">
        <f t="shared" si="50"/>
        <v>97.25</v>
      </c>
      <c r="G217" s="38">
        <v>1002</v>
      </c>
      <c r="H217" s="38">
        <v>2099</v>
      </c>
      <c r="I217" s="38">
        <v>16</v>
      </c>
      <c r="J217" s="40">
        <f t="shared" si="51"/>
        <v>131.1875</v>
      </c>
      <c r="K217" s="33">
        <f t="shared" si="52"/>
        <v>2.8213166144200628E-2</v>
      </c>
      <c r="L217" s="41">
        <f t="shared" si="49"/>
        <v>2.6979434447300772</v>
      </c>
      <c r="M217" s="41">
        <f t="shared" si="53"/>
        <v>1.3489717223650386</v>
      </c>
      <c r="O217" s="38">
        <v>1276</v>
      </c>
    </row>
    <row r="218" spans="1:15" x14ac:dyDescent="0.15">
      <c r="A218" s="38" t="s">
        <v>15</v>
      </c>
      <c r="B218" s="38" t="s">
        <v>36</v>
      </c>
      <c r="C218" s="42">
        <v>1029</v>
      </c>
      <c r="D218" s="42">
        <f>30*60+56</f>
        <v>1856</v>
      </c>
      <c r="E218" s="42">
        <v>17</v>
      </c>
      <c r="F218" s="40">
        <f t="shared" si="50"/>
        <v>109.17647058823529</v>
      </c>
      <c r="G218" s="38">
        <v>1017</v>
      </c>
      <c r="H218" s="38">
        <v>4064</v>
      </c>
      <c r="I218" s="38">
        <v>29</v>
      </c>
      <c r="J218" s="40">
        <f t="shared" si="51"/>
        <v>140.13793103448276</v>
      </c>
      <c r="K218" s="33">
        <f t="shared" si="52"/>
        <v>1.0869565217391304E-2</v>
      </c>
      <c r="L218" s="41">
        <f t="shared" si="49"/>
        <v>2.1896551724137931</v>
      </c>
      <c r="M218" s="41">
        <f t="shared" si="53"/>
        <v>1.2835909631391202</v>
      </c>
      <c r="O218" s="38">
        <v>1104</v>
      </c>
    </row>
    <row r="220" spans="1:15" x14ac:dyDescent="0.15">
      <c r="A220" s="26" t="s">
        <v>256</v>
      </c>
      <c r="C220" s="26">
        <v>1.9583999999999999E-3</v>
      </c>
    </row>
    <row r="221" spans="1:15" x14ac:dyDescent="0.15">
      <c r="A221" s="43" t="s">
        <v>26</v>
      </c>
      <c r="B221" s="43" t="s">
        <v>27</v>
      </c>
      <c r="C221" s="50" t="s">
        <v>243</v>
      </c>
      <c r="D221" s="50"/>
      <c r="E221" s="50"/>
      <c r="F221" s="50"/>
      <c r="G221" s="50" t="s">
        <v>90</v>
      </c>
      <c r="H221" s="50"/>
      <c r="I221" s="50"/>
      <c r="J221" s="50"/>
      <c r="K221" s="43" t="s">
        <v>252</v>
      </c>
      <c r="L221" s="43" t="s">
        <v>233</v>
      </c>
      <c r="M221" s="23" t="s">
        <v>250</v>
      </c>
    </row>
    <row r="222" spans="1:15" x14ac:dyDescent="0.15">
      <c r="A222" s="43"/>
      <c r="B222" s="43"/>
      <c r="C222" s="43" t="s">
        <v>237</v>
      </c>
      <c r="D222" s="43" t="s">
        <v>247</v>
      </c>
      <c r="E222" s="43" t="s">
        <v>251</v>
      </c>
      <c r="F222" s="43" t="s">
        <v>246</v>
      </c>
      <c r="G222" s="43" t="s">
        <v>237</v>
      </c>
      <c r="H222" s="43" t="s">
        <v>247</v>
      </c>
      <c r="I222" s="43" t="s">
        <v>251</v>
      </c>
      <c r="J222" s="43" t="s">
        <v>246</v>
      </c>
      <c r="K222" s="43" t="s">
        <v>4</v>
      </c>
      <c r="L222" s="43" t="s">
        <v>4</v>
      </c>
      <c r="M222" s="43" t="s">
        <v>4</v>
      </c>
    </row>
    <row r="223" spans="1:15" x14ac:dyDescent="0.15">
      <c r="A223" s="43" t="s">
        <v>11</v>
      </c>
      <c r="B223" s="43" t="s">
        <v>35</v>
      </c>
      <c r="C223" s="43">
        <v>569</v>
      </c>
      <c r="D223" s="43">
        <v>199</v>
      </c>
      <c r="E223" s="43">
        <v>10</v>
      </c>
      <c r="F223" s="40">
        <f>D223/E223</f>
        <v>19.899999999999999</v>
      </c>
      <c r="G223" s="43">
        <v>119</v>
      </c>
      <c r="H223" s="43">
        <v>2843</v>
      </c>
      <c r="I223" s="43">
        <v>143</v>
      </c>
      <c r="J223" s="40">
        <f>H223/I223</f>
        <v>19.88111888111888</v>
      </c>
      <c r="K223" s="33">
        <f>(C223-G223)/O223</f>
        <v>0.65123010130246017</v>
      </c>
      <c r="L223" s="41">
        <f>H223/D223</f>
        <v>14.28643216080402</v>
      </c>
      <c r="M223" s="41">
        <f>J223/F223</f>
        <v>0.99905120005622516</v>
      </c>
      <c r="O223" s="43">
        <v>691</v>
      </c>
    </row>
    <row r="224" spans="1:15" x14ac:dyDescent="0.15">
      <c r="A224" s="43" t="s">
        <v>12</v>
      </c>
      <c r="B224" s="43" t="s">
        <v>35</v>
      </c>
      <c r="C224" s="43">
        <v>813</v>
      </c>
      <c r="D224" s="43">
        <v>765</v>
      </c>
      <c r="E224" s="43">
        <v>19</v>
      </c>
      <c r="F224" s="40">
        <f t="shared" ref="F224:F227" si="54">D224/E224</f>
        <v>40.263157894736842</v>
      </c>
      <c r="G224" s="43">
        <v>130</v>
      </c>
      <c r="H224" s="43">
        <v>9908</v>
      </c>
      <c r="I224" s="43">
        <v>256</v>
      </c>
      <c r="J224" s="40">
        <f t="shared" ref="J224:J227" si="55">H224/I224</f>
        <v>38.703125</v>
      </c>
      <c r="K224" s="33">
        <f>(C224-G224)/O224</f>
        <v>0.64252116650987767</v>
      </c>
      <c r="L224" s="41">
        <f>H224/D224</f>
        <v>12.951633986928105</v>
      </c>
      <c r="M224" s="41">
        <f>J224/F224</f>
        <v>0.96125408496732023</v>
      </c>
      <c r="O224" s="43">
        <v>1063</v>
      </c>
    </row>
    <row r="225" spans="1:15" x14ac:dyDescent="0.15">
      <c r="A225" s="43" t="s">
        <v>13</v>
      </c>
      <c r="B225" s="43" t="s">
        <v>35</v>
      </c>
      <c r="C225" s="43">
        <v>779</v>
      </c>
      <c r="D225" s="43">
        <v>2285</v>
      </c>
      <c r="E225" s="43">
        <v>56</v>
      </c>
      <c r="F225" s="40">
        <f t="shared" si="54"/>
        <v>40.803571428571431</v>
      </c>
      <c r="G225" s="43">
        <v>149</v>
      </c>
      <c r="H225" s="43">
        <v>13829</v>
      </c>
      <c r="I225" s="43">
        <v>319</v>
      </c>
      <c r="J225" s="40">
        <f t="shared" si="55"/>
        <v>43.351097178683382</v>
      </c>
      <c r="K225" s="33">
        <f>(C225-G225)/O225</f>
        <v>0.55851063829787229</v>
      </c>
      <c r="L225" s="41">
        <f>H225/D225</f>
        <v>6.0520787746170681</v>
      </c>
      <c r="M225" s="41">
        <f>J225/F225</f>
        <v>1.0624338914688267</v>
      </c>
      <c r="O225" s="43">
        <v>1128</v>
      </c>
    </row>
    <row r="226" spans="1:15" x14ac:dyDescent="0.15">
      <c r="A226" s="43" t="s">
        <v>14</v>
      </c>
      <c r="B226" s="43" t="s">
        <v>36</v>
      </c>
      <c r="C226" s="43">
        <v>1040</v>
      </c>
      <c r="D226" s="43">
        <v>736</v>
      </c>
      <c r="E226" s="43">
        <v>7</v>
      </c>
      <c r="F226" s="40">
        <f t="shared" si="54"/>
        <v>105.14285714285714</v>
      </c>
      <c r="G226" s="43">
        <v>670</v>
      </c>
      <c r="H226" s="43">
        <v>11278</v>
      </c>
      <c r="I226" s="43">
        <v>90</v>
      </c>
      <c r="J226" s="40">
        <f t="shared" si="55"/>
        <v>125.31111111111112</v>
      </c>
      <c r="K226" s="33">
        <f>(C226-G226)/O226</f>
        <v>0.28996865203761757</v>
      </c>
      <c r="L226" s="41">
        <f>H226/D226</f>
        <v>15.323369565217391</v>
      </c>
      <c r="M226" s="41">
        <f>J226/F226</f>
        <v>1.1918176328502417</v>
      </c>
      <c r="O226" s="43">
        <v>1276</v>
      </c>
    </row>
    <row r="227" spans="1:15" x14ac:dyDescent="0.15">
      <c r="A227" s="43" t="s">
        <v>15</v>
      </c>
      <c r="B227" s="43" t="s">
        <v>36</v>
      </c>
      <c r="C227" s="43">
        <v>983</v>
      </c>
      <c r="D227" s="43">
        <v>2359</v>
      </c>
      <c r="E227" s="43">
        <v>22</v>
      </c>
      <c r="F227" s="40">
        <f t="shared" si="54"/>
        <v>107.22727272727273</v>
      </c>
      <c r="G227" s="43">
        <v>543</v>
      </c>
      <c r="H227" s="43">
        <v>20218</v>
      </c>
      <c r="I227" s="43">
        <v>158</v>
      </c>
      <c r="J227" s="40">
        <f t="shared" si="55"/>
        <v>127.96202531645569</v>
      </c>
      <c r="K227" s="33">
        <f>(C227-G227)/O227</f>
        <v>0.39855072463768115</v>
      </c>
      <c r="L227" s="41">
        <f>H227/D227</f>
        <v>8.5705807545570156</v>
      </c>
      <c r="M227" s="41">
        <f>J227/F227</f>
        <v>1.193372003799078</v>
      </c>
      <c r="O227" s="43">
        <v>1104</v>
      </c>
    </row>
    <row r="228" spans="1:15" x14ac:dyDescent="0.15">
      <c r="A228" s="43"/>
      <c r="B228" s="43"/>
      <c r="C228" s="43"/>
      <c r="D228" s="43"/>
      <c r="E228" s="43"/>
      <c r="F228" s="40"/>
      <c r="G228" s="43"/>
      <c r="H228" s="43"/>
      <c r="I228" s="43"/>
      <c r="J228" s="40"/>
      <c r="K228" s="33">
        <f>AVERAGE(K223:K227)</f>
        <v>0.50815625655710184</v>
      </c>
      <c r="L228" s="33">
        <f t="shared" ref="L228:M228" si="56">AVERAGE(L223:L227)</f>
        <v>11.43681904842472</v>
      </c>
      <c r="M228" s="33">
        <f t="shared" si="56"/>
        <v>1.0815857626283385</v>
      </c>
      <c r="O228" s="43"/>
    </row>
    <row r="229" spans="1:15" x14ac:dyDescent="0.15">
      <c r="A229" s="43"/>
      <c r="B229" s="18"/>
      <c r="C229" s="43"/>
      <c r="D229" s="43"/>
      <c r="E229" s="43"/>
      <c r="F229" s="40"/>
      <c r="G229" s="43"/>
      <c r="H229" s="43"/>
      <c r="I229" s="43"/>
      <c r="J229" s="40"/>
      <c r="K229" s="33"/>
      <c r="L229" s="41"/>
      <c r="M229" s="41"/>
      <c r="O229" s="43"/>
    </row>
    <row r="232" spans="1:15" x14ac:dyDescent="0.15">
      <c r="A232" s="44" t="s">
        <v>26</v>
      </c>
      <c r="B232" s="44" t="s">
        <v>27</v>
      </c>
      <c r="C232" s="50" t="s">
        <v>257</v>
      </c>
      <c r="D232" s="50"/>
      <c r="E232" s="50"/>
      <c r="F232" s="50"/>
      <c r="G232" s="50" t="s">
        <v>258</v>
      </c>
      <c r="H232" s="50"/>
      <c r="I232" s="50"/>
      <c r="J232" s="50"/>
      <c r="K232" s="44" t="s">
        <v>252</v>
      </c>
      <c r="L232" s="44" t="s">
        <v>233</v>
      </c>
      <c r="M232" s="23" t="s">
        <v>250</v>
      </c>
    </row>
    <row r="233" spans="1:15" x14ac:dyDescent="0.15">
      <c r="A233" s="44"/>
      <c r="B233" s="44"/>
      <c r="C233" s="44" t="s">
        <v>237</v>
      </c>
      <c r="D233" s="44" t="s">
        <v>247</v>
      </c>
      <c r="E233" s="44" t="s">
        <v>251</v>
      </c>
      <c r="F233" s="44" t="s">
        <v>246</v>
      </c>
      <c r="G233" s="44" t="s">
        <v>237</v>
      </c>
      <c r="H233" s="44" t="s">
        <v>247</v>
      </c>
      <c r="I233" s="44" t="s">
        <v>251</v>
      </c>
      <c r="J233" s="44" t="s">
        <v>246</v>
      </c>
      <c r="K233" s="44" t="s">
        <v>4</v>
      </c>
      <c r="L233" s="44" t="s">
        <v>4</v>
      </c>
      <c r="M233" s="44" t="s">
        <v>4</v>
      </c>
    </row>
    <row r="234" spans="1:15" x14ac:dyDescent="0.15">
      <c r="A234" s="44" t="s">
        <v>0</v>
      </c>
      <c r="B234" s="44" t="s">
        <v>28</v>
      </c>
      <c r="C234" s="44">
        <v>487</v>
      </c>
      <c r="D234" s="44">
        <v>370</v>
      </c>
      <c r="E234" s="44">
        <v>12</v>
      </c>
      <c r="F234" s="40">
        <f>D234/E234</f>
        <v>30.833333333333332</v>
      </c>
      <c r="G234" s="44">
        <v>487</v>
      </c>
      <c r="H234" s="44">
        <f>2*60+24</f>
        <v>144</v>
      </c>
      <c r="I234" s="44">
        <v>12</v>
      </c>
      <c r="J234" s="40">
        <f>H234/I234</f>
        <v>12</v>
      </c>
      <c r="K234" s="33">
        <f>(C234-G234)/O234</f>
        <v>0</v>
      </c>
      <c r="L234" s="41">
        <f t="shared" ref="L234:L245" si="57">H234/D234</f>
        <v>0.38918918918918921</v>
      </c>
      <c r="M234" s="41">
        <f>J234/F234</f>
        <v>0.38918918918918921</v>
      </c>
      <c r="O234" s="44">
        <v>599</v>
      </c>
    </row>
    <row r="235" spans="1:15" x14ac:dyDescent="0.15">
      <c r="A235" s="44" t="s">
        <v>16</v>
      </c>
      <c r="B235" s="44" t="s">
        <v>29</v>
      </c>
      <c r="C235" s="44">
        <v>279</v>
      </c>
      <c r="D235" s="44">
        <v>2458</v>
      </c>
      <c r="E235" s="44">
        <v>69</v>
      </c>
      <c r="F235" s="40">
        <f t="shared" ref="F235:F245" si="58">D235/E235</f>
        <v>35.623188405797102</v>
      </c>
      <c r="G235" s="44">
        <v>456</v>
      </c>
      <c r="H235" s="44">
        <f>13*60+9</f>
        <v>789</v>
      </c>
      <c r="I235" s="44">
        <v>62</v>
      </c>
      <c r="J235" s="40">
        <f t="shared" ref="J235:J245" si="59">H235/I235</f>
        <v>12.725806451612904</v>
      </c>
      <c r="K235" s="33">
        <f t="shared" ref="K235:K245" si="60">(C235-G235)/O235</f>
        <v>-0.17472852912142153</v>
      </c>
      <c r="L235" s="41">
        <f t="shared" si="57"/>
        <v>0.32099267697314893</v>
      </c>
      <c r="M235" s="41">
        <f t="shared" ref="M235:M245" si="61">J235/F235</f>
        <v>0.3572337856636657</v>
      </c>
      <c r="O235" s="44">
        <v>1013</v>
      </c>
    </row>
    <row r="236" spans="1:15" x14ac:dyDescent="0.15">
      <c r="A236" s="44" t="s">
        <v>6</v>
      </c>
      <c r="B236" s="44" t="s">
        <v>30</v>
      </c>
      <c r="C236" s="44">
        <v>873</v>
      </c>
      <c r="D236" s="44">
        <v>5054</v>
      </c>
      <c r="E236" s="44">
        <v>58</v>
      </c>
      <c r="F236" s="40">
        <f t="shared" si="58"/>
        <v>87.137931034482762</v>
      </c>
      <c r="G236" s="44">
        <v>971</v>
      </c>
      <c r="H236" s="44">
        <v>54</v>
      </c>
      <c r="I236" s="44">
        <v>5</v>
      </c>
      <c r="J236" s="40">
        <f t="shared" si="59"/>
        <v>10.8</v>
      </c>
      <c r="K236" s="33">
        <f t="shared" si="60"/>
        <v>-6.8340306834030681E-2</v>
      </c>
      <c r="L236" s="41">
        <f t="shared" si="57"/>
        <v>1.0684606252473288E-2</v>
      </c>
      <c r="M236" s="41">
        <f t="shared" si="61"/>
        <v>0.12394143252869015</v>
      </c>
      <c r="O236" s="44">
        <v>1434</v>
      </c>
    </row>
    <row r="237" spans="1:15" x14ac:dyDescent="0.15">
      <c r="A237" s="44" t="s">
        <v>7</v>
      </c>
      <c r="B237" s="44" t="s">
        <v>31</v>
      </c>
      <c r="C237" s="44">
        <v>1278</v>
      </c>
      <c r="D237" s="44">
        <v>17473</v>
      </c>
      <c r="E237" s="44">
        <v>80</v>
      </c>
      <c r="F237" s="40">
        <f t="shared" si="58"/>
        <v>218.41249999999999</v>
      </c>
      <c r="G237" s="44">
        <v>1354</v>
      </c>
      <c r="H237" s="44">
        <f>120*60+15</f>
        <v>7215</v>
      </c>
      <c r="I237" s="44">
        <v>64</v>
      </c>
      <c r="J237" s="40">
        <f t="shared" si="59"/>
        <v>112.734375</v>
      </c>
      <c r="K237" s="33">
        <f t="shared" si="60"/>
        <v>-4.7058823529411764E-2</v>
      </c>
      <c r="L237" s="41">
        <f t="shared" si="57"/>
        <v>0.41292279516969038</v>
      </c>
      <c r="M237" s="41">
        <f t="shared" si="61"/>
        <v>0.51615349396211296</v>
      </c>
      <c r="O237" s="44">
        <v>1615</v>
      </c>
    </row>
    <row r="238" spans="1:15" x14ac:dyDescent="0.15">
      <c r="A238" s="44" t="s">
        <v>8</v>
      </c>
      <c r="B238" s="44" t="s">
        <v>32</v>
      </c>
      <c r="C238" s="44">
        <v>2221</v>
      </c>
      <c r="D238" s="44">
        <v>24445</v>
      </c>
      <c r="E238" s="44">
        <v>59</v>
      </c>
      <c r="F238" s="40">
        <f t="shared" si="58"/>
        <v>414.32203389830511</v>
      </c>
      <c r="G238" s="44">
        <v>2302</v>
      </c>
      <c r="H238" s="44">
        <f>16*60+48</f>
        <v>1008</v>
      </c>
      <c r="I238" s="44">
        <v>42</v>
      </c>
      <c r="J238" s="40">
        <f t="shared" si="59"/>
        <v>24</v>
      </c>
      <c r="K238" s="33">
        <f t="shared" si="60"/>
        <v>-3.3305921052631582E-2</v>
      </c>
      <c r="L238" s="41">
        <f t="shared" si="57"/>
        <v>4.1235426467580286E-2</v>
      </c>
      <c r="M238" s="41">
        <f t="shared" si="61"/>
        <v>5.7925956228267537E-2</v>
      </c>
      <c r="O238" s="44">
        <v>2432</v>
      </c>
    </row>
    <row r="239" spans="1:15" x14ac:dyDescent="0.15">
      <c r="A239" s="44" t="s">
        <v>9</v>
      </c>
      <c r="B239" s="44" t="s">
        <v>33</v>
      </c>
      <c r="C239" s="44">
        <v>2289</v>
      </c>
      <c r="D239" s="44">
        <v>35821</v>
      </c>
      <c r="E239" s="44">
        <v>48</v>
      </c>
      <c r="F239" s="40">
        <f t="shared" si="58"/>
        <v>746.27083333333337</v>
      </c>
      <c r="G239" s="44">
        <v>2272</v>
      </c>
      <c r="H239" s="44">
        <f>194*60+30</f>
        <v>11670</v>
      </c>
      <c r="I239" s="44">
        <v>39</v>
      </c>
      <c r="J239" s="40">
        <f t="shared" si="59"/>
        <v>299.23076923076923</v>
      </c>
      <c r="K239" s="33">
        <f t="shared" si="60"/>
        <v>6.1616527727437476E-3</v>
      </c>
      <c r="L239" s="41">
        <f t="shared" si="57"/>
        <v>0.32578654978922977</v>
      </c>
      <c r="M239" s="41">
        <f t="shared" si="61"/>
        <v>0.40096806127905199</v>
      </c>
      <c r="O239" s="44">
        <v>2759</v>
      </c>
    </row>
    <row r="240" spans="1:15" x14ac:dyDescent="0.15">
      <c r="A240" s="44" t="s">
        <v>10</v>
      </c>
      <c r="B240" s="18" t="s">
        <v>34</v>
      </c>
      <c r="C240" s="44">
        <v>1197</v>
      </c>
      <c r="D240" s="44">
        <v>77075</v>
      </c>
      <c r="E240" s="44">
        <v>265</v>
      </c>
      <c r="F240" s="40">
        <f t="shared" si="58"/>
        <v>290.84905660377359</v>
      </c>
      <c r="G240" s="44">
        <v>1908</v>
      </c>
      <c r="H240" s="44">
        <f>131*60+39</f>
        <v>7899</v>
      </c>
      <c r="I240" s="44">
        <v>117</v>
      </c>
      <c r="J240" s="40">
        <f t="shared" si="59"/>
        <v>67.512820512820511</v>
      </c>
      <c r="K240" s="33">
        <f t="shared" si="60"/>
        <v>-0.25948905109489051</v>
      </c>
      <c r="L240" s="41">
        <f t="shared" si="57"/>
        <v>0.10248459292896529</v>
      </c>
      <c r="M240" s="41">
        <f t="shared" si="61"/>
        <v>0.23212322330064789</v>
      </c>
      <c r="O240" s="44">
        <v>2740</v>
      </c>
    </row>
    <row r="241" spans="1:15" x14ac:dyDescent="0.15">
      <c r="A241" s="44" t="s">
        <v>11</v>
      </c>
      <c r="B241" s="44" t="s">
        <v>35</v>
      </c>
      <c r="C241" s="44">
        <v>651</v>
      </c>
      <c r="D241" s="44">
        <v>173</v>
      </c>
      <c r="E241" s="44">
        <v>5</v>
      </c>
      <c r="F241" s="40">
        <f t="shared" si="58"/>
        <v>34.6</v>
      </c>
      <c r="G241" s="44">
        <v>656</v>
      </c>
      <c r="H241" s="44">
        <v>21</v>
      </c>
      <c r="I241" s="44">
        <v>4</v>
      </c>
      <c r="J241" s="40">
        <f t="shared" si="59"/>
        <v>5.25</v>
      </c>
      <c r="K241" s="33">
        <f t="shared" si="60"/>
        <v>-7.2358900144717797E-3</v>
      </c>
      <c r="L241" s="41">
        <f t="shared" si="57"/>
        <v>0.12138728323699421</v>
      </c>
      <c r="M241" s="41">
        <f t="shared" si="61"/>
        <v>0.15173410404624277</v>
      </c>
      <c r="O241" s="44">
        <v>691</v>
      </c>
    </row>
    <row r="242" spans="1:15" x14ac:dyDescent="0.15">
      <c r="A242" s="44" t="s">
        <v>12</v>
      </c>
      <c r="B242" s="44" t="s">
        <v>35</v>
      </c>
      <c r="C242" s="44">
        <v>779</v>
      </c>
      <c r="D242" s="44">
        <v>2361</v>
      </c>
      <c r="E242" s="44">
        <v>45</v>
      </c>
      <c r="F242" s="40">
        <f t="shared" si="58"/>
        <v>52.466666666666669</v>
      </c>
      <c r="G242" s="44">
        <v>859</v>
      </c>
      <c r="H242" s="44">
        <f>60*1+4</f>
        <v>64</v>
      </c>
      <c r="I242" s="44">
        <v>11</v>
      </c>
      <c r="J242" s="40">
        <f t="shared" si="59"/>
        <v>5.8181818181818183</v>
      </c>
      <c r="K242" s="33">
        <f t="shared" si="60"/>
        <v>-7.5258701787394161E-2</v>
      </c>
      <c r="L242" s="41">
        <f t="shared" si="57"/>
        <v>2.7107157983905124E-2</v>
      </c>
      <c r="M242" s="41">
        <f t="shared" si="61"/>
        <v>0.11089291902506641</v>
      </c>
      <c r="O242" s="44">
        <v>1063</v>
      </c>
    </row>
    <row r="243" spans="1:15" x14ac:dyDescent="0.15">
      <c r="A243" s="44" t="s">
        <v>13</v>
      </c>
      <c r="B243" s="44" t="s">
        <v>35</v>
      </c>
      <c r="C243" s="44">
        <v>844</v>
      </c>
      <c r="D243" s="44">
        <v>4465</v>
      </c>
      <c r="E243" s="44">
        <v>74</v>
      </c>
      <c r="F243" s="40">
        <f t="shared" si="58"/>
        <v>60.337837837837839</v>
      </c>
      <c r="G243" s="44">
        <v>1034</v>
      </c>
      <c r="H243" s="44">
        <f>2*60+16</f>
        <v>136</v>
      </c>
      <c r="I243" s="44">
        <v>18</v>
      </c>
      <c r="J243" s="40">
        <f t="shared" si="59"/>
        <v>7.5555555555555554</v>
      </c>
      <c r="K243" s="33">
        <f t="shared" si="60"/>
        <v>-0.16843971631205673</v>
      </c>
      <c r="L243" s="41">
        <f t="shared" si="57"/>
        <v>3.0459126539753641E-2</v>
      </c>
      <c r="M243" s="41">
        <f t="shared" si="61"/>
        <v>0.12522085355232052</v>
      </c>
      <c r="O243" s="44">
        <v>1128</v>
      </c>
    </row>
    <row r="244" spans="1:15" x14ac:dyDescent="0.15">
      <c r="A244" s="44" t="s">
        <v>14</v>
      </c>
      <c r="B244" s="44" t="s">
        <v>36</v>
      </c>
      <c r="C244" s="44">
        <v>1002</v>
      </c>
      <c r="D244" s="44">
        <v>2099</v>
      </c>
      <c r="E244" s="44">
        <v>16</v>
      </c>
      <c r="F244" s="40">
        <f t="shared" si="58"/>
        <v>131.1875</v>
      </c>
      <c r="G244" s="44">
        <v>1056</v>
      </c>
      <c r="H244" s="44">
        <v>49</v>
      </c>
      <c r="I244" s="44">
        <v>3</v>
      </c>
      <c r="J244" s="40">
        <f t="shared" si="59"/>
        <v>16.333333333333332</v>
      </c>
      <c r="K244" s="33">
        <f t="shared" si="60"/>
        <v>-4.2319749216300939E-2</v>
      </c>
      <c r="L244" s="41">
        <f t="shared" si="57"/>
        <v>2.3344449737970462E-2</v>
      </c>
      <c r="M244" s="41">
        <f t="shared" si="61"/>
        <v>0.12450373193584245</v>
      </c>
      <c r="O244" s="44">
        <v>1276</v>
      </c>
    </row>
    <row r="245" spans="1:15" x14ac:dyDescent="0.15">
      <c r="A245" s="44" t="s">
        <v>15</v>
      </c>
      <c r="B245" s="44" t="s">
        <v>36</v>
      </c>
      <c r="C245" s="44">
        <v>1017</v>
      </c>
      <c r="D245" s="44">
        <v>4064</v>
      </c>
      <c r="E245" s="44">
        <v>29</v>
      </c>
      <c r="F245" s="40">
        <f t="shared" si="58"/>
        <v>140.13793103448276</v>
      </c>
      <c r="G245" s="44">
        <v>1068</v>
      </c>
      <c r="H245" s="44">
        <v>71</v>
      </c>
      <c r="I245" s="44">
        <v>4</v>
      </c>
      <c r="J245" s="40">
        <f t="shared" si="59"/>
        <v>17.75</v>
      </c>
      <c r="K245" s="33">
        <f t="shared" si="60"/>
        <v>-4.619565217391304E-2</v>
      </c>
      <c r="L245" s="41">
        <f t="shared" si="57"/>
        <v>1.7470472440944882E-2</v>
      </c>
      <c r="M245" s="41">
        <f t="shared" si="61"/>
        <v>0.1266609251968504</v>
      </c>
      <c r="O245" s="44">
        <v>1104</v>
      </c>
    </row>
    <row r="248" spans="1:15" x14ac:dyDescent="0.15">
      <c r="A248" s="44" t="s">
        <v>26</v>
      </c>
      <c r="B248" s="44" t="s">
        <v>27</v>
      </c>
      <c r="C248" s="5" t="s">
        <v>259</v>
      </c>
      <c r="D248" s="5" t="s">
        <v>261</v>
      </c>
      <c r="E248" s="11"/>
    </row>
    <row r="249" spans="1:15" x14ac:dyDescent="0.15">
      <c r="A249" s="44"/>
      <c r="B249" s="44"/>
      <c r="C249" s="46" t="s">
        <v>260</v>
      </c>
      <c r="D249" s="46" t="s">
        <v>262</v>
      </c>
    </row>
    <row r="250" spans="1:15" x14ac:dyDescent="0.15">
      <c r="A250" s="44" t="s">
        <v>0</v>
      </c>
      <c r="B250" s="44" t="s">
        <v>28</v>
      </c>
      <c r="C250" s="44">
        <v>45</v>
      </c>
      <c r="D250" s="44">
        <v>1</v>
      </c>
    </row>
    <row r="251" spans="1:15" x14ac:dyDescent="0.15">
      <c r="A251" s="44" t="s">
        <v>16</v>
      </c>
      <c r="B251" s="44" t="s">
        <v>29</v>
      </c>
      <c r="C251" s="44">
        <v>33</v>
      </c>
      <c r="D251" s="44">
        <v>7</v>
      </c>
    </row>
    <row r="252" spans="1:15" x14ac:dyDescent="0.15">
      <c r="A252" s="44" t="s">
        <v>6</v>
      </c>
      <c r="B252" s="44" t="s">
        <v>30</v>
      </c>
      <c r="C252" s="44">
        <v>119</v>
      </c>
      <c r="D252" s="44">
        <v>2</v>
      </c>
    </row>
    <row r="253" spans="1:15" x14ac:dyDescent="0.15">
      <c r="A253" s="44" t="s">
        <v>7</v>
      </c>
      <c r="B253" s="44" t="s">
        <v>31</v>
      </c>
      <c r="C253" s="44">
        <v>50</v>
      </c>
      <c r="D253" s="44">
        <v>1</v>
      </c>
    </row>
    <row r="254" spans="1:15" x14ac:dyDescent="0.15">
      <c r="A254" s="44" t="s">
        <v>8</v>
      </c>
      <c r="B254" s="44" t="s">
        <v>32</v>
      </c>
      <c r="C254" s="44">
        <v>67</v>
      </c>
      <c r="D254" s="44">
        <v>4</v>
      </c>
    </row>
    <row r="255" spans="1:15" x14ac:dyDescent="0.15">
      <c r="A255" s="44" t="s">
        <v>9</v>
      </c>
      <c r="B255" s="44" t="s">
        <v>33</v>
      </c>
      <c r="C255" s="44">
        <v>194</v>
      </c>
      <c r="D255" s="44">
        <v>1</v>
      </c>
    </row>
    <row r="256" spans="1:15" x14ac:dyDescent="0.15">
      <c r="A256" s="44" t="s">
        <v>10</v>
      </c>
      <c r="B256" s="18" t="s">
        <v>34</v>
      </c>
      <c r="C256" s="44">
        <v>14</v>
      </c>
      <c r="D256" s="44">
        <v>2</v>
      </c>
    </row>
    <row r="257" spans="1:15" x14ac:dyDescent="0.15">
      <c r="A257" s="44" t="s">
        <v>11</v>
      </c>
      <c r="B257" s="44" t="s">
        <v>35</v>
      </c>
      <c r="C257" s="44">
        <v>64</v>
      </c>
      <c r="D257" s="44">
        <v>2</v>
      </c>
    </row>
    <row r="258" spans="1:15" x14ac:dyDescent="0.15">
      <c r="A258" s="44" t="s">
        <v>12</v>
      </c>
      <c r="B258" s="44" t="s">
        <v>35</v>
      </c>
      <c r="C258" s="44">
        <v>64</v>
      </c>
      <c r="D258" s="44">
        <v>2</v>
      </c>
    </row>
    <row r="259" spans="1:15" x14ac:dyDescent="0.15">
      <c r="A259" s="44" t="s">
        <v>13</v>
      </c>
      <c r="B259" s="44" t="s">
        <v>35</v>
      </c>
      <c r="C259" s="44">
        <v>64</v>
      </c>
      <c r="D259" s="44">
        <v>2</v>
      </c>
    </row>
    <row r="260" spans="1:15" x14ac:dyDescent="0.15">
      <c r="A260" s="44" t="s">
        <v>14</v>
      </c>
      <c r="B260" s="44" t="s">
        <v>36</v>
      </c>
      <c r="C260" s="44">
        <v>16</v>
      </c>
      <c r="D260" s="44">
        <v>9</v>
      </c>
    </row>
    <row r="261" spans="1:15" x14ac:dyDescent="0.15">
      <c r="A261" s="44" t="s">
        <v>15</v>
      </c>
      <c r="B261" s="44" t="s">
        <v>36</v>
      </c>
      <c r="C261" s="44">
        <v>16</v>
      </c>
      <c r="D261" s="44">
        <v>9</v>
      </c>
    </row>
    <row r="263" spans="1:15" x14ac:dyDescent="0.15">
      <c r="A263" s="26" t="s">
        <v>263</v>
      </c>
    </row>
    <row r="264" spans="1:15" x14ac:dyDescent="0.15">
      <c r="A264" s="45" t="s">
        <v>26</v>
      </c>
      <c r="B264" s="45" t="s">
        <v>27</v>
      </c>
      <c r="C264" s="50" t="s">
        <v>257</v>
      </c>
      <c r="D264" s="50"/>
      <c r="E264" s="50"/>
      <c r="F264" s="50"/>
      <c r="G264" s="50" t="s">
        <v>258</v>
      </c>
      <c r="H264" s="50"/>
      <c r="I264" s="50"/>
      <c r="J264" s="50"/>
      <c r="K264" s="45" t="s">
        <v>252</v>
      </c>
      <c r="L264" s="45" t="s">
        <v>233</v>
      </c>
      <c r="M264" s="23" t="s">
        <v>250</v>
      </c>
    </row>
    <row r="265" spans="1:15" x14ac:dyDescent="0.15">
      <c r="A265" s="45"/>
      <c r="B265" s="45"/>
      <c r="C265" s="45" t="s">
        <v>237</v>
      </c>
      <c r="D265" s="45" t="s">
        <v>247</v>
      </c>
      <c r="E265" s="45" t="s">
        <v>251</v>
      </c>
      <c r="F265" s="45" t="s">
        <v>246</v>
      </c>
      <c r="G265" s="45" t="s">
        <v>237</v>
      </c>
      <c r="H265" s="45" t="s">
        <v>247</v>
      </c>
      <c r="I265" s="45" t="s">
        <v>251</v>
      </c>
      <c r="J265" s="45" t="s">
        <v>246</v>
      </c>
      <c r="K265" s="45" t="s">
        <v>4</v>
      </c>
      <c r="L265" s="45" t="s">
        <v>4</v>
      </c>
      <c r="M265" s="45" t="s">
        <v>4</v>
      </c>
    </row>
    <row r="266" spans="1:15" x14ac:dyDescent="0.15">
      <c r="A266" s="45" t="s">
        <v>0</v>
      </c>
      <c r="B266" s="45" t="s">
        <v>28</v>
      </c>
      <c r="C266" s="45">
        <v>487</v>
      </c>
      <c r="D266" s="45">
        <v>370</v>
      </c>
      <c r="E266" s="45">
        <v>12</v>
      </c>
      <c r="F266" s="40">
        <f>D266/E266</f>
        <v>30.833333333333332</v>
      </c>
      <c r="G266" s="45">
        <v>487</v>
      </c>
      <c r="H266" s="45">
        <f>60+56</f>
        <v>116</v>
      </c>
      <c r="I266" s="45">
        <v>11</v>
      </c>
      <c r="J266" s="40">
        <f>H266/I266</f>
        <v>10.545454545454545</v>
      </c>
      <c r="K266" s="33">
        <f>(C266-G266)/O266</f>
        <v>0</v>
      </c>
      <c r="L266" s="41">
        <f t="shared" ref="L266:L277" si="62">H266/D266</f>
        <v>0.31351351351351353</v>
      </c>
      <c r="M266" s="41">
        <f>J266/F266</f>
        <v>0.34201474201474202</v>
      </c>
      <c r="O266" s="45">
        <v>599</v>
      </c>
    </row>
    <row r="267" spans="1:15" x14ac:dyDescent="0.15">
      <c r="A267" s="45" t="s">
        <v>16</v>
      </c>
      <c r="B267" s="45" t="s">
        <v>29</v>
      </c>
      <c r="C267" s="45">
        <v>279</v>
      </c>
      <c r="D267" s="45">
        <v>2458</v>
      </c>
      <c r="E267" s="45">
        <v>69</v>
      </c>
      <c r="F267" s="40">
        <f t="shared" ref="F267:F277" si="63">D267/E267</f>
        <v>35.623188405797102</v>
      </c>
      <c r="G267" s="45">
        <v>279</v>
      </c>
      <c r="H267" s="45">
        <f>18*60+7</f>
        <v>1087</v>
      </c>
      <c r="I267" s="45">
        <v>74</v>
      </c>
      <c r="J267" s="40">
        <f t="shared" ref="J267:J277" si="64">H267/I267</f>
        <v>14.689189189189189</v>
      </c>
      <c r="K267" s="33">
        <f t="shared" ref="K267:K277" si="65">(C267-G267)/O267</f>
        <v>0</v>
      </c>
      <c r="L267" s="41">
        <f t="shared" si="62"/>
        <v>0.44222945484133441</v>
      </c>
      <c r="M267" s="41">
        <f t="shared" ref="M267:M277" si="66">J267/F267</f>
        <v>0.412349086270974</v>
      </c>
      <c r="O267" s="45">
        <v>1013</v>
      </c>
    </row>
    <row r="268" spans="1:15" x14ac:dyDescent="0.15">
      <c r="A268" s="45" t="s">
        <v>6</v>
      </c>
      <c r="B268" s="45" t="s">
        <v>30</v>
      </c>
      <c r="C268" s="45">
        <v>873</v>
      </c>
      <c r="D268" s="45">
        <v>5054</v>
      </c>
      <c r="E268" s="45">
        <v>58</v>
      </c>
      <c r="F268" s="40">
        <f t="shared" si="63"/>
        <v>87.137931034482762</v>
      </c>
      <c r="G268" s="45">
        <v>971</v>
      </c>
      <c r="H268" s="45">
        <v>54</v>
      </c>
      <c r="I268" s="45">
        <v>5</v>
      </c>
      <c r="J268" s="40">
        <f t="shared" si="64"/>
        <v>10.8</v>
      </c>
      <c r="K268" s="33">
        <f t="shared" si="65"/>
        <v>-6.8340306834030681E-2</v>
      </c>
      <c r="L268" s="41">
        <f t="shared" si="62"/>
        <v>1.0684606252473288E-2</v>
      </c>
      <c r="M268" s="41">
        <f t="shared" si="66"/>
        <v>0.12394143252869015</v>
      </c>
      <c r="O268" s="45">
        <v>1434</v>
      </c>
    </row>
    <row r="269" spans="1:15" x14ac:dyDescent="0.15">
      <c r="A269" s="45" t="s">
        <v>7</v>
      </c>
      <c r="B269" s="45" t="s">
        <v>31</v>
      </c>
      <c r="C269" s="45">
        <v>1278</v>
      </c>
      <c r="D269" s="45">
        <v>17473</v>
      </c>
      <c r="E269" s="45">
        <v>80</v>
      </c>
      <c r="F269" s="40">
        <f t="shared" si="63"/>
        <v>218.41249999999999</v>
      </c>
      <c r="G269" s="45">
        <v>1368</v>
      </c>
      <c r="H269" s="45">
        <f>72*60+28</f>
        <v>4348</v>
      </c>
      <c r="I269" s="45">
        <v>61</v>
      </c>
      <c r="J269" s="40">
        <f t="shared" si="64"/>
        <v>71.278688524590166</v>
      </c>
      <c r="K269" s="33">
        <f t="shared" si="65"/>
        <v>-5.5727554179566562E-2</v>
      </c>
      <c r="L269" s="41">
        <f t="shared" si="62"/>
        <v>0.24884106907800607</v>
      </c>
      <c r="M269" s="41">
        <f t="shared" si="66"/>
        <v>0.32634894305312273</v>
      </c>
      <c r="O269" s="45">
        <v>1615</v>
      </c>
    </row>
    <row r="270" spans="1:15" x14ac:dyDescent="0.15">
      <c r="A270" s="45" t="s">
        <v>8</v>
      </c>
      <c r="B270" s="45" t="s">
        <v>32</v>
      </c>
      <c r="C270" s="45">
        <v>2221</v>
      </c>
      <c r="D270" s="45">
        <v>24445</v>
      </c>
      <c r="E270" s="45">
        <v>59</v>
      </c>
      <c r="F270" s="40">
        <f t="shared" si="63"/>
        <v>414.32203389830511</v>
      </c>
      <c r="G270" s="45">
        <v>2283</v>
      </c>
      <c r="H270" s="45">
        <f>21*60+1</f>
        <v>1261</v>
      </c>
      <c r="I270" s="45">
        <v>49</v>
      </c>
      <c r="J270" s="40">
        <f t="shared" si="64"/>
        <v>25.73469387755102</v>
      </c>
      <c r="K270" s="33">
        <f t="shared" si="65"/>
        <v>-2.5493421052631578E-2</v>
      </c>
      <c r="L270" s="41">
        <f t="shared" si="62"/>
        <v>5.1585191245653507E-2</v>
      </c>
      <c r="M270" s="41">
        <f t="shared" si="66"/>
        <v>6.2112781295786873E-2</v>
      </c>
      <c r="O270" s="45">
        <v>2432</v>
      </c>
    </row>
    <row r="271" spans="1:15" x14ac:dyDescent="0.15">
      <c r="A271" s="45" t="s">
        <v>9</v>
      </c>
      <c r="B271" s="45" t="s">
        <v>33</v>
      </c>
      <c r="C271" s="45">
        <v>2289</v>
      </c>
      <c r="D271" s="45">
        <v>35821</v>
      </c>
      <c r="E271" s="45">
        <v>48</v>
      </c>
      <c r="F271" s="40">
        <f t="shared" si="63"/>
        <v>746.27083333333337</v>
      </c>
      <c r="G271" s="45">
        <v>2330</v>
      </c>
      <c r="H271" s="45">
        <f>45*60+15</f>
        <v>2715</v>
      </c>
      <c r="I271" s="45">
        <v>36</v>
      </c>
      <c r="J271" s="40">
        <f t="shared" si="64"/>
        <v>75.416666666666671</v>
      </c>
      <c r="K271" s="33">
        <f t="shared" si="65"/>
        <v>-1.4860456687205509E-2</v>
      </c>
      <c r="L271" s="41">
        <f t="shared" si="62"/>
        <v>7.5793528935540602E-2</v>
      </c>
      <c r="M271" s="41">
        <f t="shared" si="66"/>
        <v>0.10105803858072081</v>
      </c>
      <c r="O271" s="45">
        <v>2759</v>
      </c>
    </row>
    <row r="272" spans="1:15" x14ac:dyDescent="0.15">
      <c r="A272" s="45" t="s">
        <v>10</v>
      </c>
      <c r="B272" s="18" t="s">
        <v>34</v>
      </c>
      <c r="C272" s="45">
        <v>1197</v>
      </c>
      <c r="D272" s="45">
        <v>77075</v>
      </c>
      <c r="E272" s="45">
        <v>265</v>
      </c>
      <c r="F272" s="40">
        <f t="shared" si="63"/>
        <v>290.84905660377359</v>
      </c>
      <c r="G272" s="45">
        <v>1467</v>
      </c>
      <c r="H272" s="45">
        <f>569*60+16</f>
        <v>34156</v>
      </c>
      <c r="I272" s="45">
        <v>217</v>
      </c>
      <c r="J272" s="40">
        <f t="shared" si="64"/>
        <v>157.40092165898616</v>
      </c>
      <c r="K272" s="33">
        <f t="shared" si="65"/>
        <v>-9.8540145985401464E-2</v>
      </c>
      <c r="L272" s="41">
        <f t="shared" si="62"/>
        <v>0.44315277327278624</v>
      </c>
      <c r="M272" s="41">
        <f t="shared" si="66"/>
        <v>0.54117734984925503</v>
      </c>
      <c r="O272" s="45">
        <v>2740</v>
      </c>
    </row>
    <row r="273" spans="1:15" x14ac:dyDescent="0.15">
      <c r="A273" s="45" t="s">
        <v>11</v>
      </c>
      <c r="B273" s="45" t="s">
        <v>35</v>
      </c>
      <c r="C273" s="45">
        <v>651</v>
      </c>
      <c r="D273" s="45">
        <v>173</v>
      </c>
      <c r="E273" s="45">
        <v>5</v>
      </c>
      <c r="F273" s="40">
        <f t="shared" si="63"/>
        <v>34.6</v>
      </c>
      <c r="G273" s="45">
        <v>655</v>
      </c>
      <c r="H273" s="45">
        <v>21</v>
      </c>
      <c r="I273" s="45">
        <v>4</v>
      </c>
      <c r="J273" s="40">
        <f t="shared" si="64"/>
        <v>5.25</v>
      </c>
      <c r="K273" s="33">
        <f t="shared" si="65"/>
        <v>-5.7887120115774236E-3</v>
      </c>
      <c r="L273" s="41">
        <f t="shared" si="62"/>
        <v>0.12138728323699421</v>
      </c>
      <c r="M273" s="41">
        <f t="shared" si="66"/>
        <v>0.15173410404624277</v>
      </c>
      <c r="O273" s="45">
        <v>691</v>
      </c>
    </row>
    <row r="274" spans="1:15" x14ac:dyDescent="0.15">
      <c r="A274" s="45" t="s">
        <v>12</v>
      </c>
      <c r="B274" s="45" t="s">
        <v>35</v>
      </c>
      <c r="C274" s="45">
        <v>779</v>
      </c>
      <c r="D274" s="45">
        <v>2361</v>
      </c>
      <c r="E274" s="45">
        <v>45</v>
      </c>
      <c r="F274" s="40">
        <f t="shared" si="63"/>
        <v>52.466666666666669</v>
      </c>
      <c r="G274" s="45">
        <v>852</v>
      </c>
      <c r="H274" s="45">
        <f>60+13</f>
        <v>73</v>
      </c>
      <c r="I274" s="45">
        <v>13</v>
      </c>
      <c r="J274" s="40">
        <f t="shared" si="64"/>
        <v>5.615384615384615</v>
      </c>
      <c r="K274" s="33">
        <f t="shared" si="65"/>
        <v>-6.8673565380997184E-2</v>
      </c>
      <c r="L274" s="41">
        <f t="shared" si="62"/>
        <v>3.0919102075391783E-2</v>
      </c>
      <c r="M274" s="41">
        <f t="shared" si="66"/>
        <v>0.10702766103020231</v>
      </c>
      <c r="O274" s="45">
        <v>1063</v>
      </c>
    </row>
    <row r="275" spans="1:15" x14ac:dyDescent="0.15">
      <c r="A275" s="45" t="s">
        <v>13</v>
      </c>
      <c r="B275" s="45" t="s">
        <v>35</v>
      </c>
      <c r="C275" s="45">
        <v>844</v>
      </c>
      <c r="D275" s="45">
        <v>4465</v>
      </c>
      <c r="E275" s="45">
        <v>74</v>
      </c>
      <c r="F275" s="40">
        <f t="shared" si="63"/>
        <v>60.337837837837839</v>
      </c>
      <c r="G275" s="45">
        <v>1034</v>
      </c>
      <c r="H275" s="45">
        <f>120+17</f>
        <v>137</v>
      </c>
      <c r="I275" s="45">
        <v>18</v>
      </c>
      <c r="J275" s="40">
        <f t="shared" si="64"/>
        <v>7.6111111111111107</v>
      </c>
      <c r="K275" s="33">
        <f t="shared" si="65"/>
        <v>-0.16843971631205673</v>
      </c>
      <c r="L275" s="41">
        <f t="shared" si="62"/>
        <v>3.0683090705487123E-2</v>
      </c>
      <c r="M275" s="41">
        <f t="shared" si="66"/>
        <v>0.12614159512255815</v>
      </c>
      <c r="O275" s="45">
        <v>1128</v>
      </c>
    </row>
    <row r="276" spans="1:15" x14ac:dyDescent="0.15">
      <c r="A276" s="45" t="s">
        <v>14</v>
      </c>
      <c r="B276" s="45" t="s">
        <v>36</v>
      </c>
      <c r="C276" s="45">
        <v>1002</v>
      </c>
      <c r="D276" s="45">
        <v>2099</v>
      </c>
      <c r="E276" s="45">
        <v>16</v>
      </c>
      <c r="F276" s="40">
        <f t="shared" si="63"/>
        <v>131.1875</v>
      </c>
      <c r="G276" s="45">
        <v>1056</v>
      </c>
      <c r="H276" s="45">
        <v>49</v>
      </c>
      <c r="I276" s="45">
        <v>3</v>
      </c>
      <c r="J276" s="40">
        <f t="shared" si="64"/>
        <v>16.333333333333332</v>
      </c>
      <c r="K276" s="33">
        <f t="shared" si="65"/>
        <v>-4.2319749216300939E-2</v>
      </c>
      <c r="L276" s="41">
        <f t="shared" si="62"/>
        <v>2.3344449737970462E-2</v>
      </c>
      <c r="M276" s="41">
        <f t="shared" si="66"/>
        <v>0.12450373193584245</v>
      </c>
      <c r="O276" s="45">
        <v>1276</v>
      </c>
    </row>
    <row r="277" spans="1:15" x14ac:dyDescent="0.15">
      <c r="A277" s="45" t="s">
        <v>15</v>
      </c>
      <c r="B277" s="45" t="s">
        <v>36</v>
      </c>
      <c r="C277" s="45">
        <v>1017</v>
      </c>
      <c r="D277" s="45">
        <v>4064</v>
      </c>
      <c r="E277" s="45">
        <v>29</v>
      </c>
      <c r="F277" s="40">
        <f t="shared" si="63"/>
        <v>140.13793103448276</v>
      </c>
      <c r="G277" s="45">
        <v>1061</v>
      </c>
      <c r="H277" s="45">
        <f>12*60+52</f>
        <v>772</v>
      </c>
      <c r="I277" s="45">
        <v>8</v>
      </c>
      <c r="J277" s="40">
        <f t="shared" si="64"/>
        <v>96.5</v>
      </c>
      <c r="K277" s="33">
        <f t="shared" si="65"/>
        <v>-3.9855072463768113E-2</v>
      </c>
      <c r="L277" s="41">
        <f t="shared" si="62"/>
        <v>0.18996062992125984</v>
      </c>
      <c r="M277" s="41">
        <f t="shared" si="66"/>
        <v>0.6886072834645669</v>
      </c>
      <c r="O277" s="45">
        <v>1104</v>
      </c>
    </row>
    <row r="279" spans="1:15" x14ac:dyDescent="0.15">
      <c r="A279" s="26" t="s">
        <v>264</v>
      </c>
    </row>
    <row r="280" spans="1:15" x14ac:dyDescent="0.15">
      <c r="A280" s="47" t="s">
        <v>26</v>
      </c>
      <c r="B280" s="47" t="s">
        <v>27</v>
      </c>
      <c r="C280" s="50" t="s">
        <v>257</v>
      </c>
      <c r="D280" s="50"/>
      <c r="E280" s="50"/>
      <c r="F280" s="50"/>
      <c r="G280" s="50" t="s">
        <v>258</v>
      </c>
      <c r="H280" s="50"/>
      <c r="I280" s="50"/>
      <c r="J280" s="50"/>
      <c r="K280" s="47" t="s">
        <v>252</v>
      </c>
      <c r="L280" s="47" t="s">
        <v>233</v>
      </c>
      <c r="M280" s="23" t="s">
        <v>250</v>
      </c>
    </row>
    <row r="281" spans="1:15" x14ac:dyDescent="0.15">
      <c r="A281" s="47"/>
      <c r="B281" s="47"/>
      <c r="C281" s="47" t="s">
        <v>237</v>
      </c>
      <c r="D281" s="47" t="s">
        <v>247</v>
      </c>
      <c r="E281" s="47" t="s">
        <v>251</v>
      </c>
      <c r="F281" s="47" t="s">
        <v>246</v>
      </c>
      <c r="G281" s="47" t="s">
        <v>237</v>
      </c>
      <c r="H281" s="47" t="s">
        <v>247</v>
      </c>
      <c r="I281" s="47" t="s">
        <v>251</v>
      </c>
      <c r="J281" s="47" t="s">
        <v>246</v>
      </c>
      <c r="K281" s="47" t="s">
        <v>4</v>
      </c>
      <c r="L281" s="47" t="s">
        <v>4</v>
      </c>
      <c r="M281" s="47" t="s">
        <v>4</v>
      </c>
    </row>
    <row r="282" spans="1:15" x14ac:dyDescent="0.15">
      <c r="A282" s="47" t="s">
        <v>0</v>
      </c>
      <c r="B282" s="47" t="s">
        <v>28</v>
      </c>
      <c r="C282" s="47">
        <v>487</v>
      </c>
      <c r="D282" s="47">
        <v>370</v>
      </c>
      <c r="E282" s="47">
        <v>12</v>
      </c>
      <c r="F282" s="40">
        <f>D282/E282</f>
        <v>30.833333333333332</v>
      </c>
      <c r="G282" s="47">
        <v>487</v>
      </c>
      <c r="H282" s="47">
        <f>4*60+59</f>
        <v>299</v>
      </c>
      <c r="I282" s="47">
        <v>11</v>
      </c>
      <c r="J282" s="40">
        <f>H282/I282</f>
        <v>27.181818181818183</v>
      </c>
      <c r="K282" s="33">
        <f>(C282-G282)/O282</f>
        <v>0</v>
      </c>
      <c r="L282" s="41">
        <f t="shared" ref="L282:L293" si="67">H282/D282</f>
        <v>0.80810810810810807</v>
      </c>
      <c r="M282" s="41">
        <f>J282/F282</f>
        <v>0.88157248157248169</v>
      </c>
      <c r="O282" s="47">
        <v>599</v>
      </c>
    </row>
    <row r="283" spans="1:15" x14ac:dyDescent="0.15">
      <c r="A283" s="47" t="s">
        <v>16</v>
      </c>
      <c r="B283" s="47" t="s">
        <v>29</v>
      </c>
      <c r="C283" s="47">
        <v>279</v>
      </c>
      <c r="D283" s="47">
        <v>2458</v>
      </c>
      <c r="E283" s="47">
        <v>69</v>
      </c>
      <c r="F283" s="40">
        <f t="shared" ref="F283:F293" si="68">D283/E283</f>
        <v>35.623188405797102</v>
      </c>
      <c r="G283" s="47">
        <v>532</v>
      </c>
      <c r="H283" s="47">
        <f>33*60+2</f>
        <v>1982</v>
      </c>
      <c r="I283" s="47">
        <v>46</v>
      </c>
      <c r="J283" s="40">
        <f t="shared" ref="J283:J293" si="69">H283/I283</f>
        <v>43.086956521739133</v>
      </c>
      <c r="K283" s="33">
        <f t="shared" ref="K283:K293" si="70">(C283-G283)/O283</f>
        <v>-0.24975320829220138</v>
      </c>
      <c r="L283" s="41">
        <f t="shared" si="67"/>
        <v>0.80634662327095197</v>
      </c>
      <c r="M283" s="41">
        <f t="shared" ref="M283:M293" si="71">J283/F283</f>
        <v>1.2095199349064281</v>
      </c>
      <c r="O283" s="47">
        <v>1013</v>
      </c>
    </row>
    <row r="284" spans="1:15" x14ac:dyDescent="0.15">
      <c r="A284" s="47" t="s">
        <v>6</v>
      </c>
      <c r="B284" s="47" t="s">
        <v>30</v>
      </c>
      <c r="C284" s="47">
        <v>873</v>
      </c>
      <c r="D284" s="47">
        <v>5054</v>
      </c>
      <c r="E284" s="47">
        <v>58</v>
      </c>
      <c r="F284" s="40">
        <f t="shared" si="68"/>
        <v>87.137931034482762</v>
      </c>
      <c r="G284" s="47">
        <v>971</v>
      </c>
      <c r="H284" s="47">
        <f>5*60+32</f>
        <v>332</v>
      </c>
      <c r="I284" s="47">
        <v>5</v>
      </c>
      <c r="J284" s="40">
        <f t="shared" si="69"/>
        <v>66.400000000000006</v>
      </c>
      <c r="K284" s="33">
        <f t="shared" si="70"/>
        <v>-6.8340306834030681E-2</v>
      </c>
      <c r="L284" s="41">
        <f t="shared" si="67"/>
        <v>6.5690542144835773E-2</v>
      </c>
      <c r="M284" s="41">
        <f t="shared" si="71"/>
        <v>0.76201028888009503</v>
      </c>
      <c r="O284" s="47">
        <v>1434</v>
      </c>
    </row>
    <row r="285" spans="1:15" x14ac:dyDescent="0.15">
      <c r="A285" s="47" t="s">
        <v>7</v>
      </c>
      <c r="B285" s="47" t="s">
        <v>31</v>
      </c>
      <c r="C285" s="47">
        <v>1278</v>
      </c>
      <c r="D285" s="47">
        <v>17473</v>
      </c>
      <c r="E285" s="47">
        <v>80</v>
      </c>
      <c r="F285" s="40">
        <f t="shared" si="68"/>
        <v>218.41249999999999</v>
      </c>
      <c r="G285" s="47">
        <v>1351</v>
      </c>
      <c r="H285" s="47">
        <f>241*60+44</f>
        <v>14504</v>
      </c>
      <c r="I285" s="47">
        <v>67</v>
      </c>
      <c r="J285" s="40">
        <f t="shared" si="69"/>
        <v>216.47761194029852</v>
      </c>
      <c r="K285" s="33">
        <f t="shared" si="70"/>
        <v>-4.5201238390092879E-2</v>
      </c>
      <c r="L285" s="41">
        <f t="shared" si="67"/>
        <v>0.83008069593086475</v>
      </c>
      <c r="M285" s="41">
        <f t="shared" si="71"/>
        <v>0.99114112946968935</v>
      </c>
      <c r="O285" s="47">
        <v>1615</v>
      </c>
    </row>
    <row r="286" spans="1:15" x14ac:dyDescent="0.15">
      <c r="A286" s="47" t="s">
        <v>8</v>
      </c>
      <c r="B286" s="47" t="s">
        <v>32</v>
      </c>
      <c r="C286" s="47">
        <v>2221</v>
      </c>
      <c r="D286" s="47">
        <v>24445</v>
      </c>
      <c r="E286" s="47">
        <v>59</v>
      </c>
      <c r="F286" s="40">
        <f t="shared" si="68"/>
        <v>414.32203389830511</v>
      </c>
      <c r="G286" s="47">
        <v>2302</v>
      </c>
      <c r="H286" s="47">
        <f>164*60+56</f>
        <v>9896</v>
      </c>
      <c r="I286" s="47">
        <v>41</v>
      </c>
      <c r="J286" s="40">
        <f t="shared" si="69"/>
        <v>241.36585365853659</v>
      </c>
      <c r="K286" s="33">
        <f t="shared" si="70"/>
        <v>-3.3305921052631582E-2</v>
      </c>
      <c r="L286" s="41">
        <f t="shared" si="67"/>
        <v>0.40482716301902227</v>
      </c>
      <c r="M286" s="41">
        <f t="shared" si="71"/>
        <v>0.58255616141761746</v>
      </c>
      <c r="O286" s="47">
        <v>2432</v>
      </c>
    </row>
    <row r="287" spans="1:15" x14ac:dyDescent="0.15">
      <c r="A287" s="47" t="s">
        <v>9</v>
      </c>
      <c r="B287" s="47" t="s">
        <v>33</v>
      </c>
      <c r="C287" s="47">
        <v>2289</v>
      </c>
      <c r="D287" s="47">
        <v>35821</v>
      </c>
      <c r="E287" s="47">
        <v>48</v>
      </c>
      <c r="F287" s="40">
        <f t="shared" si="68"/>
        <v>746.27083333333337</v>
      </c>
      <c r="G287" s="47">
        <v>2300</v>
      </c>
      <c r="H287" s="47">
        <f>447*60+42</f>
        <v>26862</v>
      </c>
      <c r="I287" s="47">
        <v>37</v>
      </c>
      <c r="J287" s="40">
        <f t="shared" si="69"/>
        <v>726</v>
      </c>
      <c r="K287" s="33">
        <f t="shared" si="70"/>
        <v>-3.9869517941283072E-3</v>
      </c>
      <c r="L287" s="41">
        <f t="shared" si="67"/>
        <v>0.74989531280533761</v>
      </c>
      <c r="M287" s="41">
        <f t="shared" si="71"/>
        <v>0.97283716255827579</v>
      </c>
      <c r="O287" s="47">
        <v>2759</v>
      </c>
    </row>
    <row r="288" spans="1:15" x14ac:dyDescent="0.15">
      <c r="A288" s="47" t="s">
        <v>10</v>
      </c>
      <c r="B288" s="18" t="s">
        <v>34</v>
      </c>
      <c r="C288" s="47">
        <v>1197</v>
      </c>
      <c r="D288" s="47">
        <v>77075</v>
      </c>
      <c r="E288" s="47">
        <v>265</v>
      </c>
      <c r="F288" s="40">
        <f t="shared" si="68"/>
        <v>290.84905660377359</v>
      </c>
      <c r="G288" s="47"/>
      <c r="H288" s="47">
        <f>961*60+37</f>
        <v>57697</v>
      </c>
      <c r="I288" s="47">
        <v>169</v>
      </c>
      <c r="J288" s="40">
        <f t="shared" si="69"/>
        <v>341.40236686390534</v>
      </c>
      <c r="K288" s="33">
        <f t="shared" si="70"/>
        <v>0.43686131386861315</v>
      </c>
      <c r="L288" s="41">
        <f t="shared" si="67"/>
        <v>0.74858254946480696</v>
      </c>
      <c r="M288" s="41">
        <f t="shared" si="71"/>
        <v>1.173812873421147</v>
      </c>
      <c r="O288" s="47">
        <v>2740</v>
      </c>
    </row>
    <row r="289" spans="1:15" x14ac:dyDescent="0.15">
      <c r="A289" s="47" t="s">
        <v>11</v>
      </c>
      <c r="B289" s="47" t="s">
        <v>35</v>
      </c>
      <c r="C289" s="47">
        <v>651</v>
      </c>
      <c r="D289" s="47">
        <v>173</v>
      </c>
      <c r="E289" s="47">
        <v>5</v>
      </c>
      <c r="F289" s="40">
        <f t="shared" si="68"/>
        <v>34.6</v>
      </c>
      <c r="G289" s="47">
        <v>655</v>
      </c>
      <c r="H289" s="47">
        <f>2*60+9</f>
        <v>129</v>
      </c>
      <c r="I289" s="47">
        <v>4</v>
      </c>
      <c r="J289" s="40">
        <f t="shared" si="69"/>
        <v>32.25</v>
      </c>
      <c r="K289" s="33">
        <f t="shared" si="70"/>
        <v>-5.7887120115774236E-3</v>
      </c>
      <c r="L289" s="41">
        <f t="shared" si="67"/>
        <v>0.74566473988439308</v>
      </c>
      <c r="M289" s="41">
        <f t="shared" si="71"/>
        <v>0.93208092485549132</v>
      </c>
      <c r="O289" s="47">
        <v>691</v>
      </c>
    </row>
    <row r="290" spans="1:15" x14ac:dyDescent="0.15">
      <c r="A290" s="47" t="s">
        <v>12</v>
      </c>
      <c r="B290" s="47" t="s">
        <v>35</v>
      </c>
      <c r="C290" s="47">
        <v>779</v>
      </c>
      <c r="D290" s="47">
        <v>2361</v>
      </c>
      <c r="E290" s="47">
        <v>45</v>
      </c>
      <c r="F290" s="40">
        <f t="shared" si="68"/>
        <v>52.466666666666669</v>
      </c>
      <c r="G290" s="47">
        <v>958</v>
      </c>
      <c r="H290" s="47">
        <v>13</v>
      </c>
      <c r="I290" s="47">
        <v>0</v>
      </c>
      <c r="J290" s="40" t="e">
        <f t="shared" si="69"/>
        <v>#DIV/0!</v>
      </c>
      <c r="K290" s="33">
        <f t="shared" si="70"/>
        <v>-0.16839134524929444</v>
      </c>
      <c r="L290" s="41">
        <f t="shared" si="67"/>
        <v>5.5061414654807286E-3</v>
      </c>
      <c r="M290" s="41" t="e">
        <f t="shared" si="71"/>
        <v>#DIV/0!</v>
      </c>
      <c r="O290" s="47">
        <v>1063</v>
      </c>
    </row>
    <row r="291" spans="1:15" x14ac:dyDescent="0.15">
      <c r="A291" s="47" t="s">
        <v>13</v>
      </c>
      <c r="B291" s="47" t="s">
        <v>35</v>
      </c>
      <c r="C291" s="47">
        <v>844</v>
      </c>
      <c r="D291" s="47">
        <v>4465</v>
      </c>
      <c r="E291" s="47">
        <v>74</v>
      </c>
      <c r="F291" s="40">
        <f t="shared" si="68"/>
        <v>60.337837837837839</v>
      </c>
      <c r="G291" s="47">
        <v>1034</v>
      </c>
      <c r="H291" s="47">
        <f>32*60+54</f>
        <v>1974</v>
      </c>
      <c r="I291" s="47">
        <v>19</v>
      </c>
      <c r="J291" s="40">
        <f t="shared" si="69"/>
        <v>103.89473684210526</v>
      </c>
      <c r="K291" s="33">
        <f t="shared" si="70"/>
        <v>-0.16843971631205673</v>
      </c>
      <c r="L291" s="41">
        <f t="shared" si="67"/>
        <v>0.44210526315789472</v>
      </c>
      <c r="M291" s="41">
        <f t="shared" si="71"/>
        <v>1.7218836565096953</v>
      </c>
      <c r="O291" s="47">
        <v>1128</v>
      </c>
    </row>
    <row r="292" spans="1:15" x14ac:dyDescent="0.15">
      <c r="A292" s="47" t="s">
        <v>14</v>
      </c>
      <c r="B292" s="47" t="s">
        <v>36</v>
      </c>
      <c r="C292" s="47">
        <v>1002</v>
      </c>
      <c r="D292" s="47">
        <v>2099</v>
      </c>
      <c r="E292" s="47">
        <v>16</v>
      </c>
      <c r="F292" s="40">
        <f t="shared" si="68"/>
        <v>131.1875</v>
      </c>
      <c r="G292" s="47">
        <v>1056</v>
      </c>
      <c r="H292" s="47">
        <f>6*60+7</f>
        <v>367</v>
      </c>
      <c r="I292" s="47">
        <v>3</v>
      </c>
      <c r="J292" s="40">
        <f t="shared" si="69"/>
        <v>122.33333333333333</v>
      </c>
      <c r="K292" s="33">
        <f t="shared" si="70"/>
        <v>-4.2319749216300939E-2</v>
      </c>
      <c r="L292" s="41">
        <f t="shared" si="67"/>
        <v>0.17484516436398284</v>
      </c>
      <c r="M292" s="41">
        <f t="shared" si="71"/>
        <v>0.93250754327457519</v>
      </c>
      <c r="O292" s="47">
        <v>1276</v>
      </c>
    </row>
    <row r="293" spans="1:15" x14ac:dyDescent="0.15">
      <c r="A293" s="47" t="s">
        <v>15</v>
      </c>
      <c r="B293" s="47" t="s">
        <v>36</v>
      </c>
      <c r="C293" s="47">
        <v>1017</v>
      </c>
      <c r="D293" s="47">
        <v>4064</v>
      </c>
      <c r="E293" s="47">
        <v>29</v>
      </c>
      <c r="F293" s="40">
        <f t="shared" si="68"/>
        <v>140.13793103448276</v>
      </c>
      <c r="G293" s="47">
        <v>1062</v>
      </c>
      <c r="H293" s="47">
        <f>22*60+44</f>
        <v>1364</v>
      </c>
      <c r="I293" s="47">
        <v>10</v>
      </c>
      <c r="J293" s="40">
        <f t="shared" si="69"/>
        <v>136.4</v>
      </c>
      <c r="K293" s="33">
        <f t="shared" si="70"/>
        <v>-4.0760869565217392E-2</v>
      </c>
      <c r="L293" s="41">
        <f t="shared" si="67"/>
        <v>0.33562992125984253</v>
      </c>
      <c r="M293" s="41">
        <f t="shared" si="71"/>
        <v>0.97332677165354331</v>
      </c>
      <c r="O293" s="47">
        <v>1104</v>
      </c>
    </row>
    <row r="295" spans="1:15" x14ac:dyDescent="0.15">
      <c r="F295" s="48"/>
    </row>
    <row r="296" spans="1:15" x14ac:dyDescent="0.15">
      <c r="F296" s="48"/>
    </row>
    <row r="297" spans="1:15" x14ac:dyDescent="0.15">
      <c r="A297" s="49" t="s">
        <v>26</v>
      </c>
      <c r="B297" s="49" t="s">
        <v>27</v>
      </c>
      <c r="C297" s="49" t="s">
        <v>265</v>
      </c>
      <c r="D297" s="49" t="s">
        <v>266</v>
      </c>
      <c r="E297" s="49" t="s">
        <v>267</v>
      </c>
      <c r="F297" s="48" t="s">
        <v>268</v>
      </c>
    </row>
    <row r="298" spans="1:15" x14ac:dyDescent="0.15">
      <c r="A298" s="49" t="s">
        <v>16</v>
      </c>
      <c r="B298" s="49" t="s">
        <v>29</v>
      </c>
      <c r="C298" s="49">
        <v>3.6479999999999999E-2</v>
      </c>
      <c r="D298" s="49">
        <v>3.7109400000000001E-2</v>
      </c>
      <c r="E298" s="49">
        <f>D298-C298</f>
        <v>6.2940000000000218E-4</v>
      </c>
      <c r="F298" s="48">
        <f>E298/D298</f>
        <v>1.6960662258080222E-2</v>
      </c>
    </row>
    <row r="299" spans="1:15" x14ac:dyDescent="0.15">
      <c r="F299" s="48"/>
    </row>
    <row r="300" spans="1:15" x14ac:dyDescent="0.15">
      <c r="F300" s="48"/>
    </row>
    <row r="301" spans="1:15" x14ac:dyDescent="0.15">
      <c r="F301" s="48"/>
    </row>
    <row r="302" spans="1:15" x14ac:dyDescent="0.15">
      <c r="F302" s="48"/>
    </row>
    <row r="303" spans="1:15" x14ac:dyDescent="0.15">
      <c r="F303" s="48"/>
    </row>
    <row r="304" spans="1:15" x14ac:dyDescent="0.15">
      <c r="F304" s="48"/>
    </row>
    <row r="305" spans="6:6" x14ac:dyDescent="0.15">
      <c r="F305" s="48"/>
    </row>
    <row r="306" spans="6:6" x14ac:dyDescent="0.15">
      <c r="F306" s="48"/>
    </row>
  </sheetData>
  <mergeCells count="17">
    <mergeCell ref="C280:F280"/>
    <mergeCell ref="G280:J280"/>
    <mergeCell ref="C264:F264"/>
    <mergeCell ref="G264:J264"/>
    <mergeCell ref="G187:J187"/>
    <mergeCell ref="C187:F187"/>
    <mergeCell ref="C232:F232"/>
    <mergeCell ref="G232:J232"/>
    <mergeCell ref="C221:F221"/>
    <mergeCell ref="G221:J221"/>
    <mergeCell ref="C205:F205"/>
    <mergeCell ref="G205:J205"/>
    <mergeCell ref="C135:E135"/>
    <mergeCell ref="E154:F154"/>
    <mergeCell ref="C154:D154"/>
    <mergeCell ref="C171:D171"/>
    <mergeCell ref="E171:F17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beforeDAC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2019-02-08T03:22:16Z</dcterms:modified>
</cp:coreProperties>
</file>