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WDa\Projects\Fragment\Excel\"/>
    </mc:Choice>
  </mc:AlternateContent>
  <xr:revisionPtr revIDLastSave="0" documentId="13_ncr:1_{F95D08E7-682C-4FA8-A191-4A944E4FF54C}" xr6:coauthVersionLast="47" xr6:coauthVersionMax="47" xr10:uidLastSave="{00000000-0000-0000-0000-000000000000}"/>
  <bookViews>
    <workbookView xWindow="-120" yWindow="-120" windowWidth="29040" windowHeight="15720" activeTab="5" xr2:uid="{8281E10D-33EF-4D46-A534-1BAF9E624D7F}"/>
  </bookViews>
  <sheets>
    <sheet name="Passive abilities" sheetId="4" r:id="rId1"/>
    <sheet name="Generator rules" sheetId="9" r:id="rId2"/>
    <sheet name="Active abilities" sheetId="8" r:id="rId3"/>
    <sheet name="Generators" sheetId="1" r:id="rId4"/>
    <sheet name="Frames" sheetId="2" r:id="rId5"/>
    <sheet name="Parts" sheetId="3" r:id="rId6"/>
    <sheet name="Power Configuration" sheetId="7" r:id="rId7"/>
    <sheet name="Bots" sheetId="6" r:id="rId8"/>
    <sheet name="Statuses" sheetId="5" r:id="rId9"/>
  </sheets>
  <definedNames>
    <definedName name="Abilities">'Passive abilities'!$A$1:$C$24</definedName>
    <definedName name="Cells">Frames!$A$1:$D$57</definedName>
    <definedName name="Frames">Table1[#All]</definedName>
    <definedName name="Gens">Generators!$A$1:$D$43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6" i="4" l="1"/>
  <c r="B2" i="9"/>
  <c r="B8" i="9"/>
  <c r="B7" i="9"/>
  <c r="B6" i="9"/>
  <c r="B5" i="9"/>
  <c r="B4" i="9"/>
  <c r="B3" i="9"/>
  <c r="D22" i="4"/>
  <c r="D21" i="4"/>
  <c r="D16" i="4"/>
  <c r="D10" i="4"/>
  <c r="D5" i="4"/>
  <c r="D4" i="4"/>
  <c r="D3" i="4"/>
  <c r="D6" i="4"/>
  <c r="D7" i="4"/>
  <c r="D23" i="4"/>
  <c r="D34" i="4"/>
  <c r="D28" i="4"/>
  <c r="J9" i="4"/>
  <c r="J10" i="4"/>
  <c r="J11" i="4"/>
  <c r="J12" i="4"/>
  <c r="J13" i="4"/>
  <c r="J14" i="4"/>
  <c r="D19" i="4"/>
  <c r="D35" i="4"/>
  <c r="D31" i="4"/>
  <c r="D27" i="4"/>
  <c r="D26" i="4"/>
  <c r="D24" i="4"/>
  <c r="D17" i="4"/>
  <c r="D20" i="4"/>
  <c r="D18" i="4"/>
  <c r="D29" i="4"/>
  <c r="D15" i="4"/>
  <c r="D14" i="4"/>
  <c r="D13" i="4"/>
  <c r="D12" i="4"/>
  <c r="D11" i="4"/>
  <c r="D9" i="4"/>
  <c r="D8" i="4"/>
  <c r="J8" i="4"/>
  <c r="D2" i="4"/>
  <c r="L25" i="7"/>
  <c r="M25" i="7" s="1"/>
  <c r="I25" i="7"/>
  <c r="I26" i="7"/>
  <c r="I27" i="7"/>
  <c r="I28" i="7"/>
  <c r="I29" i="7"/>
  <c r="I30" i="7"/>
  <c r="F25" i="7"/>
  <c r="G25" i="7" s="1"/>
  <c r="F26" i="7"/>
  <c r="G26" i="7" s="1"/>
  <c r="F27" i="7"/>
  <c r="G27" i="7" s="1"/>
  <c r="F28" i="7"/>
  <c r="G28" i="7" s="1"/>
  <c r="F29" i="7"/>
  <c r="G29" i="7" s="1"/>
  <c r="F30" i="7"/>
  <c r="G30" i="7" s="1"/>
  <c r="C25" i="7"/>
  <c r="D25" i="7" s="1"/>
  <c r="C26" i="7"/>
  <c r="D26" i="7" s="1"/>
  <c r="C27" i="7"/>
  <c r="D27" i="7" s="1"/>
  <c r="C28" i="7"/>
  <c r="D28" i="7" s="1"/>
  <c r="C29" i="7"/>
  <c r="D29" i="7" s="1"/>
  <c r="C30" i="7"/>
  <c r="D30" i="7" s="1"/>
  <c r="K8" i="7"/>
  <c r="L6" i="7"/>
  <c r="K6" i="7"/>
  <c r="J6" i="7"/>
  <c r="L4" i="7"/>
  <c r="J4" i="7"/>
  <c r="K4" i="7"/>
  <c r="I4" i="7"/>
  <c r="L26" i="7"/>
  <c r="M26" i="7" s="1"/>
  <c r="L27" i="7"/>
  <c r="M17" i="7" s="1"/>
  <c r="L28" i="7"/>
  <c r="M28" i="7" s="1"/>
  <c r="L29" i="7"/>
  <c r="M19" i="7" s="1"/>
  <c r="L30" i="7"/>
  <c r="M20" i="7" s="1"/>
  <c r="C16" i="7"/>
  <c r="D16" i="7" s="1"/>
  <c r="C17" i="7"/>
  <c r="D17" i="7" s="1"/>
  <c r="C18" i="7"/>
  <c r="D18" i="7" s="1"/>
  <c r="C19" i="7"/>
  <c r="D19" i="7" s="1"/>
  <c r="C20" i="7"/>
  <c r="D20" i="7" s="1"/>
  <c r="C15" i="7"/>
  <c r="D15" i="7" s="1"/>
  <c r="F16" i="7" a="1"/>
  <c r="F16" i="7" s="1"/>
  <c r="G16" i="7" s="1"/>
  <c r="F17" i="7" a="1"/>
  <c r="F17" i="7" s="1"/>
  <c r="G17" i="7" s="1"/>
  <c r="F18" i="7" a="1"/>
  <c r="F18" i="7" s="1"/>
  <c r="G18" i="7" s="1"/>
  <c r="F19" i="7" a="1"/>
  <c r="F19" i="7" s="1"/>
  <c r="G19" i="7" s="1"/>
  <c r="F20" i="7" a="1"/>
  <c r="F20" i="7" s="1"/>
  <c r="G20" i="7" s="1"/>
  <c r="F15" i="7" a="1"/>
  <c r="F15" i="7" s="1"/>
  <c r="G15" i="7" s="1"/>
  <c r="I15" i="7"/>
  <c r="I16" i="7"/>
  <c r="I17" i="7"/>
  <c r="I18" i="7"/>
  <c r="I19" i="7"/>
  <c r="I20" i="7"/>
  <c r="C2" i="6" a="1"/>
  <c r="C2" i="6" s="1"/>
  <c r="G2" i="6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C10" i="7"/>
  <c r="D10" i="7" s="1"/>
  <c r="C9" i="7"/>
  <c r="D9" i="7" s="1"/>
  <c r="C8" i="7"/>
  <c r="D8" i="7" s="1"/>
  <c r="C7" i="7"/>
  <c r="D7" i="7" s="1"/>
  <c r="C6" i="7"/>
  <c r="D6" i="7" s="1"/>
  <c r="C5" i="7"/>
  <c r="D5" i="7" s="1"/>
  <c r="L4" i="6" a="1"/>
  <c r="L4" i="6" s="1"/>
  <c r="K2" i="6" a="1"/>
  <c r="K2" i="6" s="1"/>
  <c r="K3" i="6" a="1"/>
  <c r="K3" i="6" s="1"/>
  <c r="P3" i="6" s="1"/>
  <c r="K4" i="6" a="1"/>
  <c r="K4" i="6" s="1"/>
  <c r="P4" i="6" s="1"/>
  <c r="K5" i="6" a="1"/>
  <c r="K5" i="6" s="1"/>
  <c r="P5" i="6" s="1"/>
  <c r="K6" i="6" a="1"/>
  <c r="K6" i="6" s="1"/>
  <c r="P6" i="6" s="1"/>
  <c r="K7" i="6" a="1"/>
  <c r="K7" i="6" s="1"/>
  <c r="P7" i="6" s="1"/>
  <c r="B2" i="6" a="1"/>
  <c r="B2" i="6" s="1"/>
  <c r="H2" i="6" s="1"/>
  <c r="B3" i="6" a="1"/>
  <c r="B3" i="6" s="1"/>
  <c r="F3" i="6" s="1"/>
  <c r="C3" i="6" a="1"/>
  <c r="C3" i="6" s="1"/>
  <c r="G3" i="6" s="1"/>
  <c r="B4" i="6" a="1"/>
  <c r="B4" i="6" s="1"/>
  <c r="F4" i="6" s="1"/>
  <c r="C4" i="6" a="1"/>
  <c r="C4" i="6" s="1"/>
  <c r="G4" i="6" s="1"/>
  <c r="B5" i="6" a="1"/>
  <c r="B5" i="6" s="1"/>
  <c r="F5" i="6" s="1"/>
  <c r="C5" i="6" a="1"/>
  <c r="C5" i="6" s="1"/>
  <c r="B6" i="6" a="1"/>
  <c r="B6" i="6" s="1"/>
  <c r="H6" i="6" s="1"/>
  <c r="C6" i="6" a="1"/>
  <c r="C6" i="6" s="1"/>
  <c r="G6" i="6" s="1"/>
  <c r="B7" i="6" a="1"/>
  <c r="B7" i="6" s="1"/>
  <c r="H7" i="6" s="1"/>
  <c r="C7" i="6" a="1"/>
  <c r="C7" i="6" s="1"/>
  <c r="G7" i="6" s="1"/>
  <c r="M29" i="7" l="1"/>
  <c r="M15" i="7"/>
  <c r="M30" i="7"/>
  <c r="M27" i="7"/>
  <c r="M16" i="7"/>
  <c r="M18" i="7"/>
  <c r="J20" i="7"/>
  <c r="J28" i="7"/>
  <c r="J15" i="7"/>
  <c r="J16" i="7"/>
  <c r="J29" i="7"/>
  <c r="J18" i="7"/>
  <c r="J27" i="7"/>
  <c r="J30" i="7"/>
  <c r="J19" i="7"/>
  <c r="J25" i="7"/>
  <c r="J17" i="7"/>
  <c r="J26" i="7"/>
  <c r="O3" i="6"/>
  <c r="O2" i="6"/>
  <c r="N3" i="6"/>
  <c r="O7" i="6"/>
  <c r="O6" i="6"/>
  <c r="O4" i="6"/>
  <c r="P2" i="6"/>
  <c r="N5" i="6"/>
  <c r="N4" i="6"/>
  <c r="L7" i="6"/>
  <c r="L6" i="6"/>
  <c r="L5" i="6"/>
  <c r="L3" i="6"/>
  <c r="L2" i="6"/>
  <c r="E7" i="6"/>
  <c r="M7" i="6" s="1"/>
  <c r="E6" i="6"/>
  <c r="M6" i="6" s="1"/>
  <c r="E5" i="6"/>
  <c r="M5" i="6" s="1"/>
  <c r="E4" i="6"/>
  <c r="M4" i="6" s="1"/>
  <c r="E3" i="6"/>
  <c r="M3" i="6" s="1"/>
  <c r="E2" i="6"/>
  <c r="M2" i="6" s="1"/>
  <c r="G5" i="6"/>
  <c r="O5" i="6" s="1"/>
  <c r="I5" i="6"/>
  <c r="I6" i="6"/>
  <c r="H5" i="6"/>
  <c r="I4" i="6"/>
  <c r="H4" i="6"/>
  <c r="D6" i="6"/>
  <c r="I7" i="6"/>
  <c r="I3" i="6"/>
  <c r="H3" i="6"/>
  <c r="I2" i="6"/>
  <c r="D2" i="6"/>
  <c r="D7" i="6"/>
  <c r="F7" i="6"/>
  <c r="F6" i="6"/>
  <c r="F2" i="6"/>
  <c r="D4" i="6"/>
  <c r="D5" i="6"/>
  <c r="D3" i="6"/>
  <c r="Q3" i="6" l="1"/>
  <c r="Q4" i="6"/>
  <c r="Q5" i="6"/>
  <c r="J6" i="6"/>
  <c r="J4" i="6"/>
  <c r="J3" i="6"/>
  <c r="J7" i="6"/>
  <c r="J2" i="6"/>
  <c r="J5" i="6"/>
  <c r="N2" i="6"/>
  <c r="Q2" i="6" s="1"/>
  <c r="N7" i="6"/>
  <c r="Q7" i="6" s="1"/>
  <c r="N6" i="6"/>
  <c r="Q6" i="6" s="1"/>
  <c r="N16" i="7" l="1"/>
  <c r="O16" i="7"/>
  <c r="O20" i="7"/>
  <c r="N20" i="7"/>
  <c r="N18" i="7"/>
  <c r="O18" i="7"/>
  <c r="N19" i="7"/>
  <c r="O19" i="7"/>
  <c r="N17" i="7"/>
  <c r="O17" i="7"/>
  <c r="O15" i="7"/>
  <c r="N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<sst xmlns="http://schemas.openxmlformats.org/spreadsheetml/2006/main" count="756" uniqueCount="267">
  <si>
    <t>Name</t>
  </si>
  <si>
    <t>Type</t>
  </si>
  <si>
    <t>HP</t>
  </si>
  <si>
    <t>Nucle</t>
  </si>
  <si>
    <t>Augment</t>
  </si>
  <si>
    <t>Pluto</t>
  </si>
  <si>
    <t>Radi</t>
  </si>
  <si>
    <t>Consume</t>
  </si>
  <si>
    <t>Chari</t>
  </si>
  <si>
    <t>Pyro</t>
  </si>
  <si>
    <t>Carni</t>
  </si>
  <si>
    <t>Cultivate</t>
  </si>
  <si>
    <t>Preda</t>
  </si>
  <si>
    <t>Fauna</t>
  </si>
  <si>
    <t>Herba</t>
  </si>
  <si>
    <t>Flora</t>
  </si>
  <si>
    <t>Geo</t>
  </si>
  <si>
    <t>Preserve</t>
  </si>
  <si>
    <t>Helio</t>
  </si>
  <si>
    <t>Sola</t>
  </si>
  <si>
    <t>Hydro</t>
  </si>
  <si>
    <t>Ventra</t>
  </si>
  <si>
    <t>ling</t>
  </si>
  <si>
    <t>vore</t>
  </si>
  <si>
    <t>ton</t>
  </si>
  <si>
    <t>lus</t>
  </si>
  <si>
    <t>neon</t>
  </si>
  <si>
    <t>lium</t>
  </si>
  <si>
    <t>mant</t>
  </si>
  <si>
    <t>tine</t>
  </si>
  <si>
    <t>Cost</t>
  </si>
  <si>
    <t>fel</t>
  </si>
  <si>
    <t>Ability</t>
  </si>
  <si>
    <t>Effect</t>
  </si>
  <si>
    <t>Scorch</t>
  </si>
  <si>
    <t>Mutate</t>
  </si>
  <si>
    <t>Shield</t>
  </si>
  <si>
    <t>Convert</t>
  </si>
  <si>
    <t>PP</t>
  </si>
  <si>
    <t>bium</t>
  </si>
  <si>
    <t>nite</t>
  </si>
  <si>
    <t>zine</t>
  </si>
  <si>
    <t>Neo</t>
  </si>
  <si>
    <t>Proto</t>
  </si>
  <si>
    <t>don</t>
  </si>
  <si>
    <t>kar</t>
  </si>
  <si>
    <t>gon</t>
  </si>
  <si>
    <t>tus</t>
  </si>
  <si>
    <t>stega</t>
  </si>
  <si>
    <t>morph</t>
  </si>
  <si>
    <t>talus</t>
  </si>
  <si>
    <t>nax</t>
  </si>
  <si>
    <t>form</t>
  </si>
  <si>
    <t>nyx</t>
  </si>
  <si>
    <t>lophus</t>
  </si>
  <si>
    <t>phyte</t>
  </si>
  <si>
    <t>pod</t>
  </si>
  <si>
    <t>PP2</t>
  </si>
  <si>
    <t>bit</t>
  </si>
  <si>
    <t>byte</t>
  </si>
  <si>
    <t>cell</t>
  </si>
  <si>
    <t>lite</t>
  </si>
  <si>
    <t>theum</t>
  </si>
  <si>
    <t>rect</t>
  </si>
  <si>
    <t>nacht</t>
  </si>
  <si>
    <t>klum</t>
  </si>
  <si>
    <t>Acquire</t>
  </si>
  <si>
    <t>Mega</t>
  </si>
  <si>
    <t>Giga</t>
  </si>
  <si>
    <t>Ultra</t>
  </si>
  <si>
    <t>Supra</t>
  </si>
  <si>
    <t>Nocta</t>
  </si>
  <si>
    <t>Luna</t>
  </si>
  <si>
    <t>ply</t>
  </si>
  <si>
    <t>Klepto</t>
  </si>
  <si>
    <t>Reallocate</t>
  </si>
  <si>
    <t>Pollinate</t>
  </si>
  <si>
    <t>Barrier</t>
  </si>
  <si>
    <t>Hurricane</t>
  </si>
  <si>
    <t>Burn</t>
  </si>
  <si>
    <t>Fusion</t>
  </si>
  <si>
    <t>Pack</t>
  </si>
  <si>
    <t>Status</t>
  </si>
  <si>
    <t>Stun</t>
  </si>
  <si>
    <t>x dmg each turn</t>
  </si>
  <si>
    <t>no atk this turn</t>
  </si>
  <si>
    <t>Tera</t>
  </si>
  <si>
    <t>Dyna</t>
  </si>
  <si>
    <t>Syna</t>
  </si>
  <si>
    <t>Corva</t>
  </si>
  <si>
    <t>Cost/Power</t>
  </si>
  <si>
    <t>Generator</t>
  </si>
  <si>
    <t>Frame</t>
  </si>
  <si>
    <t>Ability 1</t>
  </si>
  <si>
    <t>Ability 2</t>
  </si>
  <si>
    <t>Part 1</t>
  </si>
  <si>
    <t>Name2</t>
  </si>
  <si>
    <t>Cost2</t>
  </si>
  <si>
    <t>HP2</t>
  </si>
  <si>
    <t>Turbo</t>
  </si>
  <si>
    <t>Thurma</t>
  </si>
  <si>
    <t>Cano</t>
  </si>
  <si>
    <t>Cyclo</t>
  </si>
  <si>
    <t>Dextra</t>
  </si>
  <si>
    <t>Vapo</t>
  </si>
  <si>
    <t>Fira</t>
  </si>
  <si>
    <t>Solar glare</t>
  </si>
  <si>
    <t>Power/Cost</t>
  </si>
  <si>
    <t>Power/Cost2</t>
  </si>
  <si>
    <t>Frames</t>
  </si>
  <si>
    <t>Generators</t>
  </si>
  <si>
    <t>Ave Cost</t>
  </si>
  <si>
    <t>Cost/HP</t>
  </si>
  <si>
    <t>Cost/PP</t>
  </si>
  <si>
    <t>Power</t>
  </si>
  <si>
    <t>Ideal</t>
  </si>
  <si>
    <t>Actual</t>
  </si>
  <si>
    <t>Difference</t>
  </si>
  <si>
    <t>Ideal2</t>
  </si>
  <si>
    <t>Actual3</t>
  </si>
  <si>
    <t>Difference4</t>
  </si>
  <si>
    <t>Ideal5</t>
  </si>
  <si>
    <t>Actual6</t>
  </si>
  <si>
    <t>Difference7</t>
  </si>
  <si>
    <t>Ideal8</t>
  </si>
  <si>
    <t>Actual9</t>
  </si>
  <si>
    <t>Difference10</t>
  </si>
  <si>
    <t>Variety</t>
  </si>
  <si>
    <t>Stats</t>
  </si>
  <si>
    <t>Cost/Stat</t>
  </si>
  <si>
    <t>Part</t>
  </si>
  <si>
    <t>ctos</t>
  </si>
  <si>
    <t>bar</t>
  </si>
  <si>
    <t>gul</t>
  </si>
  <si>
    <t>myth</t>
  </si>
  <si>
    <t>viz</t>
  </si>
  <si>
    <t>gar</t>
  </si>
  <si>
    <t>zone</t>
  </si>
  <si>
    <t>line</t>
  </si>
  <si>
    <t>shell</t>
  </si>
  <si>
    <t>hull</t>
  </si>
  <si>
    <t>dome</t>
  </si>
  <si>
    <t>clor</t>
  </si>
  <si>
    <t>more</t>
  </si>
  <si>
    <t>Parts</t>
  </si>
  <si>
    <t>Ave HP</t>
  </si>
  <si>
    <t>Ave PP</t>
  </si>
  <si>
    <t>Ave Power</t>
  </si>
  <si>
    <t>HP/PP</t>
  </si>
  <si>
    <t>Harvest</t>
  </si>
  <si>
    <t>Leech</t>
  </si>
  <si>
    <t>Storm Drain</t>
  </si>
  <si>
    <t>Active Ability</t>
  </si>
  <si>
    <t>Blaze</t>
  </si>
  <si>
    <t>Frack</t>
  </si>
  <si>
    <t>Research</t>
  </si>
  <si>
    <t>Rain recollection</t>
  </si>
  <si>
    <t>Coded?</t>
  </si>
  <si>
    <t>Sync</t>
  </si>
  <si>
    <t>No</t>
  </si>
  <si>
    <t>Circle back</t>
  </si>
  <si>
    <t>When you would draw a card, draw an extra one</t>
  </si>
  <si>
    <t>Yes</t>
  </si>
  <si>
    <t>Agile</t>
  </si>
  <si>
    <t>Disruption</t>
  </si>
  <si>
    <t>Radiate</t>
  </si>
  <si>
    <t>1 dmg to random enemy each time this bot attacks</t>
  </si>
  <si>
    <t>Tinder</t>
  </si>
  <si>
    <t>Gain 4 PP when you mine an adjacent Fossil Fuel resource</t>
  </si>
  <si>
    <t>Lightning</t>
  </si>
  <si>
    <t>Refraction</t>
  </si>
  <si>
    <t>Streamline</t>
  </si>
  <si>
    <t>Recycle</t>
  </si>
  <si>
    <t>Discount</t>
  </si>
  <si>
    <t>Tinker</t>
  </si>
  <si>
    <t>Opp PP</t>
  </si>
  <si>
    <t>Pass PP</t>
  </si>
  <si>
    <t>Special</t>
  </si>
  <si>
    <t>Resource</t>
  </si>
  <si>
    <t>Spare Parts</t>
  </si>
  <si>
    <t>Rejig</t>
  </si>
  <si>
    <t>Stun opponents on attack</t>
  </si>
  <si>
    <t>Whirlwind</t>
  </si>
  <si>
    <t>Recharge</t>
  </si>
  <si>
    <t>Abilities</t>
  </si>
  <si>
    <t>Reinforce</t>
  </si>
  <si>
    <t>Spoils</t>
  </si>
  <si>
    <t>Hunger</t>
  </si>
  <si>
    <t>Charge</t>
  </si>
  <si>
    <t>Backdraft</t>
  </si>
  <si>
    <t>Repurpose</t>
  </si>
  <si>
    <t>PP gain</t>
  </si>
  <si>
    <t>Incentivize</t>
  </si>
  <si>
    <t>Roll a d4. Draw that many cards.</t>
  </si>
  <si>
    <t>Deplete</t>
  </si>
  <si>
    <t>Roll a d4. Attack damage is increased by that amount on your next attack.</t>
  </si>
  <si>
    <t>Fireball</t>
  </si>
  <si>
    <t>Roll a d4. Deal 2 dmg to enemy bot in that position</t>
  </si>
  <si>
    <t>Twister</t>
  </si>
  <si>
    <t>Roll a d4. Swap opponent bot with bot in that position</t>
  </si>
  <si>
    <t>Cure wounds</t>
  </si>
  <si>
    <t>Roll a d4. Give +2 HP to the ally bot in that position</t>
  </si>
  <si>
    <t>Roll a d4. Prevent damage to the ally bot in that position for one turn</t>
  </si>
  <si>
    <t>Shunt</t>
  </si>
  <si>
    <t>All</t>
  </si>
  <si>
    <t>1 dmg</t>
  </si>
  <si>
    <t>Energy beam</t>
  </si>
  <si>
    <t>5 dmg</t>
  </si>
  <si>
    <t>Shock</t>
  </si>
  <si>
    <t>3 dmg</t>
  </si>
  <si>
    <t>Giga blast</t>
  </si>
  <si>
    <t>7 dmg</t>
  </si>
  <si>
    <t>Double jab</t>
  </si>
  <si>
    <t>Flip 2 coins. 1 damage for each heads</t>
  </si>
  <si>
    <t>Triple tap</t>
  </si>
  <si>
    <t>Flip 3 coins. 2 damage for each heads.</t>
  </si>
  <si>
    <t>Bullet Blitz</t>
  </si>
  <si>
    <t>Flip 5 coins. 2 damage for each heads.</t>
  </si>
  <si>
    <t>Multi Missile</t>
  </si>
  <si>
    <t>Flip 5 coins. 3 damage for each heads.</t>
  </si>
  <si>
    <t>Roll a d4. The effect of your next mechanic card is increased by that amount.</t>
  </si>
  <si>
    <t>Plan</t>
  </si>
  <si>
    <t>Circle Back</t>
  </si>
  <si>
    <t>Synergy</t>
  </si>
  <si>
    <t>Fission</t>
  </si>
  <si>
    <t>Xeno</t>
  </si>
  <si>
    <t>Xanthra</t>
  </si>
  <si>
    <t>Rexplo</t>
  </si>
  <si>
    <t>Turta</t>
  </si>
  <si>
    <t>Concha</t>
  </si>
  <si>
    <t>Mecha</t>
  </si>
  <si>
    <t>Techno</t>
  </si>
  <si>
    <t>Energy Beam</t>
  </si>
  <si>
    <t>Giga Blast</t>
  </si>
  <si>
    <t>Cure Wounds</t>
  </si>
  <si>
    <t>saurus</t>
  </si>
  <si>
    <t>clunk</t>
  </si>
  <si>
    <t>ping</t>
  </si>
  <si>
    <t>rod</t>
  </si>
  <si>
    <t>trip</t>
  </si>
  <si>
    <t>dink</t>
  </si>
  <si>
    <t>quip</t>
  </si>
  <si>
    <t>geer</t>
  </si>
  <si>
    <t>cket</t>
  </si>
  <si>
    <t>Spana</t>
  </si>
  <si>
    <t>Sporo</t>
  </si>
  <si>
    <t>Weldo</t>
  </si>
  <si>
    <t>Pringu</t>
  </si>
  <si>
    <t>Washo</t>
  </si>
  <si>
    <t>Clacku</t>
  </si>
  <si>
    <t>Overcharge</t>
  </si>
  <si>
    <t>Meta</t>
  </si>
  <si>
    <t>Multi</t>
  </si>
  <si>
    <t>Thefa</t>
  </si>
  <si>
    <t>Muta</t>
  </si>
  <si>
    <t>Blasta</t>
  </si>
  <si>
    <t>Hasta</t>
  </si>
  <si>
    <t>Dima</t>
  </si>
  <si>
    <t>Cura</t>
  </si>
  <si>
    <t>Shello</t>
  </si>
  <si>
    <t>Rain Recollection</t>
  </si>
  <si>
    <t>Abiliity 2</t>
  </si>
  <si>
    <t>Action 1</t>
  </si>
  <si>
    <t>Action 2</t>
  </si>
  <si>
    <t>Action</t>
  </si>
  <si>
    <t>Ability 12</t>
  </si>
  <si>
    <t>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</si>
</sst>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Grandview"/>
      <family val="2"/>
    </font>
    <font>
      <b/>
      <sz val="14"/>
      <color theme="1"/>
      <name val="Grandview"/>
      <family val="2"/>
    </font>
    <font>
      <b/>
      <sz val="11"/>
      <color theme="1"/>
      <name val="Grandview"/>
      <family val="2"/>
    </font>
    <font>
      <b/>
      <sz val="12"/>
      <name val="Grandview"/>
      <family val="2"/>
    </font>
    <font>
      <sz val="12"/>
      <color theme="1"/>
      <name val="Grandview"/>
      <family val="2"/>
    </font>
    <font>
      <sz val="12"/>
      <name val="Grandview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FFFF"/>
      <name val="Grandview"/>
      <family val="2"/>
    </font>
    <font>
      <sz val="12"/>
      <color rgb="FFFFC000"/>
      <name val="Grandview"/>
      <family val="2"/>
    </font>
    <font>
      <sz val="12"/>
      <color rgb="FFE7E6E6"/>
      <name val="Grandview"/>
      <family val="2"/>
    </font>
    <font>
      <sz val="12"/>
      <color rgb="FF833C0C"/>
      <name val="Grandview"/>
      <family val="2"/>
    </font>
    <font>
      <sz val="11"/>
      <color rgb="FF000000"/>
      <name val="Grandview"/>
      <family val="2"/>
    </font>
    <font>
      <sz val="12"/>
      <color rgb="FF000000"/>
      <name val="Grandview"/>
      <family val="2"/>
    </font>
    <font>
      <b/>
      <sz val="10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5B9BD5"/>
        <bgColor rgb="FF5B9BD5"/>
      </patternFill>
    </fill>
    <fill>
      <patternFill patternType="solid">
        <fgColor rgb="FFD0CECE"/>
        <bgColor rgb="FFDDEBF7"/>
      </patternFill>
    </fill>
    <fill>
      <patternFill patternType="solid">
        <fgColor rgb="FF000000"/>
        <bgColor rgb="FFDDEBF7"/>
      </patternFill>
    </fill>
    <fill>
      <patternFill patternType="solid">
        <fgColor rgb="FFD0CECE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DDEBF7"/>
      </patternFill>
    </fill>
    <fill>
      <patternFill patternType="solid">
        <fgColor rgb="FFFFC000"/>
        <bgColor rgb="FFDDEBF7"/>
      </patternFill>
    </fill>
    <fill>
      <patternFill patternType="solid">
        <fgColor rgb="FFFFF2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DDEBF7"/>
      </patternFill>
    </fill>
    <fill>
      <patternFill patternType="solid">
        <fgColor rgb="FFC00000"/>
        <bgColor rgb="FFDDEBF7"/>
      </patternFill>
    </fill>
    <fill>
      <patternFill patternType="solid">
        <fgColor rgb="FFFCE4D6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D9E1F2"/>
        <bgColor rgb="FFDDEBF7"/>
      </patternFill>
    </fill>
    <fill>
      <patternFill patternType="solid">
        <fgColor rgb="FF4472C4"/>
        <bgColor rgb="FFDDEBF7"/>
      </patternFill>
    </fill>
    <fill>
      <patternFill patternType="solid">
        <fgColor rgb="FFD9E1F2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E2EFDA"/>
        <bgColor rgb="FFDDEBF7"/>
      </patternFill>
    </fill>
    <fill>
      <patternFill patternType="solid">
        <fgColor rgb="FF70AD47"/>
        <bgColor rgb="FFDDEBF7"/>
      </patternFill>
    </fill>
    <fill>
      <patternFill patternType="solid">
        <fgColor rgb="FFE2EFDA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7E6E6"/>
        <bgColor rgb="FFDDEBF7"/>
      </patternFill>
    </fill>
    <fill>
      <patternFill patternType="solid">
        <fgColor rgb="FFFFFFFF"/>
        <bgColor rgb="FFDDEBF7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DDEBF7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Fill="1"/>
    <xf numFmtId="0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2" fontId="3" fillId="0" borderId="0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0" fontId="4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 applyFill="1"/>
    <xf numFmtId="0" fontId="8" fillId="0" borderId="0" xfId="0" applyFont="1" applyFill="1" applyBorder="1"/>
    <xf numFmtId="2" fontId="3" fillId="2" borderId="0" xfId="0" applyNumberFormat="1" applyFont="1" applyFill="1" applyBorder="1"/>
    <xf numFmtId="2" fontId="3" fillId="3" borderId="4" xfId="0" applyNumberFormat="1" applyFont="1" applyFill="1" applyBorder="1"/>
    <xf numFmtId="2" fontId="3" fillId="3" borderId="0" xfId="0" applyNumberFormat="1" applyFont="1" applyFill="1" applyBorder="1"/>
    <xf numFmtId="2" fontId="3" fillId="3" borderId="5" xfId="0" applyNumberFormat="1" applyFont="1" applyFill="1" applyBorder="1"/>
    <xf numFmtId="2" fontId="3" fillId="4" borderId="4" xfId="0" applyNumberFormat="1" applyFont="1" applyFill="1" applyBorder="1"/>
    <xf numFmtId="2" fontId="3" fillId="4" borderId="0" xfId="0" applyNumberFormat="1" applyFont="1" applyFill="1" applyBorder="1"/>
    <xf numFmtId="2" fontId="3" fillId="4" borderId="5" xfId="0" applyNumberFormat="1" applyFont="1" applyFill="1" applyBorder="1"/>
    <xf numFmtId="2" fontId="3" fillId="5" borderId="4" xfId="0" applyNumberFormat="1" applyFont="1" applyFill="1" applyBorder="1"/>
    <xf numFmtId="2" fontId="3" fillId="5" borderId="0" xfId="0" applyNumberFormat="1" applyFont="1" applyFill="1" applyBorder="1"/>
    <xf numFmtId="2" fontId="3" fillId="5" borderId="5" xfId="0" applyNumberFormat="1" applyFont="1" applyFill="1" applyBorder="1"/>
    <xf numFmtId="2" fontId="3" fillId="6" borderId="4" xfId="0" applyNumberFormat="1" applyFont="1" applyFill="1" applyBorder="1"/>
    <xf numFmtId="2" fontId="3" fillId="6" borderId="0" xfId="0" applyNumberFormat="1" applyFont="1" applyFill="1" applyBorder="1"/>
    <xf numFmtId="2" fontId="3" fillId="6" borderId="5" xfId="0" applyNumberFormat="1" applyFont="1" applyFill="1" applyBorder="1"/>
    <xf numFmtId="2" fontId="3" fillId="7" borderId="4" xfId="0" applyNumberFormat="1" applyFont="1" applyFill="1" applyBorder="1"/>
    <xf numFmtId="2" fontId="3" fillId="7" borderId="0" xfId="0" applyNumberFormat="1" applyFont="1" applyFill="1" applyBorder="1"/>
    <xf numFmtId="2" fontId="3" fillId="7" borderId="5" xfId="0" applyNumberFormat="1" applyFont="1" applyFill="1" applyBorder="1"/>
    <xf numFmtId="2" fontId="3" fillId="2" borderId="6" xfId="0" applyNumberFormat="1" applyFont="1" applyFill="1" applyBorder="1"/>
    <xf numFmtId="2" fontId="3" fillId="2" borderId="7" xfId="0" applyNumberFormat="1" applyFont="1" applyFill="1" applyBorder="1"/>
    <xf numFmtId="2" fontId="3" fillId="2" borderId="8" xfId="0" applyNumberFormat="1" applyFont="1" applyFill="1" applyBorder="1"/>
    <xf numFmtId="0" fontId="3" fillId="0" borderId="0" xfId="0" applyFont="1" applyBorder="1" applyAlignment="1"/>
    <xf numFmtId="2" fontId="5" fillId="0" borderId="1" xfId="0" applyNumberFormat="1" applyFont="1" applyBorder="1" applyAlignment="1"/>
    <xf numFmtId="2" fontId="5" fillId="0" borderId="2" xfId="0" applyNumberFormat="1" applyFont="1" applyBorder="1" applyAlignment="1"/>
    <xf numFmtId="2" fontId="5" fillId="0" borderId="3" xfId="0" applyNumberFormat="1" applyFont="1" applyBorder="1" applyAlignment="1"/>
    <xf numFmtId="2" fontId="5" fillId="0" borderId="1" xfId="0" applyNumberFormat="1" applyFont="1" applyBorder="1"/>
    <xf numFmtId="2" fontId="5" fillId="0" borderId="2" xfId="0" applyNumberFormat="1" applyFont="1" applyBorder="1"/>
    <xf numFmtId="2" fontId="5" fillId="0" borderId="3" xfId="0" applyNumberFormat="1" applyFont="1" applyBorder="1"/>
    <xf numFmtId="0" fontId="0" fillId="0" borderId="0" xfId="0" quotePrefix="1"/>
    <xf numFmtId="0" fontId="0" fillId="0" borderId="0" xfId="0" applyFill="1" applyBorder="1"/>
    <xf numFmtId="0" fontId="0" fillId="0" borderId="12" xfId="0" applyFill="1" applyBorder="1"/>
    <xf numFmtId="0" fontId="0" fillId="0" borderId="13" xfId="0" applyBorder="1"/>
    <xf numFmtId="0" fontId="9" fillId="8" borderId="0" xfId="0" applyFont="1" applyFill="1"/>
    <xf numFmtId="0" fontId="10" fillId="9" borderId="0" xfId="0" applyFont="1" applyFill="1"/>
    <xf numFmtId="0" fontId="10" fillId="0" borderId="0" xfId="0" applyFont="1"/>
    <xf numFmtId="0" fontId="6" fillId="10" borderId="0" xfId="0" applyFont="1" applyFill="1"/>
    <xf numFmtId="0" fontId="8" fillId="11" borderId="0" xfId="0" applyFont="1" applyFill="1"/>
    <xf numFmtId="0" fontId="11" fillId="12" borderId="0" xfId="0" applyFont="1" applyFill="1"/>
    <xf numFmtId="0" fontId="8" fillId="0" borderId="0" xfId="0" applyFont="1"/>
    <xf numFmtId="0" fontId="8" fillId="13" borderId="0" xfId="0" applyFont="1" applyFill="1"/>
    <xf numFmtId="0" fontId="11" fillId="14" borderId="0" xfId="0" applyFont="1" applyFill="1"/>
    <xf numFmtId="0" fontId="8" fillId="15" borderId="0" xfId="0" applyFont="1" applyFill="1"/>
    <xf numFmtId="0" fontId="8" fillId="16" borderId="0" xfId="0" applyFont="1" applyFill="1"/>
    <xf numFmtId="0" fontId="8" fillId="17" borderId="0" xfId="0" applyFont="1" applyFill="1"/>
    <xf numFmtId="0" fontId="8" fillId="18" borderId="0" xfId="0" applyFont="1" applyFill="1"/>
    <xf numFmtId="0" fontId="8" fillId="19" borderId="0" xfId="0" applyFont="1" applyFill="1"/>
    <xf numFmtId="0" fontId="12" fillId="20" borderId="0" xfId="0" applyFont="1" applyFill="1"/>
    <xf numFmtId="0" fontId="8" fillId="21" borderId="0" xfId="0" applyFont="1" applyFill="1"/>
    <xf numFmtId="0" fontId="12" fillId="22" borderId="0" xfId="0" applyFont="1" applyFill="1"/>
    <xf numFmtId="0" fontId="8" fillId="23" borderId="0" xfId="0" applyFont="1" applyFill="1"/>
    <xf numFmtId="0" fontId="13" fillId="24" borderId="0" xfId="0" applyFont="1" applyFill="1"/>
    <xf numFmtId="0" fontId="8" fillId="25" borderId="0" xfId="0" applyFont="1" applyFill="1"/>
    <xf numFmtId="0" fontId="13" fillId="26" borderId="0" xfId="0" applyFont="1" applyFill="1"/>
    <xf numFmtId="0" fontId="8" fillId="27" borderId="0" xfId="0" applyFont="1" applyFill="1"/>
    <xf numFmtId="0" fontId="14" fillId="28" borderId="0" xfId="0" applyFont="1" applyFill="1"/>
    <xf numFmtId="0" fontId="8" fillId="29" borderId="0" xfId="0" applyFont="1" applyFill="1"/>
    <xf numFmtId="0" fontId="14" fillId="30" borderId="0" xfId="0" applyFont="1" applyFill="1"/>
    <xf numFmtId="0" fontId="8" fillId="31" borderId="0" xfId="0" applyFont="1" applyFill="1"/>
    <xf numFmtId="0" fontId="8" fillId="32" borderId="0" xfId="0" applyFont="1" applyFill="1"/>
    <xf numFmtId="0" fontId="8" fillId="33" borderId="0" xfId="0" applyFont="1" applyFill="1"/>
    <xf numFmtId="0" fontId="8" fillId="34" borderId="0" xfId="0" applyFont="1" applyFill="1"/>
    <xf numFmtId="0" fontId="16" fillId="0" borderId="0" xfId="0" applyFont="1" applyFill="1"/>
    <xf numFmtId="0" fontId="17" fillId="10" borderId="0" xfId="0" applyFont="1" applyFill="1"/>
    <xf numFmtId="0" fontId="8" fillId="35" borderId="0" xfId="0" applyFont="1" applyFill="1"/>
    <xf numFmtId="0" fontId="15" fillId="35" borderId="0" xfId="0" applyFont="1" applyFill="1"/>
    <xf numFmtId="0" fontId="15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font>
        <sz val="12"/>
        <color auto="1"/>
        <name val="Grandview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7455DC-4ECB-45E2-A2F6-20EE7804BD41}" name="Table4" displayName="Table4" ref="A1:F36" totalsRowShown="0">
  <autoFilter ref="A1:F36" xr:uid="{E37455DC-4ECB-45E2-A2F6-20EE7804BD41}"/>
  <sortState xmlns:xlrd2="http://schemas.microsoft.com/office/spreadsheetml/2017/richdata2" ref="A2:F36">
    <sortCondition ref="F1:F36"/>
  </sortState>
  <tableColumns count="6">
    <tableColumn id="1" xr3:uid="{2C2DC5BE-3D53-4039-B785-CD3E08BDFCBF}" name="Ability"/>
    <tableColumn id="3" xr3:uid="{DA21F8AF-9033-4E1F-891A-27F44C9FC291}" name="Resource"/>
    <tableColumn id="4" xr3:uid="{09B4F176-D59A-4F03-81BE-AB862B687D40}" name="Cost"/>
    <tableColumn id="2" xr3:uid="{1A297FB4-49E2-4175-9072-88EEAE7031DC}" name="Effect"/>
    <tableColumn id="5" xr3:uid="{DAE354FE-0FBE-44C2-BEB2-C21E3CC3646D}" name="Coded?"/>
    <tableColumn id="6" xr3:uid="{3EAB07D9-A5D5-46B0-A4CD-2304B0E828C1}" name="Typ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FD676D-EB53-4F49-8BF9-E2089D28B6B0}" name="Table7" displayName="Table7" ref="I7:J14" totalsRowShown="0" headerRowDxfId="90" dataDxfId="89">
  <autoFilter ref="I7:J14" xr:uid="{62FD676D-EB53-4F49-8BF9-E2089D28B6B0}"/>
  <tableColumns count="2">
    <tableColumn id="1" xr3:uid="{4B17C9F4-98B4-4E1A-A341-A45A31B8E33B}" name="Resource" dataDxfId="88"/>
    <tableColumn id="2" xr3:uid="{4318EB6E-AE10-4D55-8A19-126C2931DF94}" name="Abilities" dataDxfId="87">
      <calculatedColumnFormula>COUNTIF(Table4[Resource],I8)</calculatedColumnFormula>
    </tableColumn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86F1D0-D6A8-4EE3-A1F5-5F5B1387F520}" name="Table47" displayName="Table47" ref="A1:D16" totalsRowShown="0">
  <autoFilter ref="A1:D16" xr:uid="{4186F1D0-D6A8-4EE3-A1F5-5F5B1387F520}"/>
  <sortState xmlns:xlrd2="http://schemas.microsoft.com/office/spreadsheetml/2017/richdata2" ref="A2:D16">
    <sortCondition ref="B1:B16"/>
  </sortState>
  <tableColumns count="4">
    <tableColumn id="1" xr3:uid="{EFE17165-DF3C-41D5-82FE-D4D71327F108}" name="Active Ability"/>
    <tableColumn id="3" xr3:uid="{ED842C65-134C-4739-9504-8A5630C40034}" name="Type"/>
    <tableColumn id="2" xr3:uid="{78127444-FC3B-4ACD-989C-698DAD1C2122}" name="Cost"/>
    <tableColumn id="4" xr3:uid="{94D5DE63-FE7C-4B38-BA54-0FEAE4D293FA}" name="Effect" dataDxfId="8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4F3B76-8375-4FD9-8128-9BF9E8EECA3E}" name="Table2" displayName="Table2" ref="A1:E43" totalsRowShown="0">
  <autoFilter ref="A1:E43" xr:uid="{7A4F3B76-8375-4FD9-8128-9BF9E8EECA3E}"/>
  <tableColumns count="5">
    <tableColumn id="1" xr3:uid="{44860EA4-FD5F-4598-AEEF-F7BFC26B7043}" name="Name"/>
    <tableColumn id="2" xr3:uid="{7AB76467-159E-460D-9139-B4222C9E583D}" name="Deck" dataDxfId="0"/>
    <tableColumn id="3" xr3:uid="{E017E39D-29F1-4E55-98B2-8FC221A535CB}" name="Cost"/>
    <tableColumn id="4" xr3:uid="{0C4B96A8-AEC8-4A0E-8BE8-D7CB34749D2F}" name="HP"/>
    <tableColumn id="6" xr3:uid="{C3850DEF-7805-4A9E-9633-EEEB17887BC8}" name="Ability 12" dataDxfId="26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6EF94-5A06-4496-A2EF-5A49AF4820A5}" name="Table1" displayName="Table1" ref="A1:F57" totalsRowShown="0">
  <autoFilter ref="A1:F57" xr:uid="{7C36EF94-5A06-4496-A2EF-5A49AF4820A5}"/>
  <sortState xmlns:xlrd2="http://schemas.microsoft.com/office/spreadsheetml/2017/richdata2" ref="A2:F49">
    <sortCondition ref="B1:B49"/>
  </sortState>
  <tableColumns count="6">
    <tableColumn id="1" xr3:uid="{61B2C0C4-A5E9-43E9-9491-4023700908E2}" name="Name"/>
    <tableColumn id="2" xr3:uid="{0043821A-9ACC-4B46-A77D-FA6E1160DB7D}" name="Deck"/>
    <tableColumn id="3" xr3:uid="{811FF43C-AC71-46BA-860D-A5DF9BCD7BD9}" name="Cost"/>
    <tableColumn id="4" xr3:uid="{3CD0D579-A4FE-4F55-8116-F9E3E83087DE}" name="HP"/>
    <tableColumn id="5" xr3:uid="{69B3E0C2-96A3-48E0-9C7B-7BA5DA160A3F}" name="Action 1"/>
    <tableColumn id="6" xr3:uid="{E504C788-FE7C-4DDA-A5B2-EFCEA25ABA78}" name="Action 2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6F9D4F-C6DA-4DA9-9AF2-B383883F498D}" name="Table3" displayName="Table3" ref="A1:D16" totalsRowShown="0" headerRowDxfId="85" dataDxfId="84">
  <autoFilter ref="A1:D16" xr:uid="{BD6F9D4F-C6DA-4DA9-9AF2-B383883F498D}"/>
  <tableColumns count="4">
    <tableColumn id="1" xr3:uid="{98031720-D200-46F3-9ACA-C1755FECC5FB}" name="Name" dataDxfId="83"/>
    <tableColumn id="2" xr3:uid="{EF26975E-EC1C-434E-9124-8EA3E2771B2B}" name="Cost" dataDxfId="82"/>
    <tableColumn id="3" xr3:uid="{B5C3D5E2-952F-4B3E-9501-9A5F8E406832}" name="HP" dataDxfId="81"/>
    <tableColumn id="4" xr3:uid="{91393694-5AF1-4A22-906A-4DDEB27DF551}" name="Action" dataDxfId="80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516ED-FA98-4523-83EE-69A55ECFF39F}" name="Variety" displayName="Variety" ref="A4:G10" totalsRowShown="0" headerRowDxfId="79" dataDxfId="78">
  <autoFilter ref="A4:G10" xr:uid="{AC6516ED-FA98-4523-83EE-69A55ECFF39F}"/>
  <sortState xmlns:xlrd2="http://schemas.microsoft.com/office/spreadsheetml/2017/richdata2" ref="A5:G10">
    <sortCondition ref="A4:A10"/>
  </sortState>
  <tableColumns count="7">
    <tableColumn id="1" xr3:uid="{0D866C81-1CAB-4FD7-97E5-8378FE482ECB}" name="Type" dataDxfId="77"/>
    <tableColumn id="2" xr3:uid="{9A9DEA20-92D8-4011-950B-D6302196503D}" name="Ideal" dataDxfId="76"/>
    <tableColumn id="3" xr3:uid="{1C762ECE-0C98-4920-B0E4-55A7A19F83FE}" name="Actual" dataDxfId="75">
      <calculatedColumnFormula>COUNTIF(Table1[Deck],Variety[[#This Row],[Type]])</calculatedColumnFormula>
    </tableColumn>
    <tableColumn id="4" xr3:uid="{0C8BE51C-0A54-4ED3-B98C-1D7DB953F369}" name="Difference" dataDxfId="74">
      <calculatedColumnFormula>C5-B5</calculatedColumnFormula>
    </tableColumn>
    <tableColumn id="5" xr3:uid="{3AED6875-DAF4-4906-BE77-76EDD3B57540}" name="Ideal2" dataDxfId="73"/>
    <tableColumn id="6" xr3:uid="{2038FDEC-12A5-484F-BDCE-984800935EE8}" name="Actual3" dataDxfId="72">
      <calculatedColumnFormula>COUNTIF(#REF!,Variety[[#This Row],[Type]])</calculatedColumnFormula>
    </tableColumn>
    <tableColumn id="7" xr3:uid="{F7D4ECF7-C059-4A05-99E4-7061721663F5}" name="Difference4" dataDxfId="71">
      <calculatedColumnFormula>F5-E5</calculatedColumnFormula>
    </tableColumn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7EB303-0E7F-45E7-8409-4BDD8FBA1748}" name="Stats" displayName="Stats" ref="A14:J20" totalsRowShown="0" headerRowDxfId="70" dataDxfId="69">
  <autoFilter ref="A14:J20" xr:uid="{0A7EB303-0E7F-45E7-8409-4BDD8FBA1748}"/>
  <sortState xmlns:xlrd2="http://schemas.microsoft.com/office/spreadsheetml/2017/richdata2" ref="A15:J20">
    <sortCondition ref="A14:A20"/>
  </sortState>
  <tableColumns count="10">
    <tableColumn id="1" xr3:uid="{7EB7684E-4D07-449A-BFD3-43839697E526}" name="Type" dataDxfId="68"/>
    <tableColumn id="2" xr3:uid="{75578D46-0A1F-4356-BCA2-A452E28A1417}" name="Ideal" dataDxfId="67"/>
    <tableColumn id="3" xr3:uid="{B17B7A7F-D00A-4E52-B2CF-783A8BDD18B4}" name="Actual" dataDxfId="66">
      <calculatedColumnFormula>SUMIF(Table1[Deck],Stats[[#This Row],[Type]],Table1[HP])/COUNTIF(Table1[Deck],Stats[[#This Row],[Type]])</calculatedColumnFormula>
    </tableColumn>
    <tableColumn id="4" xr3:uid="{A3CF985F-4F0F-467E-93FF-CB89776629BB}" name="Difference" dataDxfId="65">
      <calculatedColumnFormula>C15-B15</calculatedColumnFormula>
    </tableColumn>
    <tableColumn id="5" xr3:uid="{8BFB7AA2-1B75-4F79-966A-74B6F8ED5B7F}" name="Ideal2" dataDxfId="64"/>
    <tableColumn id="6" xr3:uid="{BE17EF79-FC56-4637-9C8B-66F29560F811}" name="Actual3" dataDxfId="63">
      <calculatedColumnFormula array="1">SUMIF(#REF!,Stats[[#This Row],[Type]],Table2[HP])/COUNTIF(#REF!,Stats[[#This Row],[Type]])</calculatedColumnFormula>
    </tableColumn>
    <tableColumn id="7" xr3:uid="{583ABFEB-99E8-4030-BFD2-685DD430FA80}" name="Difference4" dataDxfId="62">
      <calculatedColumnFormula>F15-E15</calculatedColumnFormula>
    </tableColumn>
    <tableColumn id="8" xr3:uid="{B3A60430-2211-48DF-B47C-68AE8FB6A2BB}" name="Ideal5" dataDxfId="61"/>
    <tableColumn id="9" xr3:uid="{E6BC29A1-559E-44E9-A302-CE348EC0B5D9}" name="Actual6" dataDxfId="60">
      <calculatedColumnFormula>(SUMIF(Table1[Deck],Stats[[#This Row],[Type]],Table1[Action 2])+SUMIF(#REF!,Stats[[#This Row],[Type]],#REF!))/(COUNTIF(Table1[Deck],Stats[[#This Row],[Type]])+COUNTIF(#REF!,Stats[[#This Row],[Type]]))</calculatedColumnFormula>
    </tableColumn>
    <tableColumn id="10" xr3:uid="{5E66CDD0-39AD-4632-9676-0BF8F6414C7E}" name="Difference7" dataDxfId="59">
      <calculatedColumnFormula>I15-H15</calculatedColumnFormula>
    </tableColumn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9B208C6-E117-47B0-B9C7-9A034FB99F5B}" name="Cost_Stat" displayName="Cost_Stat" ref="A24:M30" totalsRowShown="0" headerRowDxfId="58" dataDxfId="57">
  <autoFilter ref="A24:M30" xr:uid="{D9B208C6-E117-47B0-B9C7-9A034FB99F5B}"/>
  <sortState xmlns:xlrd2="http://schemas.microsoft.com/office/spreadsheetml/2017/richdata2" ref="A25:M30">
    <sortCondition ref="A24:A30"/>
  </sortState>
  <tableColumns count="13">
    <tableColumn id="1" xr3:uid="{F7B32CDF-9BB4-47AF-BE3F-842F7D6EF736}" name="Type" dataDxfId="56"/>
    <tableColumn id="2" xr3:uid="{E517E5F7-276F-406B-A78C-73C12B03024A}" name="Ideal" dataDxfId="55"/>
    <tableColumn id="3" xr3:uid="{54CFC0BE-CB89-4B6F-9EA5-3D4D0425EF87}" name="Actual" dataDxfId="54">
      <calculatedColumnFormula>SUMIF(Table1[Deck],Cost_Stat[[#This Row],[Type]],Table1[HP])/SUMIF(Table1[Deck],Cost_Stat[[#This Row],[Type]],Table1[Cost])</calculatedColumnFormula>
    </tableColumn>
    <tableColumn id="4" xr3:uid="{485B5A87-DD44-4B1F-95C2-F593EAB7581E}" name="Difference" dataDxfId="53">
      <calculatedColumnFormula>C25-B25</calculatedColumnFormula>
    </tableColumn>
    <tableColumn id="5" xr3:uid="{0AB55B04-7DB1-4B3B-95A0-41BE01235610}" name="Ideal2" dataDxfId="52"/>
    <tableColumn id="6" xr3:uid="{EBE0B5B1-010C-4B8E-BF94-291D680A295E}" name="Actual3" dataDxfId="51">
      <calculatedColumnFormula>SUMIF(#REF!,Cost_Stat[[#This Row],[Type]],Table2[HP])/SUMIF(#REF!,Cost_Stat[[#This Row],[Type]],Table2[Cost])</calculatedColumnFormula>
    </tableColumn>
    <tableColumn id="7" xr3:uid="{DF4CF3C4-B12B-46B7-BC59-E5351C495BC1}" name="Difference4" dataDxfId="50">
      <calculatedColumnFormula>F25-E25</calculatedColumnFormula>
    </tableColumn>
    <tableColumn id="8" xr3:uid="{466E32FE-7121-4644-899F-C08F4CE38771}" name="Ideal5" dataDxfId="49"/>
    <tableColumn id="9" xr3:uid="{FF597456-2300-4BC6-8B64-D1A298F13E5A}" name="Actual6" dataDxfId="48">
      <calculatedColumnFormula>(SUMIF(Table1[Deck],Cost_Stat[[#This Row],[Type]],Table1[Action 2])+SUMIF(#REF!,Cost_Stat[[#This Row],[Type]],#REF!))/(SUMIFS(Table1[Cost],Table1[Deck],Cost_Stat[[#This Row],[Type]],Table1[Action 2],1)+SUMIFS(Table2[Cost],#REF!,Cost_Stat[[#This Row],[Type]],#REF!,1))</calculatedColumnFormula>
    </tableColumn>
    <tableColumn id="10" xr3:uid="{FB0F2832-C6B6-4855-8222-A7A9323ACFC9}" name="Difference7" dataDxfId="47">
      <calculatedColumnFormula>I25-H25</calculatedColumnFormula>
    </tableColumn>
    <tableColumn id="11" xr3:uid="{73909C54-2246-4ED8-B808-E4BE1DD4A485}" name="Ideal8" dataDxfId="46"/>
    <tableColumn id="12" xr3:uid="{2B1962BE-7805-4FFA-8D3C-E67730E4E5EA}" name="Actual9" dataDxfId="45">
      <calculatedColumnFormula>(SUMIF(Table1[Deck],Cost_Stat[[#This Row],[Type]],Table1[Cost])+SUMIF(#REF!,Cost_Stat[[#This Row],[Type]],Table2[Cost]))/(COUNTIF(Table1[Deck],Cost_Stat[[#This Row],[Type]])+COUNTIF(#REF!,Cost_Stat[[#This Row],[Type]]))</calculatedColumnFormula>
    </tableColumn>
    <tableColumn id="13" xr3:uid="{05006522-125E-42FB-A202-48124F65E1AF}" name="Difference10" dataDxfId="44">
      <calculatedColumnFormula>L25-K25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FB70296-300F-41E9-B29C-A15C0D2E492E}" name="Table15" displayName="Table15" ref="L14:O20" totalsRowShown="0" headerRowDxfId="43" tableBorderDxfId="42">
  <autoFilter ref="L14:O20" xr:uid="{CFB70296-300F-41E9-B29C-A15C0D2E492E}"/>
  <tableColumns count="4">
    <tableColumn id="1" xr3:uid="{67B9F3DD-84E5-4E12-9557-0E15E2E8CD01}" name="Type" dataDxfId="41"/>
    <tableColumn id="3" xr3:uid="{882509E9-98E0-4845-9863-913DA546EA5B}" name="Cost" dataDxfId="40">
      <calculatedColumnFormula>ROUND(2*SUMIF(Cost_Stat[Type],Table15[[#This Row],[Type]],Cost_Stat[Actual9]),0)</calculatedColumnFormula>
    </tableColumn>
    <tableColumn id="6" xr3:uid="{8E6F0F0A-DEBA-4962-9C42-B7696451440A}" name="HP" dataDxfId="39">
      <calculatedColumnFormula>Table15[[#This Row],[Cost]]*SUMIF(Cost_Stat[Type],Table15[[#This Row],[Type]],Cost_Stat[Actual])/2</calculatedColumnFormula>
    </tableColumn>
    <tableColumn id="8" xr3:uid="{8646B895-6FEE-4C10-AE30-8852BA384EB5}" name="PP" dataDxfId="38">
      <calculatedColumnFormula>Table15[[#This Row],[Cost]]*SUMIF(Cost_Stat[Type],Table15[[#This Row],[Type]],Cost_Stat[Actual3])/2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AA1044-8AEB-4310-B12B-1961BF440AB5}" name="Table8" displayName="Table8" ref="A1:Q7" totalsRowShown="0">
  <autoFilter ref="A1:Q7" xr:uid="{3FAA1044-8AEB-4310-B12B-1961BF440AB5}"/>
  <tableColumns count="17">
    <tableColumn id="1" xr3:uid="{ABACA6C5-D5B7-485A-BC77-3A9C1EF55782}" name="Type"/>
    <tableColumn id="2" xr3:uid="{98DBF1C9-36B3-457C-864F-594F9B4A43F9}" name="Generator" dataDxfId="37">
      <calculatedColumnFormula array="1">INDEX(Table2[Name],LARGE(IF(#REF!=Table8[[#This Row],[Type]],ROW(#REF!)-1),INT(RAND()*COUNTIF(#REF!,Table8[[#This Row],[Type]])+1)))</calculatedColumnFormula>
    </tableColumn>
    <tableColumn id="3" xr3:uid="{FC5D1622-0FC8-4A00-8958-9A4F98C2C4A3}" name="Frame" dataDxfId="36">
      <calculatedColumnFormula array="1">INDEX(Table1[Name],LARGE(IF(Table1[Deck]=Table8[[#This Row],[Type]],ROW(Table1[Deck])-1),INT(RAND()*COUNTIF(Table1[Deck],Table8[[#This Row],[Type]])+1)))</calculatedColumnFormula>
    </tableColumn>
    <tableColumn id="4" xr3:uid="{DB7035C1-3C3A-4574-9174-299FCD6046BE}" name="Name">
      <calculatedColumnFormula>_xlfn.CONCAT(B2,C2)</calculatedColumnFormula>
    </tableColumn>
    <tableColumn id="9" xr3:uid="{B5ED832F-A98B-4E4D-B1BF-CEFAFBF20091}" name="Cost" dataDxfId="35">
      <calculatedColumnFormula>SUM(_xlfn.XLOOKUP(Table8[[#This Row],[Generator]],Table2[Name],Table2[Cost]),_xlfn.XLOOKUP(Table8[[#This Row],[Frame]],Table1[Name],Table1[Cost]))</calculatedColumnFormula>
    </tableColumn>
    <tableColumn id="6" xr3:uid="{5FBA6BAB-A94C-4CA0-A545-F10CD5101759}" name="PP">
      <calculatedColumnFormula>_xlfn.XLOOKUP(B2,Table2[Name],Table2[HP])</calculatedColumnFormula>
    </tableColumn>
    <tableColumn id="5" xr3:uid="{F9BC52D6-7C33-4B4B-93F1-DD5A197CD63E}" name="HP">
      <calculatedColumnFormula>_xlfn.XLOOKUP(C2,Table1[Name],Table1[HP])</calculatedColumnFormula>
    </tableColumn>
    <tableColumn id="7" xr3:uid="{6A0D5295-BD65-4229-884E-D6CCB0F26C35}" name="Ability 1">
      <calculatedColumnFormula>_xlfn.XLOOKUP(B2,Table2[Name],Table2[Ability 12])</calculatedColumnFormula>
    </tableColumn>
    <tableColumn id="8" xr3:uid="{D892DF1C-8138-4EB4-8C4C-A6F7B91F63C4}" name="Ability 2">
      <calculatedColumnFormula>_xlfn.XLOOKUP(C2,Table1[Name],Table1[Action 1])</calculatedColumnFormula>
    </tableColumn>
    <tableColumn id="16" xr3:uid="{621F2675-DA39-4950-BD2E-A247E9053807}" name="Power/Cost" dataDxfId="34">
      <calculatedColumnFormula>(Table8[[#This Row],[PP]]+(Table8[[#This Row],[HP]]/2)+IF(Table8[[#This Row],[Ability 1]]=0,0,1)+IF(Table8[[#This Row],[Ability 2]]=0,0,1))/(Table8[[#This Row],[Cost]]+1)</calculatedColumnFormula>
    </tableColumn>
    <tableColumn id="10" xr3:uid="{1043AF08-BB57-45E8-B3CF-7FB7430E40B1}" name="Part 1" dataDxfId="33">
      <calculatedColumnFormula array="1">INDEX(Table3[Name],INT(RAND()*COUNTA(Table3[Name])+1))</calculatedColumnFormula>
    </tableColumn>
    <tableColumn id="11" xr3:uid="{109CDE57-0F48-4932-B7BE-EAE14DBBDEB2}" name="Name2" dataDxfId="32">
      <calculatedColumnFormula>_xlfn.CONCAT(Table8[[#This Row],[Generator]],Table8[[#This Row],[Part 1]],Table8[[#This Row],[Frame]])</calculatedColumnFormula>
    </tableColumn>
    <tableColumn id="12" xr3:uid="{61864B2F-DDDC-4DBA-890D-CE1EC3F23BE7}" name="Cost2" dataDxfId="31">
      <calculatedColumnFormula>SUM(Table8[[#This Row],[Cost]],_xlfn.XLOOKUP(Table8[[#This Row],[Part 1]],Table3[Name],Table3[Cost]))</calculatedColumnFormula>
    </tableColumn>
    <tableColumn id="13" xr3:uid="{FECCECFA-E3F9-4DA5-9AC1-015032FEDEB9}" name="PP2" dataDxfId="30">
      <calculatedColumnFormula>SUM(Table8[[#This Row],[PP]],_xlfn.XLOOKUP(Table8[[#This Row],[Part 1]],Table3[Name],Table3[Action]))</calculatedColumnFormula>
    </tableColumn>
    <tableColumn id="14" xr3:uid="{6E9D2E4F-4D5A-4E1E-91F4-22754FFFE3CC}" name="HP2" dataDxfId="29">
      <calculatedColumnFormula>SUM(Table8[[#This Row],[HP]],_xlfn.XLOOKUP(Table8[[#This Row],[Part 1]],Table3[Name],Table3[HP]))</calculatedColumnFormula>
    </tableColumn>
    <tableColumn id="15" xr3:uid="{BCBD232D-B15D-4401-9CF2-DC0F3D6CC7D1}" name="Ability" dataDxfId="28">
      <calculatedColumnFormula>_xlfn.XLOOKUP(Table8[[#This Row],[Part 1]],Table3[Name],#REF!)</calculatedColumnFormula>
    </tableColumn>
    <tableColumn id="17" xr3:uid="{AFEF4760-EB7A-4908-B1B6-2F830AC5F848}" name="Power/Cost2" dataDxfId="27">
      <calculatedColumnFormula>(Table8[[#This Row],[PP2]]+(Table8[[#This Row],[HP2]]/2)+IF(Table8[[#This Row],[Ability 1]]=0,0,1)+IF(Table8[[#This Row],[Ability 2]]=0,0,1))/(Table8[[#This Row],[Cost]]+1)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A4CAB7-AA39-4F6E-8473-F8D0817E00A6}" name="Table5" displayName="Table5" ref="A1:B3" totalsRowShown="0">
  <autoFilter ref="A1:B3" xr:uid="{32A4CAB7-AA39-4F6E-8473-F8D0817E00A6}"/>
  <tableColumns count="2">
    <tableColumn id="1" xr3:uid="{3CA85395-0D8A-4B4F-A0FC-68949F4631DA}" name="Status"/>
    <tableColumn id="2" xr3:uid="{5F52DDDA-097A-451C-9589-3AFEB64D7BFD}" name="Effec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3000-7536-4EA3-B16D-80887633F251}">
  <dimension ref="A1:J36"/>
  <sheetViews>
    <sheetView zoomScaleNormal="100" workbookViewId="0">
      <selection activeCell="D24" sqref="D24"/>
    </sheetView>
  </sheetViews>
  <sheetFormatPr defaultRowHeight="15" x14ac:dyDescent="0.25"/>
  <cols>
    <col min="1" max="1" width="10.85546875" bestFit="1" customWidth="1"/>
    <col min="3" max="3" width="7.140625" bestFit="1" customWidth="1"/>
    <col min="4" max="4" width="54.140625" bestFit="1" customWidth="1"/>
    <col min="9" max="10" width="11" customWidth="1"/>
  </cols>
  <sheetData>
    <row r="1" spans="1:10" x14ac:dyDescent="0.25">
      <c r="A1" t="s">
        <v>32</v>
      </c>
      <c r="B1" t="s">
        <v>178</v>
      </c>
      <c r="C1" t="s">
        <v>30</v>
      </c>
      <c r="D1" t="s">
        <v>33</v>
      </c>
      <c r="E1" t="s">
        <v>157</v>
      </c>
      <c r="F1" t="s">
        <v>1</v>
      </c>
    </row>
    <row r="2" spans="1:10" x14ac:dyDescent="0.25">
      <c r="A2" t="s">
        <v>163</v>
      </c>
      <c r="B2" t="s">
        <v>66</v>
      </c>
      <c r="D2" t="str">
        <f>"-1 PP to draw a card once per turn"</f>
        <v>-1 PP to draw a card once per turn</v>
      </c>
      <c r="E2" t="s">
        <v>162</v>
      </c>
      <c r="F2" t="s">
        <v>173</v>
      </c>
    </row>
    <row r="3" spans="1:10" x14ac:dyDescent="0.25">
      <c r="A3" t="s">
        <v>80</v>
      </c>
      <c r="B3" t="s">
        <v>4</v>
      </c>
      <c r="D3" t="str">
        <f>"-1 PP to upgrade a bot"</f>
        <v>-1 PP to upgrade a bot</v>
      </c>
      <c r="E3" t="s">
        <v>162</v>
      </c>
      <c r="F3" t="s">
        <v>173</v>
      </c>
      <c r="I3" s="47"/>
    </row>
    <row r="4" spans="1:10" x14ac:dyDescent="0.25">
      <c r="A4" t="s">
        <v>154</v>
      </c>
      <c r="B4" t="s">
        <v>7</v>
      </c>
      <c r="D4" t="str">
        <f>"-1 PP to swap a new resource once per turn"</f>
        <v>-1 PP to swap a new resource once per turn</v>
      </c>
      <c r="E4" t="s">
        <v>162</v>
      </c>
      <c r="F4" t="s">
        <v>173</v>
      </c>
      <c r="I4" s="47"/>
    </row>
    <row r="5" spans="1:10" x14ac:dyDescent="0.25">
      <c r="A5" t="s">
        <v>78</v>
      </c>
      <c r="B5" t="s">
        <v>37</v>
      </c>
      <c r="D5" t="str">
        <f>"-1 PP to move a bot once per turn"</f>
        <v>-1 PP to move a bot once per turn</v>
      </c>
      <c r="E5" t="s">
        <v>162</v>
      </c>
      <c r="F5" t="s">
        <v>173</v>
      </c>
      <c r="I5" s="47"/>
    </row>
    <row r="6" spans="1:10" x14ac:dyDescent="0.25">
      <c r="A6" t="s">
        <v>76</v>
      </c>
      <c r="B6" t="s">
        <v>11</v>
      </c>
      <c r="D6" t="str">
        <f>"-1 PP to build a bot"</f>
        <v>-1 PP to build a bot</v>
      </c>
      <c r="E6" t="s">
        <v>162</v>
      </c>
      <c r="F6" t="s">
        <v>173</v>
      </c>
      <c r="I6" s="48"/>
    </row>
    <row r="7" spans="1:10" x14ac:dyDescent="0.25">
      <c r="A7" t="s">
        <v>169</v>
      </c>
      <c r="B7" t="s">
        <v>17</v>
      </c>
      <c r="D7" t="str">
        <f>"-1 PP to power a bot"</f>
        <v>-1 PP to power a bot</v>
      </c>
      <c r="E7" t="s">
        <v>162</v>
      </c>
      <c r="F7" t="s">
        <v>173</v>
      </c>
      <c r="I7" s="46" t="s">
        <v>178</v>
      </c>
      <c r="J7" s="46" t="s">
        <v>184</v>
      </c>
    </row>
    <row r="8" spans="1:10" x14ac:dyDescent="0.25">
      <c r="A8" t="s">
        <v>171</v>
      </c>
      <c r="B8" t="s">
        <v>174</v>
      </c>
      <c r="D8" t="str">
        <f>"-1 PP to play mechanic cards"</f>
        <v>-1 PP to play mechanic cards</v>
      </c>
      <c r="E8" t="s">
        <v>159</v>
      </c>
      <c r="F8" t="s">
        <v>173</v>
      </c>
      <c r="I8" s="46" t="s">
        <v>66</v>
      </c>
      <c r="J8" s="46">
        <f>COUNTIF(Table4[Resource],I8)</f>
        <v>5</v>
      </c>
    </row>
    <row r="9" spans="1:10" x14ac:dyDescent="0.25">
      <c r="A9" t="s">
        <v>164</v>
      </c>
      <c r="B9" t="s">
        <v>66</v>
      </c>
      <c r="D9" t="str">
        <f>"+2 HP each time you draw a card"</f>
        <v>+2 HP each time you draw a card</v>
      </c>
      <c r="E9" t="s">
        <v>162</v>
      </c>
      <c r="F9" t="s">
        <v>2</v>
      </c>
      <c r="I9" s="46" t="s">
        <v>4</v>
      </c>
      <c r="J9" s="46">
        <f>COUNTIF(Table4[Resource],I9)</f>
        <v>5</v>
      </c>
    </row>
    <row r="10" spans="1:10" x14ac:dyDescent="0.25">
      <c r="A10" t="s">
        <v>35</v>
      </c>
      <c r="B10" t="s">
        <v>4</v>
      </c>
      <c r="D10" t="str">
        <f>"+2 HP each time an ally bot is upgraded"</f>
        <v>+2 HP each time an ally bot is upgraded</v>
      </c>
      <c r="E10" t="s">
        <v>162</v>
      </c>
      <c r="F10" t="s">
        <v>2</v>
      </c>
      <c r="I10" s="46" t="s">
        <v>7</v>
      </c>
      <c r="J10" s="46">
        <f>COUNTIF(Table4[Resource],I10)</f>
        <v>5</v>
      </c>
    </row>
    <row r="11" spans="1:10" x14ac:dyDescent="0.25">
      <c r="A11" t="s">
        <v>79</v>
      </c>
      <c r="B11" t="s">
        <v>7</v>
      </c>
      <c r="D11" t="str">
        <f>"+2 HP each time you mine a new resource"</f>
        <v>+2 HP each time you mine a new resource</v>
      </c>
      <c r="E11" t="s">
        <v>162</v>
      </c>
      <c r="F11" t="s">
        <v>2</v>
      </c>
      <c r="I11" s="46" t="s">
        <v>37</v>
      </c>
      <c r="J11" s="46">
        <f>COUNTIF(Table4[Resource],I11)</f>
        <v>5</v>
      </c>
    </row>
    <row r="12" spans="1:10" x14ac:dyDescent="0.25">
      <c r="A12" t="s">
        <v>260</v>
      </c>
      <c r="B12" t="s">
        <v>37</v>
      </c>
      <c r="D12" t="str">
        <f>"+2 HP each time a bot moves"</f>
        <v>+2 HP each time a bot moves</v>
      </c>
      <c r="E12" t="s">
        <v>162</v>
      </c>
      <c r="F12" t="s">
        <v>2</v>
      </c>
      <c r="I12" s="46" t="s">
        <v>11</v>
      </c>
      <c r="J12" s="46">
        <f>COUNTIF(Table4[Resource],I12)</f>
        <v>5</v>
      </c>
    </row>
    <row r="13" spans="1:10" x14ac:dyDescent="0.25">
      <c r="A13" t="s">
        <v>150</v>
      </c>
      <c r="B13" t="s">
        <v>11</v>
      </c>
      <c r="D13" t="str">
        <f>"+2 HP each time a new bot is built"</f>
        <v>+2 HP each time a new bot is built</v>
      </c>
      <c r="E13" t="s">
        <v>162</v>
      </c>
      <c r="F13" t="s">
        <v>2</v>
      </c>
      <c r="I13" s="46" t="s">
        <v>17</v>
      </c>
      <c r="J13" s="46">
        <f>COUNTIF(Table4[Resource],I13)</f>
        <v>5</v>
      </c>
    </row>
    <row r="14" spans="1:10" x14ac:dyDescent="0.25">
      <c r="A14" t="s">
        <v>183</v>
      </c>
      <c r="B14" t="s">
        <v>17</v>
      </c>
      <c r="D14" t="str">
        <f>"+2 HP each time you power a bot"</f>
        <v>+2 HP each time you power a bot</v>
      </c>
      <c r="E14" t="s">
        <v>162</v>
      </c>
      <c r="F14" t="s">
        <v>2</v>
      </c>
      <c r="I14" s="46" t="s">
        <v>174</v>
      </c>
      <c r="J14" s="46">
        <f>COUNTIF(Table4[Resource],I14)</f>
        <v>5</v>
      </c>
    </row>
    <row r="15" spans="1:10" x14ac:dyDescent="0.25">
      <c r="A15" t="s">
        <v>185</v>
      </c>
      <c r="B15" t="s">
        <v>174</v>
      </c>
      <c r="D15" t="str">
        <f>"+2 HP each time you play a mechanic card"</f>
        <v>+2 HP each time you play a mechanic card</v>
      </c>
      <c r="E15" t="s">
        <v>159</v>
      </c>
      <c r="F15" t="s">
        <v>2</v>
      </c>
    </row>
    <row r="16" spans="1:10" x14ac:dyDescent="0.25">
      <c r="A16" t="s">
        <v>158</v>
      </c>
      <c r="B16" t="s">
        <v>66</v>
      </c>
      <c r="D16" t="str">
        <f>"+2 PP whenever an opponent draws a card"</f>
        <v>+2 PP whenever an opponent draws a card</v>
      </c>
      <c r="E16" t="s">
        <v>162</v>
      </c>
      <c r="F16" t="s">
        <v>175</v>
      </c>
    </row>
    <row r="17" spans="1:6" x14ac:dyDescent="0.25">
      <c r="A17" t="s">
        <v>155</v>
      </c>
      <c r="B17" t="s">
        <v>4</v>
      </c>
      <c r="D17" t="str">
        <f>"+2 PP whenever an opponent upgrades a bot"</f>
        <v>+2 PP whenever an opponent upgrades a bot</v>
      </c>
      <c r="E17" t="s">
        <v>162</v>
      </c>
      <c r="F17" t="s">
        <v>175</v>
      </c>
    </row>
    <row r="18" spans="1:6" x14ac:dyDescent="0.25">
      <c r="A18" t="s">
        <v>186</v>
      </c>
      <c r="B18" t="s">
        <v>7</v>
      </c>
      <c r="D18" t="str">
        <f>"+2 PP whenever an opponent mines a resource"</f>
        <v>+2 PP whenever an opponent mines a resource</v>
      </c>
      <c r="E18" t="s">
        <v>162</v>
      </c>
      <c r="F18" t="s">
        <v>175</v>
      </c>
    </row>
    <row r="19" spans="1:6" x14ac:dyDescent="0.25">
      <c r="A19" t="s">
        <v>189</v>
      </c>
      <c r="B19" t="s">
        <v>37</v>
      </c>
      <c r="D19" t="str">
        <f>"+2 PP whenever an opponent moves a bot"</f>
        <v>+2 PP whenever an opponent moves a bot</v>
      </c>
      <c r="E19" t="s">
        <v>162</v>
      </c>
      <c r="F19" t="s">
        <v>175</v>
      </c>
    </row>
    <row r="20" spans="1:6" x14ac:dyDescent="0.25">
      <c r="A20" t="s">
        <v>187</v>
      </c>
      <c r="B20" t="s">
        <v>11</v>
      </c>
      <c r="D20" t="str">
        <f>"+2 PP whenever an opponent builds a bot"</f>
        <v>+2 PP whenever an opponent builds a bot</v>
      </c>
      <c r="E20" t="s">
        <v>162</v>
      </c>
      <c r="F20" t="s">
        <v>175</v>
      </c>
    </row>
    <row r="21" spans="1:6" x14ac:dyDescent="0.25">
      <c r="A21" t="s">
        <v>188</v>
      </c>
      <c r="B21" t="s">
        <v>17</v>
      </c>
      <c r="D21" t="str">
        <f>"+2 PP whenever an opponent powers a bot"</f>
        <v>+2 PP whenever an opponent powers a bot</v>
      </c>
      <c r="E21" t="s">
        <v>162</v>
      </c>
      <c r="F21" t="s">
        <v>175</v>
      </c>
    </row>
    <row r="22" spans="1:6" x14ac:dyDescent="0.25">
      <c r="A22" t="s">
        <v>190</v>
      </c>
      <c r="B22" t="s">
        <v>174</v>
      </c>
      <c r="D22" t="str">
        <f>"+2 PP whenever an opponent plays a mechanic card"</f>
        <v>+2 PP whenever an opponent plays a mechanic card</v>
      </c>
      <c r="E22" t="s">
        <v>159</v>
      </c>
      <c r="F22" t="s">
        <v>175</v>
      </c>
    </row>
    <row r="23" spans="1:6" x14ac:dyDescent="0.25">
      <c r="A23" t="s">
        <v>75</v>
      </c>
      <c r="B23" t="s">
        <v>66</v>
      </c>
      <c r="D23" t="str">
        <f>"+1 PP whenever opponent bot gains HP"</f>
        <v>+1 PP whenever opponent bot gains HP</v>
      </c>
      <c r="E23" t="s">
        <v>162</v>
      </c>
      <c r="F23" t="s">
        <v>176</v>
      </c>
    </row>
    <row r="24" spans="1:6" x14ac:dyDescent="0.25">
      <c r="A24" t="s">
        <v>165</v>
      </c>
      <c r="B24" t="s">
        <v>4</v>
      </c>
      <c r="D24" t="str">
        <f>"+1 PP per turn for each upgrade on this bot"</f>
        <v>+1 PP per turn for each upgrade on this bot</v>
      </c>
      <c r="E24" t="s">
        <v>159</v>
      </c>
      <c r="F24" t="s">
        <v>176</v>
      </c>
    </row>
    <row r="25" spans="1:6" x14ac:dyDescent="0.25">
      <c r="A25" t="s">
        <v>153</v>
      </c>
      <c r="B25" t="s">
        <v>7</v>
      </c>
      <c r="D25" t="s">
        <v>168</v>
      </c>
      <c r="E25" t="s">
        <v>162</v>
      </c>
      <c r="F25" t="s">
        <v>176</v>
      </c>
    </row>
    <row r="26" spans="1:6" x14ac:dyDescent="0.25">
      <c r="A26" t="s">
        <v>151</v>
      </c>
      <c r="B26" t="s">
        <v>37</v>
      </c>
      <c r="D26" s="45" t="str">
        <f>"+1 PP from each non-adjacent Weather Event resource"</f>
        <v>+1 PP from each non-adjacent Weather Event resource</v>
      </c>
      <c r="E26" t="s">
        <v>159</v>
      </c>
      <c r="F26" t="s">
        <v>176</v>
      </c>
    </row>
    <row r="27" spans="1:6" x14ac:dyDescent="0.25">
      <c r="A27" t="s">
        <v>81</v>
      </c>
      <c r="B27" t="s">
        <v>11</v>
      </c>
      <c r="D27" t="str">
        <f>"+1 PP each turn for each active friendly bot"</f>
        <v>+1 PP each turn for each active friendly bot</v>
      </c>
      <c r="E27" t="s">
        <v>159</v>
      </c>
      <c r="F27" t="s">
        <v>176</v>
      </c>
    </row>
    <row r="28" spans="1:6" x14ac:dyDescent="0.25">
      <c r="A28" t="s">
        <v>172</v>
      </c>
      <c r="B28" t="s">
        <v>17</v>
      </c>
      <c r="D28" t="str">
        <f>"+2 PP each time a friendly bot is destroyed"</f>
        <v>+2 PP each time a friendly bot is destroyed</v>
      </c>
      <c r="E28" t="s">
        <v>159</v>
      </c>
      <c r="F28" t="s">
        <v>176</v>
      </c>
    </row>
    <row r="29" spans="1:6" x14ac:dyDescent="0.25">
      <c r="A29" t="s">
        <v>179</v>
      </c>
      <c r="B29" t="s">
        <v>174</v>
      </c>
      <c r="D29" t="str">
        <f>"+2 PP each time an enemy bot is destroyed"</f>
        <v>+2 PP each time an enemy bot is destroyed</v>
      </c>
      <c r="E29" t="s">
        <v>159</v>
      </c>
      <c r="F29" t="s">
        <v>176</v>
      </c>
    </row>
    <row r="30" spans="1:6" x14ac:dyDescent="0.25">
      <c r="A30" t="s">
        <v>160</v>
      </c>
      <c r="B30" t="s">
        <v>66</v>
      </c>
      <c r="D30" t="s">
        <v>161</v>
      </c>
      <c r="E30" t="s">
        <v>162</v>
      </c>
      <c r="F30" t="s">
        <v>177</v>
      </c>
    </row>
    <row r="31" spans="1:6" x14ac:dyDescent="0.25">
      <c r="A31" t="s">
        <v>35</v>
      </c>
      <c r="B31" t="s">
        <v>4</v>
      </c>
      <c r="D31" t="str">
        <f>"+1 dmg dealt for each upgrade on this bot"</f>
        <v>+1 dmg dealt for each upgrade on this bot</v>
      </c>
      <c r="E31" t="s">
        <v>159</v>
      </c>
      <c r="F31" t="s">
        <v>177</v>
      </c>
    </row>
    <row r="32" spans="1:6" x14ac:dyDescent="0.25">
      <c r="A32" t="s">
        <v>34</v>
      </c>
      <c r="B32" t="s">
        <v>7</v>
      </c>
      <c r="D32" t="s">
        <v>166</v>
      </c>
      <c r="E32" t="s">
        <v>159</v>
      </c>
      <c r="F32" t="s">
        <v>177</v>
      </c>
    </row>
    <row r="33" spans="1:6" x14ac:dyDescent="0.25">
      <c r="A33" t="s">
        <v>182</v>
      </c>
      <c r="B33" t="s">
        <v>37</v>
      </c>
      <c r="D33" t="s">
        <v>181</v>
      </c>
      <c r="E33" t="s">
        <v>159</v>
      </c>
      <c r="F33" t="s">
        <v>177</v>
      </c>
    </row>
    <row r="34" spans="1:6" x14ac:dyDescent="0.25">
      <c r="A34" t="s">
        <v>149</v>
      </c>
      <c r="B34" t="s">
        <v>11</v>
      </c>
      <c r="D34" t="str">
        <f>"+1 dmg to attacks for each bot you destroy"</f>
        <v>+1 dmg to attacks for each bot you destroy</v>
      </c>
      <c r="E34" t="s">
        <v>159</v>
      </c>
      <c r="F34" t="s">
        <v>177</v>
      </c>
    </row>
    <row r="35" spans="1:6" x14ac:dyDescent="0.25">
      <c r="A35" t="s">
        <v>36</v>
      </c>
      <c r="B35" t="s">
        <v>17</v>
      </c>
      <c r="D35" t="str">
        <f>"-1 dmg to each attack against this bot"</f>
        <v>-1 dmg to each attack against this bot</v>
      </c>
      <c r="E35" t="s">
        <v>159</v>
      </c>
      <c r="F35" t="s">
        <v>177</v>
      </c>
    </row>
    <row r="36" spans="1:6" x14ac:dyDescent="0.25">
      <c r="A36" t="s">
        <v>180</v>
      </c>
      <c r="B36" t="s">
        <v>174</v>
      </c>
      <c r="D36" t="str">
        <f>"+1 effect for mechanic cards"</f>
        <v>+1 effect for mechanic cards</v>
      </c>
      <c r="E36" t="s">
        <v>159</v>
      </c>
      <c r="F36" t="s">
        <v>177</v>
      </c>
    </row>
  </sheetData>
  <conditionalFormatting sqref="E2:E36">
    <cfRule type="cellIs" dxfId="25" priority="1" operator="equal">
      <formula>"No"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DD3E-3930-40B7-B7D3-BAB54582CA32}">
  <dimension ref="A1:B8"/>
  <sheetViews>
    <sheetView workbookViewId="0">
      <selection activeCell="B8" sqref="B8"/>
    </sheetView>
  </sheetViews>
  <sheetFormatPr defaultRowHeight="15" x14ac:dyDescent="0.25"/>
  <cols>
    <col min="2" max="2" width="52.85546875" bestFit="1" customWidth="1"/>
  </cols>
  <sheetData>
    <row r="1" spans="1:2" x14ac:dyDescent="0.25">
      <c r="A1" t="s">
        <v>178</v>
      </c>
      <c r="B1" t="s">
        <v>191</v>
      </c>
    </row>
    <row r="2" spans="1:2" x14ac:dyDescent="0.25">
      <c r="A2" t="s">
        <v>66</v>
      </c>
      <c r="B2" t="str">
        <f>"+2 from Power Cells and whenever opposing bot gains PP"</f>
        <v>+2 from Power Cells and whenever opposing bot gains PP</v>
      </c>
    </row>
    <row r="3" spans="1:2" x14ac:dyDescent="0.25">
      <c r="A3" t="s">
        <v>4</v>
      </c>
      <c r="B3" t="str">
        <f>"+2 from Power Cells and Nuclear Material"</f>
        <v>+2 from Power Cells and Nuclear Material</v>
      </c>
    </row>
    <row r="4" spans="1:2" x14ac:dyDescent="0.25">
      <c r="A4" t="s">
        <v>7</v>
      </c>
      <c r="B4" t="str">
        <f>"+2 from Power Cells and Fossil Fuel"</f>
        <v>+2 from Power Cells and Fossil Fuel</v>
      </c>
    </row>
    <row r="5" spans="1:2" x14ac:dyDescent="0.25">
      <c r="A5" t="s">
        <v>37</v>
      </c>
      <c r="B5" t="str">
        <f>"+2 from Power Cells and Weather Events"</f>
        <v>+2 from Power Cells and Weather Events</v>
      </c>
    </row>
    <row r="6" spans="1:2" x14ac:dyDescent="0.25">
      <c r="A6" t="s">
        <v>11</v>
      </c>
      <c r="B6" t="str">
        <f>"+2 from Power Cells and Biomass"</f>
        <v>+2 from Power Cells and Biomass</v>
      </c>
    </row>
    <row r="7" spans="1:2" x14ac:dyDescent="0.25">
      <c r="A7" t="s">
        <v>17</v>
      </c>
      <c r="B7" t="str">
        <f>"+3 from Power Cells"</f>
        <v>+3 from Power Cells</v>
      </c>
    </row>
    <row r="8" spans="1:2" x14ac:dyDescent="0.25">
      <c r="A8" t="s">
        <v>174</v>
      </c>
      <c r="B8" t="str">
        <f>"+1 from all resources"</f>
        <v>+1 from all resources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EAB9-AE33-4163-9970-7E135343EEE1}">
  <dimension ref="A1:D16"/>
  <sheetViews>
    <sheetView workbookViewId="0">
      <selection activeCell="C4" sqref="C4"/>
    </sheetView>
  </sheetViews>
  <sheetFormatPr defaultRowHeight="15" x14ac:dyDescent="0.25"/>
  <cols>
    <col min="1" max="1" width="15.140625" bestFit="1" customWidth="1"/>
    <col min="3" max="3" width="7.140625" bestFit="1" customWidth="1"/>
    <col min="4" max="4" width="67" bestFit="1" customWidth="1"/>
  </cols>
  <sheetData>
    <row r="1" spans="1:4" x14ac:dyDescent="0.25">
      <c r="A1" s="49" t="s">
        <v>152</v>
      </c>
      <c r="B1" s="49" t="s">
        <v>1</v>
      </c>
      <c r="C1" s="49" t="s">
        <v>30</v>
      </c>
      <c r="D1" s="49" t="s">
        <v>33</v>
      </c>
    </row>
    <row r="2" spans="1:4" x14ac:dyDescent="0.25">
      <c r="A2" s="50" t="s">
        <v>192</v>
      </c>
      <c r="B2" s="50" t="s">
        <v>66</v>
      </c>
      <c r="C2" s="50">
        <v>2</v>
      </c>
      <c r="D2" s="50" t="s">
        <v>193</v>
      </c>
    </row>
    <row r="3" spans="1:4" x14ac:dyDescent="0.25">
      <c r="A3" s="51" t="s">
        <v>203</v>
      </c>
      <c r="B3" s="51" t="s">
        <v>204</v>
      </c>
      <c r="C3" s="51">
        <v>1</v>
      </c>
      <c r="D3" s="51" t="s">
        <v>205</v>
      </c>
    </row>
    <row r="4" spans="1:4" x14ac:dyDescent="0.25">
      <c r="A4" s="50" t="s">
        <v>206</v>
      </c>
      <c r="B4" s="50" t="s">
        <v>204</v>
      </c>
      <c r="C4" s="50">
        <v>3</v>
      </c>
      <c r="D4" s="50" t="s">
        <v>207</v>
      </c>
    </row>
    <row r="5" spans="1:4" x14ac:dyDescent="0.25">
      <c r="A5" s="51" t="s">
        <v>208</v>
      </c>
      <c r="B5" s="51" t="s">
        <v>204</v>
      </c>
      <c r="C5" s="51">
        <v>2</v>
      </c>
      <c r="D5" s="51" t="s">
        <v>209</v>
      </c>
    </row>
    <row r="6" spans="1:4" x14ac:dyDescent="0.25">
      <c r="A6" s="50" t="s">
        <v>210</v>
      </c>
      <c r="B6" s="50" t="s">
        <v>204</v>
      </c>
      <c r="C6" s="50">
        <v>4</v>
      </c>
      <c r="D6" s="50" t="s">
        <v>211</v>
      </c>
    </row>
    <row r="7" spans="1:4" x14ac:dyDescent="0.25">
      <c r="A7" s="51" t="s">
        <v>212</v>
      </c>
      <c r="B7" s="51" t="s">
        <v>204</v>
      </c>
      <c r="C7" s="51">
        <v>1</v>
      </c>
      <c r="D7" s="51" t="s">
        <v>213</v>
      </c>
    </row>
    <row r="8" spans="1:4" x14ac:dyDescent="0.25">
      <c r="A8" s="50" t="s">
        <v>214</v>
      </c>
      <c r="B8" s="50" t="s">
        <v>204</v>
      </c>
      <c r="C8" s="50">
        <v>2</v>
      </c>
      <c r="D8" s="50" t="s">
        <v>215</v>
      </c>
    </row>
    <row r="9" spans="1:4" x14ac:dyDescent="0.25">
      <c r="A9" s="51" t="s">
        <v>216</v>
      </c>
      <c r="B9" s="51" t="s">
        <v>204</v>
      </c>
      <c r="C9" s="51">
        <v>3</v>
      </c>
      <c r="D9" s="51" t="s">
        <v>217</v>
      </c>
    </row>
    <row r="10" spans="1:4" x14ac:dyDescent="0.25">
      <c r="A10" s="50" t="s">
        <v>218</v>
      </c>
      <c r="B10" s="50" t="s">
        <v>204</v>
      </c>
      <c r="C10" s="50">
        <v>4</v>
      </c>
      <c r="D10" s="50" t="s">
        <v>219</v>
      </c>
    </row>
    <row r="11" spans="1:4" x14ac:dyDescent="0.25">
      <c r="A11" s="51" t="s">
        <v>194</v>
      </c>
      <c r="B11" s="51" t="s">
        <v>4</v>
      </c>
      <c r="C11" s="51">
        <v>1</v>
      </c>
      <c r="D11" s="51" t="s">
        <v>195</v>
      </c>
    </row>
    <row r="12" spans="1:4" x14ac:dyDescent="0.25">
      <c r="A12" s="50" t="s">
        <v>196</v>
      </c>
      <c r="B12" s="50" t="s">
        <v>7</v>
      </c>
      <c r="C12" s="50">
        <v>1</v>
      </c>
      <c r="D12" s="50" t="s">
        <v>197</v>
      </c>
    </row>
    <row r="13" spans="1:4" x14ac:dyDescent="0.25">
      <c r="A13" s="51" t="s">
        <v>198</v>
      </c>
      <c r="B13" s="51" t="s">
        <v>37</v>
      </c>
      <c r="C13" s="51">
        <v>1</v>
      </c>
      <c r="D13" s="51" t="s">
        <v>199</v>
      </c>
    </row>
    <row r="14" spans="1:4" x14ac:dyDescent="0.25">
      <c r="A14" s="51" t="s">
        <v>200</v>
      </c>
      <c r="B14" s="51" t="s">
        <v>11</v>
      </c>
      <c r="C14" s="51">
        <v>1</v>
      </c>
      <c r="D14" s="51" t="s">
        <v>201</v>
      </c>
    </row>
    <row r="15" spans="1:4" x14ac:dyDescent="0.25">
      <c r="A15" s="50" t="s">
        <v>77</v>
      </c>
      <c r="B15" s="50" t="s">
        <v>17</v>
      </c>
      <c r="C15" s="50">
        <v>2</v>
      </c>
      <c r="D15" s="50" t="s">
        <v>202</v>
      </c>
    </row>
    <row r="16" spans="1:4" x14ac:dyDescent="0.25">
      <c r="A16" t="s">
        <v>221</v>
      </c>
      <c r="B16" t="s">
        <v>174</v>
      </c>
      <c r="C16">
        <v>2</v>
      </c>
      <c r="D16" s="50" t="s">
        <v>220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404A-0BD4-4949-BF8C-296F3D670006}">
  <dimension ref="A1:F48"/>
  <sheetViews>
    <sheetView workbookViewId="0">
      <selection activeCell="F30" sqref="F30"/>
    </sheetView>
  </sheetViews>
  <sheetFormatPr defaultRowHeight="15" x14ac:dyDescent="0.25"/>
  <cols>
    <col min="1" max="1" width="12.5703125" customWidth="1"/>
    <col min="4" max="4" width="12.140625" bestFit="1" customWidth="1"/>
    <col min="5" max="5" width="19.42578125" bestFit="1" customWidth="1"/>
  </cols>
  <sheetData>
    <row r="1" spans="1:6" ht="15.75" x14ac:dyDescent="0.25">
      <c r="A1" s="52" t="s">
        <v>0</v>
      </c>
      <c r="B1" s="52" t="s">
        <v>266</v>
      </c>
      <c r="C1" s="52" t="s">
        <v>30</v>
      </c>
      <c r="D1" s="52" t="s">
        <v>2</v>
      </c>
      <c r="E1" s="52" t="s">
        <v>265</v>
      </c>
      <c r="F1" s="52" t="s">
        <v>261</v>
      </c>
    </row>
    <row r="2" spans="1:6" ht="15.75" x14ac:dyDescent="0.25">
      <c r="A2" s="53" t="s">
        <v>71</v>
      </c>
      <c r="B2" s="54" t="s">
        <v>66</v>
      </c>
      <c r="C2" s="53">
        <v>1</v>
      </c>
      <c r="D2" s="53">
        <v>2</v>
      </c>
      <c r="E2" s="54" t="s">
        <v>66</v>
      </c>
      <c r="F2" s="53"/>
    </row>
    <row r="3" spans="1:6" ht="15.75" x14ac:dyDescent="0.25">
      <c r="A3" s="56" t="s">
        <v>88</v>
      </c>
      <c r="B3" s="57" t="s">
        <v>66</v>
      </c>
      <c r="C3" s="56">
        <v>2</v>
      </c>
      <c r="D3" s="56">
        <v>4</v>
      </c>
      <c r="E3" s="57" t="s">
        <v>66</v>
      </c>
      <c r="F3" s="56" t="s">
        <v>158</v>
      </c>
    </row>
    <row r="4" spans="1:6" ht="15.75" x14ac:dyDescent="0.25">
      <c r="A4" s="53" t="s">
        <v>72</v>
      </c>
      <c r="B4" s="54" t="s">
        <v>66</v>
      </c>
      <c r="C4" s="53">
        <v>2</v>
      </c>
      <c r="D4" s="53">
        <v>4</v>
      </c>
      <c r="E4" s="54" t="s">
        <v>66</v>
      </c>
      <c r="F4" s="53" t="s">
        <v>222</v>
      </c>
    </row>
    <row r="5" spans="1:6" ht="15.75" x14ac:dyDescent="0.25">
      <c r="A5" s="53" t="s">
        <v>74</v>
      </c>
      <c r="B5" s="54" t="s">
        <v>66</v>
      </c>
      <c r="C5" s="53">
        <v>2</v>
      </c>
      <c r="D5" s="53">
        <v>4</v>
      </c>
      <c r="E5" s="54" t="s">
        <v>66</v>
      </c>
      <c r="F5" s="53" t="s">
        <v>75</v>
      </c>
    </row>
    <row r="6" spans="1:6" ht="15.75" x14ac:dyDescent="0.25">
      <c r="A6" s="56" t="s">
        <v>89</v>
      </c>
      <c r="B6" s="57" t="s">
        <v>66</v>
      </c>
      <c r="C6" s="56">
        <v>2</v>
      </c>
      <c r="D6" s="56">
        <v>4</v>
      </c>
      <c r="E6" s="57" t="s">
        <v>66</v>
      </c>
      <c r="F6" s="56" t="s">
        <v>223</v>
      </c>
    </row>
    <row r="7" spans="1:6" ht="15.75" x14ac:dyDescent="0.25">
      <c r="A7" s="53" t="s">
        <v>103</v>
      </c>
      <c r="B7" s="54" t="s">
        <v>66</v>
      </c>
      <c r="C7" s="53">
        <v>2</v>
      </c>
      <c r="D7" s="53">
        <v>4</v>
      </c>
      <c r="E7" s="54" t="s">
        <v>66</v>
      </c>
      <c r="F7" s="53" t="s">
        <v>164</v>
      </c>
    </row>
    <row r="8" spans="1:6" ht="15.75" x14ac:dyDescent="0.25">
      <c r="A8" s="58" t="s">
        <v>43</v>
      </c>
      <c r="B8" s="59" t="s">
        <v>4</v>
      </c>
      <c r="C8" s="58">
        <v>1</v>
      </c>
      <c r="D8" s="58">
        <v>2</v>
      </c>
      <c r="E8" s="59" t="s">
        <v>4</v>
      </c>
      <c r="F8" s="58"/>
    </row>
    <row r="9" spans="1:6" ht="15.75" x14ac:dyDescent="0.25">
      <c r="A9" s="60" t="s">
        <v>3</v>
      </c>
      <c r="B9" s="61" t="s">
        <v>4</v>
      </c>
      <c r="C9" s="60">
        <v>2</v>
      </c>
      <c r="D9" s="60">
        <v>4</v>
      </c>
      <c r="E9" s="61" t="s">
        <v>4</v>
      </c>
      <c r="F9" s="60" t="s">
        <v>35</v>
      </c>
    </row>
    <row r="10" spans="1:6" ht="15.75" x14ac:dyDescent="0.25">
      <c r="A10" s="58" t="s">
        <v>6</v>
      </c>
      <c r="B10" s="59" t="s">
        <v>4</v>
      </c>
      <c r="C10" s="58">
        <v>2</v>
      </c>
      <c r="D10" s="58">
        <v>4</v>
      </c>
      <c r="E10" s="59" t="s">
        <v>4</v>
      </c>
      <c r="F10" s="58" t="s">
        <v>80</v>
      </c>
    </row>
    <row r="11" spans="1:6" ht="15.75" x14ac:dyDescent="0.25">
      <c r="A11" s="60" t="s">
        <v>42</v>
      </c>
      <c r="B11" s="61" t="s">
        <v>4</v>
      </c>
      <c r="C11" s="60">
        <v>2</v>
      </c>
      <c r="D11" s="60">
        <v>4</v>
      </c>
      <c r="E11" s="61" t="s">
        <v>4</v>
      </c>
      <c r="F11" s="60" t="s">
        <v>165</v>
      </c>
    </row>
    <row r="12" spans="1:6" ht="15.75" x14ac:dyDescent="0.25">
      <c r="A12" s="58" t="s">
        <v>5</v>
      </c>
      <c r="B12" s="59" t="s">
        <v>4</v>
      </c>
      <c r="C12" s="58">
        <v>2</v>
      </c>
      <c r="D12" s="58">
        <v>4</v>
      </c>
      <c r="E12" s="59" t="s">
        <v>4</v>
      </c>
      <c r="F12" s="58" t="s">
        <v>155</v>
      </c>
    </row>
    <row r="13" spans="1:6" ht="15.75" x14ac:dyDescent="0.25">
      <c r="A13" s="60" t="s">
        <v>225</v>
      </c>
      <c r="B13" s="61" t="s">
        <v>4</v>
      </c>
      <c r="C13" s="60">
        <v>2</v>
      </c>
      <c r="D13" s="60">
        <v>4</v>
      </c>
      <c r="E13" s="61" t="s">
        <v>4</v>
      </c>
      <c r="F13" s="60" t="s">
        <v>224</v>
      </c>
    </row>
    <row r="14" spans="1:6" ht="15.75" x14ac:dyDescent="0.25">
      <c r="A14" s="62" t="s">
        <v>226</v>
      </c>
      <c r="B14" s="63" t="s">
        <v>7</v>
      </c>
      <c r="C14" s="62">
        <v>1</v>
      </c>
      <c r="D14" s="62">
        <v>2</v>
      </c>
      <c r="E14" s="63" t="s">
        <v>7</v>
      </c>
      <c r="F14" s="62"/>
    </row>
    <row r="15" spans="1:6" ht="15.75" x14ac:dyDescent="0.25">
      <c r="A15" s="64" t="s">
        <v>8</v>
      </c>
      <c r="B15" s="65" t="s">
        <v>7</v>
      </c>
      <c r="C15" s="64">
        <v>2</v>
      </c>
      <c r="D15" s="64">
        <v>4</v>
      </c>
      <c r="E15" s="65" t="s">
        <v>7</v>
      </c>
      <c r="F15" s="64" t="s">
        <v>34</v>
      </c>
    </row>
    <row r="16" spans="1:6" ht="15.75" x14ac:dyDescent="0.25">
      <c r="A16" s="64" t="s">
        <v>227</v>
      </c>
      <c r="B16" s="65" t="s">
        <v>7</v>
      </c>
      <c r="C16" s="64">
        <v>2</v>
      </c>
      <c r="D16" s="64">
        <v>4</v>
      </c>
      <c r="E16" s="65" t="s">
        <v>7</v>
      </c>
      <c r="F16" s="64" t="s">
        <v>167</v>
      </c>
    </row>
    <row r="17" spans="1:6" ht="15.75" x14ac:dyDescent="0.25">
      <c r="A17" s="64" t="s">
        <v>9</v>
      </c>
      <c r="B17" s="65" t="s">
        <v>7</v>
      </c>
      <c r="C17" s="64">
        <v>2</v>
      </c>
      <c r="D17" s="64">
        <v>4</v>
      </c>
      <c r="E17" s="65" t="s">
        <v>7</v>
      </c>
      <c r="F17" s="64" t="s">
        <v>79</v>
      </c>
    </row>
    <row r="18" spans="1:6" ht="15.75" x14ac:dyDescent="0.25">
      <c r="A18" s="62" t="s">
        <v>100</v>
      </c>
      <c r="B18" s="63" t="s">
        <v>7</v>
      </c>
      <c r="C18" s="62">
        <v>2</v>
      </c>
      <c r="D18" s="62">
        <v>4</v>
      </c>
      <c r="E18" s="63" t="s">
        <v>7</v>
      </c>
      <c r="F18" s="62" t="s">
        <v>153</v>
      </c>
    </row>
    <row r="19" spans="1:6" ht="15.75" x14ac:dyDescent="0.25">
      <c r="A19" s="64" t="s">
        <v>105</v>
      </c>
      <c r="B19" s="65" t="s">
        <v>7</v>
      </c>
      <c r="C19" s="64">
        <v>2</v>
      </c>
      <c r="D19" s="64">
        <v>4</v>
      </c>
      <c r="E19" s="65" t="s">
        <v>7</v>
      </c>
      <c r="F19" s="64" t="s">
        <v>154</v>
      </c>
    </row>
    <row r="20" spans="1:6" ht="15.75" x14ac:dyDescent="0.25">
      <c r="A20" s="66" t="s">
        <v>16</v>
      </c>
      <c r="B20" s="67" t="s">
        <v>37</v>
      </c>
      <c r="C20" s="66">
        <v>1</v>
      </c>
      <c r="D20" s="66">
        <v>2</v>
      </c>
      <c r="E20" s="67" t="s">
        <v>37</v>
      </c>
      <c r="F20" s="66"/>
    </row>
    <row r="21" spans="1:6" ht="15.75" x14ac:dyDescent="0.25">
      <c r="A21" s="68" t="s">
        <v>104</v>
      </c>
      <c r="B21" s="69" t="s">
        <v>37</v>
      </c>
      <c r="C21" s="68">
        <v>2</v>
      </c>
      <c r="D21" s="68">
        <v>4</v>
      </c>
      <c r="E21" s="69" t="s">
        <v>37</v>
      </c>
      <c r="F21" s="68" t="s">
        <v>169</v>
      </c>
    </row>
    <row r="22" spans="1:6" ht="15.75" x14ac:dyDescent="0.25">
      <c r="A22" s="66" t="s">
        <v>19</v>
      </c>
      <c r="B22" s="67" t="s">
        <v>37</v>
      </c>
      <c r="C22" s="66">
        <v>2</v>
      </c>
      <c r="D22" s="66">
        <v>4</v>
      </c>
      <c r="E22" s="67" t="s">
        <v>37</v>
      </c>
      <c r="F22" s="66" t="s">
        <v>151</v>
      </c>
    </row>
    <row r="23" spans="1:6" ht="15.75" x14ac:dyDescent="0.25">
      <c r="A23" s="68" t="s">
        <v>21</v>
      </c>
      <c r="B23" s="69" t="s">
        <v>37</v>
      </c>
      <c r="C23" s="68">
        <v>2</v>
      </c>
      <c r="D23" s="68">
        <v>4</v>
      </c>
      <c r="E23" s="69" t="s">
        <v>37</v>
      </c>
      <c r="F23" s="68" t="s">
        <v>78</v>
      </c>
    </row>
    <row r="24" spans="1:6" ht="15.75" x14ac:dyDescent="0.25">
      <c r="A24" s="66" t="s">
        <v>18</v>
      </c>
      <c r="B24" s="67" t="s">
        <v>37</v>
      </c>
      <c r="C24" s="66">
        <v>2</v>
      </c>
      <c r="D24" s="66">
        <v>4</v>
      </c>
      <c r="E24" s="67" t="s">
        <v>37</v>
      </c>
      <c r="F24" s="66" t="s">
        <v>170</v>
      </c>
    </row>
    <row r="25" spans="1:6" ht="15.75" x14ac:dyDescent="0.25">
      <c r="A25" s="68" t="s">
        <v>20</v>
      </c>
      <c r="B25" s="69" t="s">
        <v>37</v>
      </c>
      <c r="C25" s="68">
        <v>2</v>
      </c>
      <c r="D25" s="68">
        <v>4</v>
      </c>
      <c r="E25" s="69" t="s">
        <v>37</v>
      </c>
      <c r="F25" s="68" t="s">
        <v>156</v>
      </c>
    </row>
    <row r="26" spans="1:6" ht="15.75" x14ac:dyDescent="0.25">
      <c r="A26" s="72" t="s">
        <v>14</v>
      </c>
      <c r="B26" s="73" t="s">
        <v>11</v>
      </c>
      <c r="C26" s="72">
        <v>1</v>
      </c>
      <c r="D26" s="72">
        <v>2</v>
      </c>
      <c r="E26" s="73" t="s">
        <v>11</v>
      </c>
      <c r="F26" s="72"/>
    </row>
    <row r="27" spans="1:6" ht="15.75" x14ac:dyDescent="0.25">
      <c r="A27" s="70" t="s">
        <v>15</v>
      </c>
      <c r="B27" s="71" t="s">
        <v>11</v>
      </c>
      <c r="C27" s="70">
        <v>2</v>
      </c>
      <c r="D27" s="70">
        <v>4</v>
      </c>
      <c r="E27" s="71" t="s">
        <v>11</v>
      </c>
      <c r="F27" s="70" t="s">
        <v>76</v>
      </c>
    </row>
    <row r="28" spans="1:6" ht="15.75" x14ac:dyDescent="0.25">
      <c r="A28" s="72" t="s">
        <v>13</v>
      </c>
      <c r="B28" s="73" t="s">
        <v>11</v>
      </c>
      <c r="C28" s="72">
        <v>2</v>
      </c>
      <c r="D28" s="72">
        <v>4</v>
      </c>
      <c r="E28" s="73" t="s">
        <v>11</v>
      </c>
      <c r="F28" s="72" t="s">
        <v>150</v>
      </c>
    </row>
    <row r="29" spans="1:6" ht="15.75" x14ac:dyDescent="0.25">
      <c r="A29" s="70" t="s">
        <v>12</v>
      </c>
      <c r="B29" s="71" t="s">
        <v>11</v>
      </c>
      <c r="C29" s="70">
        <v>2</v>
      </c>
      <c r="D29" s="70">
        <v>4</v>
      </c>
      <c r="E29" s="71" t="s">
        <v>11</v>
      </c>
      <c r="F29" s="70" t="s">
        <v>187</v>
      </c>
    </row>
    <row r="30" spans="1:6" ht="15.75" x14ac:dyDescent="0.25">
      <c r="A30" s="70" t="s">
        <v>101</v>
      </c>
      <c r="B30" s="71" t="s">
        <v>11</v>
      </c>
      <c r="C30" s="70">
        <v>2</v>
      </c>
      <c r="D30" s="70">
        <v>4</v>
      </c>
      <c r="E30" s="71" t="s">
        <v>11</v>
      </c>
      <c r="F30" s="70" t="s">
        <v>81</v>
      </c>
    </row>
    <row r="31" spans="1:6" ht="15.75" x14ac:dyDescent="0.25">
      <c r="A31" s="72" t="s">
        <v>10</v>
      </c>
      <c r="B31" s="73" t="s">
        <v>11</v>
      </c>
      <c r="C31" s="72">
        <v>2</v>
      </c>
      <c r="D31" s="72">
        <v>4</v>
      </c>
      <c r="E31" s="73" t="s">
        <v>11</v>
      </c>
      <c r="F31" s="72" t="s">
        <v>149</v>
      </c>
    </row>
    <row r="32" spans="1:6" ht="15.75" x14ac:dyDescent="0.25">
      <c r="A32" s="74" t="s">
        <v>228</v>
      </c>
      <c r="B32" s="75" t="s">
        <v>17</v>
      </c>
      <c r="C32" s="74">
        <v>1</v>
      </c>
      <c r="D32" s="74">
        <v>2</v>
      </c>
      <c r="E32" s="75" t="s">
        <v>17</v>
      </c>
      <c r="F32" s="74"/>
    </row>
    <row r="33" spans="1:6" ht="15.75" x14ac:dyDescent="0.25">
      <c r="A33" s="76" t="s">
        <v>229</v>
      </c>
      <c r="B33" s="77" t="s">
        <v>17</v>
      </c>
      <c r="C33" s="76">
        <v>2</v>
      </c>
      <c r="D33" s="76">
        <v>4</v>
      </c>
      <c r="E33" s="77" t="s">
        <v>17</v>
      </c>
      <c r="F33" s="76" t="s">
        <v>36</v>
      </c>
    </row>
    <row r="34" spans="1:6" ht="15.75" x14ac:dyDescent="0.25">
      <c r="A34" s="74" t="s">
        <v>230</v>
      </c>
      <c r="B34" s="75" t="s">
        <v>17</v>
      </c>
      <c r="C34" s="74">
        <v>2</v>
      </c>
      <c r="D34" s="74">
        <v>4</v>
      </c>
      <c r="E34" s="75" t="s">
        <v>17</v>
      </c>
      <c r="F34" s="74" t="s">
        <v>183</v>
      </c>
    </row>
    <row r="35" spans="1:6" ht="15.75" x14ac:dyDescent="0.25">
      <c r="A35" s="76" t="s">
        <v>231</v>
      </c>
      <c r="B35" s="77" t="s">
        <v>17</v>
      </c>
      <c r="C35" s="76">
        <v>2</v>
      </c>
      <c r="D35" s="76">
        <v>4</v>
      </c>
      <c r="E35" s="77" t="s">
        <v>17</v>
      </c>
      <c r="F35" s="76" t="s">
        <v>188</v>
      </c>
    </row>
    <row r="36" spans="1:6" ht="15.75" x14ac:dyDescent="0.25">
      <c r="A36" s="74" t="s">
        <v>102</v>
      </c>
      <c r="B36" s="75" t="s">
        <v>17</v>
      </c>
      <c r="C36" s="74">
        <v>2</v>
      </c>
      <c r="D36" s="74">
        <v>4</v>
      </c>
      <c r="E36" s="75" t="s">
        <v>17</v>
      </c>
      <c r="F36" s="74" t="s">
        <v>172</v>
      </c>
    </row>
    <row r="37" spans="1:6" ht="15.75" x14ac:dyDescent="0.25">
      <c r="A37" s="74" t="s">
        <v>87</v>
      </c>
      <c r="B37" s="75" t="s">
        <v>17</v>
      </c>
      <c r="C37" s="74">
        <v>2</v>
      </c>
      <c r="D37" s="74">
        <v>4</v>
      </c>
      <c r="E37" s="75" t="s">
        <v>17</v>
      </c>
      <c r="F37" s="74" t="s">
        <v>250</v>
      </c>
    </row>
    <row r="38" spans="1:6" ht="15.75" x14ac:dyDescent="0.25">
      <c r="A38" s="17" t="s">
        <v>244</v>
      </c>
      <c r="B38" s="17" t="s">
        <v>174</v>
      </c>
      <c r="C38" s="17">
        <v>1</v>
      </c>
      <c r="D38" s="17">
        <v>2</v>
      </c>
      <c r="E38" s="17" t="s">
        <v>174</v>
      </c>
      <c r="F38" s="17"/>
    </row>
    <row r="39" spans="1:6" ht="15.75" x14ac:dyDescent="0.25">
      <c r="A39" s="17" t="s">
        <v>245</v>
      </c>
      <c r="B39" s="17" t="s">
        <v>174</v>
      </c>
      <c r="C39" s="17">
        <v>2</v>
      </c>
      <c r="D39" s="17">
        <v>4</v>
      </c>
      <c r="E39" s="17" t="s">
        <v>174</v>
      </c>
      <c r="F39" s="17" t="s">
        <v>171</v>
      </c>
    </row>
    <row r="40" spans="1:6" ht="15.75" x14ac:dyDescent="0.25">
      <c r="A40" s="17" t="s">
        <v>246</v>
      </c>
      <c r="B40" s="17" t="s">
        <v>174</v>
      </c>
      <c r="C40" s="17">
        <v>2</v>
      </c>
      <c r="D40" s="17">
        <v>4</v>
      </c>
      <c r="E40" s="17" t="s">
        <v>174</v>
      </c>
      <c r="F40" s="17" t="s">
        <v>185</v>
      </c>
    </row>
    <row r="41" spans="1:6" ht="15.75" x14ac:dyDescent="0.25">
      <c r="A41" s="17" t="s">
        <v>247</v>
      </c>
      <c r="B41" s="17" t="s">
        <v>174</v>
      </c>
      <c r="C41" s="17">
        <v>2</v>
      </c>
      <c r="D41" s="17">
        <v>4</v>
      </c>
      <c r="E41" s="17" t="s">
        <v>174</v>
      </c>
      <c r="F41" s="78" t="s">
        <v>190</v>
      </c>
    </row>
    <row r="42" spans="1:6" ht="15.75" x14ac:dyDescent="0.25">
      <c r="A42" s="17" t="s">
        <v>248</v>
      </c>
      <c r="B42" s="17" t="s">
        <v>174</v>
      </c>
      <c r="C42" s="17">
        <v>2</v>
      </c>
      <c r="D42" s="17">
        <v>4</v>
      </c>
      <c r="E42" s="17" t="s">
        <v>174</v>
      </c>
      <c r="F42" s="78" t="s">
        <v>179</v>
      </c>
    </row>
    <row r="43" spans="1:6" ht="15.75" x14ac:dyDescent="0.25">
      <c r="A43" s="17" t="s">
        <v>249</v>
      </c>
      <c r="B43" s="17" t="s">
        <v>174</v>
      </c>
      <c r="C43" s="17">
        <v>2</v>
      </c>
      <c r="D43" s="17">
        <v>4</v>
      </c>
      <c r="E43" s="17" t="s">
        <v>174</v>
      </c>
      <c r="F43" s="78" t="s">
        <v>180</v>
      </c>
    </row>
    <row r="44" spans="1:6" x14ac:dyDescent="0.25">
      <c r="B44" s="1"/>
      <c r="C44" s="1"/>
      <c r="E44" s="1"/>
    </row>
    <row r="45" spans="1:6" x14ac:dyDescent="0.25">
      <c r="B45" s="1"/>
      <c r="C45" s="1"/>
      <c r="E45" s="1"/>
    </row>
    <row r="46" spans="1:6" x14ac:dyDescent="0.25">
      <c r="B46" s="1"/>
      <c r="C46" s="1"/>
      <c r="E46" s="1"/>
    </row>
    <row r="47" spans="1:6" x14ac:dyDescent="0.25">
      <c r="B47" s="1"/>
      <c r="C47" s="1"/>
      <c r="E47" s="1"/>
    </row>
    <row r="48" spans="1:6" x14ac:dyDescent="0.25">
      <c r="B48" s="1"/>
      <c r="C48" s="1"/>
      <c r="E4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C8B6-3B38-4842-B741-8602A8A78BF0}">
  <dimension ref="A1:F57"/>
  <sheetViews>
    <sheetView zoomScaleNormal="100" workbookViewId="0">
      <selection activeCell="H36" sqref="H36"/>
    </sheetView>
  </sheetViews>
  <sheetFormatPr defaultRowHeight="15" x14ac:dyDescent="0.2"/>
  <cols>
    <col min="1" max="1" width="12.5703125" style="16" customWidth="1"/>
    <col min="2" max="2" width="11" style="16" bestFit="1" customWidth="1"/>
    <col min="3" max="4" width="9.140625" style="16"/>
    <col min="5" max="6" width="13.7109375" style="16" bestFit="1" customWidth="1"/>
    <col min="7" max="7" width="17" style="16" bestFit="1" customWidth="1"/>
    <col min="8" max="16384" width="9.140625" style="16"/>
  </cols>
  <sheetData>
    <row r="1" spans="1:6" ht="15.75" x14ac:dyDescent="0.25">
      <c r="A1" s="52" t="s">
        <v>0</v>
      </c>
      <c r="B1" s="52" t="s">
        <v>266</v>
      </c>
      <c r="C1" s="52" t="s">
        <v>30</v>
      </c>
      <c r="D1" s="52" t="s">
        <v>2</v>
      </c>
      <c r="E1" s="52" t="s">
        <v>262</v>
      </c>
      <c r="F1" s="52" t="s">
        <v>263</v>
      </c>
    </row>
    <row r="2" spans="1:6" x14ac:dyDescent="0.2">
      <c r="A2" s="53" t="s">
        <v>63</v>
      </c>
      <c r="B2" s="54" t="s">
        <v>66</v>
      </c>
      <c r="C2" s="53">
        <v>3</v>
      </c>
      <c r="D2" s="53">
        <v>8</v>
      </c>
      <c r="E2" s="53" t="s">
        <v>192</v>
      </c>
      <c r="F2" s="53" t="s">
        <v>203</v>
      </c>
    </row>
    <row r="3" spans="1:6" x14ac:dyDescent="0.2">
      <c r="A3" s="56" t="s">
        <v>73</v>
      </c>
      <c r="B3" s="57" t="s">
        <v>66</v>
      </c>
      <c r="C3" s="56">
        <v>3</v>
      </c>
      <c r="D3" s="56">
        <v>8</v>
      </c>
      <c r="E3" s="56" t="s">
        <v>192</v>
      </c>
      <c r="F3" s="56" t="s">
        <v>208</v>
      </c>
    </row>
    <row r="4" spans="1:6" x14ac:dyDescent="0.2">
      <c r="A4" s="53" t="s">
        <v>64</v>
      </c>
      <c r="B4" s="54" t="s">
        <v>66</v>
      </c>
      <c r="C4" s="53">
        <v>3</v>
      </c>
      <c r="D4" s="53">
        <v>8</v>
      </c>
      <c r="E4" s="53" t="s">
        <v>192</v>
      </c>
      <c r="F4" s="53" t="s">
        <v>232</v>
      </c>
    </row>
    <row r="5" spans="1:6" x14ac:dyDescent="0.2">
      <c r="A5" s="56" t="s">
        <v>53</v>
      </c>
      <c r="B5" s="57" t="s">
        <v>66</v>
      </c>
      <c r="C5" s="56">
        <v>3</v>
      </c>
      <c r="D5" s="56">
        <v>8</v>
      </c>
      <c r="E5" s="56" t="s">
        <v>192</v>
      </c>
      <c r="F5" s="56" t="s">
        <v>233</v>
      </c>
    </row>
    <row r="6" spans="1:6" x14ac:dyDescent="0.2">
      <c r="A6" s="53" t="s">
        <v>65</v>
      </c>
      <c r="B6" s="54" t="s">
        <v>66</v>
      </c>
      <c r="C6" s="53">
        <v>3</v>
      </c>
      <c r="D6" s="53">
        <v>8</v>
      </c>
      <c r="E6" s="53" t="s">
        <v>192</v>
      </c>
      <c r="F6" s="53" t="s">
        <v>212</v>
      </c>
    </row>
    <row r="7" spans="1:6" x14ac:dyDescent="0.2">
      <c r="A7" s="56" t="s">
        <v>31</v>
      </c>
      <c r="B7" s="57" t="s">
        <v>66</v>
      </c>
      <c r="C7" s="56">
        <v>3</v>
      </c>
      <c r="D7" s="56">
        <v>8</v>
      </c>
      <c r="E7" s="56" t="s">
        <v>192</v>
      </c>
      <c r="F7" s="56" t="s">
        <v>214</v>
      </c>
    </row>
    <row r="8" spans="1:6" x14ac:dyDescent="0.2">
      <c r="A8" s="53" t="s">
        <v>134</v>
      </c>
      <c r="B8" s="54" t="s">
        <v>66</v>
      </c>
      <c r="C8" s="53">
        <v>3</v>
      </c>
      <c r="D8" s="53">
        <v>8</v>
      </c>
      <c r="E8" s="53" t="s">
        <v>192</v>
      </c>
      <c r="F8" s="53" t="s">
        <v>216</v>
      </c>
    </row>
    <row r="9" spans="1:6" x14ac:dyDescent="0.2">
      <c r="A9" s="56" t="s">
        <v>143</v>
      </c>
      <c r="B9" s="57" t="s">
        <v>66</v>
      </c>
      <c r="C9" s="56">
        <v>3</v>
      </c>
      <c r="D9" s="56">
        <v>8</v>
      </c>
      <c r="E9" s="56" t="s">
        <v>192</v>
      </c>
      <c r="F9" s="56" t="s">
        <v>218</v>
      </c>
    </row>
    <row r="10" spans="1:6" x14ac:dyDescent="0.2">
      <c r="A10" s="58" t="s">
        <v>26</v>
      </c>
      <c r="B10" s="59" t="s">
        <v>4</v>
      </c>
      <c r="C10" s="58">
        <v>3</v>
      </c>
      <c r="D10" s="58">
        <v>8</v>
      </c>
      <c r="E10" s="58" t="s">
        <v>194</v>
      </c>
      <c r="F10" s="58" t="s">
        <v>203</v>
      </c>
    </row>
    <row r="11" spans="1:6" x14ac:dyDescent="0.2">
      <c r="A11" s="60" t="s">
        <v>39</v>
      </c>
      <c r="B11" s="61" t="s">
        <v>4</v>
      </c>
      <c r="C11" s="60">
        <v>3</v>
      </c>
      <c r="D11" s="60">
        <v>8</v>
      </c>
      <c r="E11" s="60" t="s">
        <v>194</v>
      </c>
      <c r="F11" s="60" t="s">
        <v>208</v>
      </c>
    </row>
    <row r="12" spans="1:6" x14ac:dyDescent="0.2">
      <c r="A12" s="58" t="s">
        <v>41</v>
      </c>
      <c r="B12" s="59" t="s">
        <v>4</v>
      </c>
      <c r="C12" s="58">
        <v>3</v>
      </c>
      <c r="D12" s="58">
        <v>8</v>
      </c>
      <c r="E12" s="58" t="s">
        <v>194</v>
      </c>
      <c r="F12" s="58" t="s">
        <v>232</v>
      </c>
    </row>
    <row r="13" spans="1:6" x14ac:dyDescent="0.2">
      <c r="A13" s="60" t="s">
        <v>27</v>
      </c>
      <c r="B13" s="61" t="s">
        <v>4</v>
      </c>
      <c r="C13" s="60">
        <v>3</v>
      </c>
      <c r="D13" s="60">
        <v>8</v>
      </c>
      <c r="E13" s="60" t="s">
        <v>194</v>
      </c>
      <c r="F13" s="60" t="s">
        <v>233</v>
      </c>
    </row>
    <row r="14" spans="1:6" x14ac:dyDescent="0.2">
      <c r="A14" s="58" t="s">
        <v>40</v>
      </c>
      <c r="B14" s="59" t="s">
        <v>4</v>
      </c>
      <c r="C14" s="58">
        <v>3</v>
      </c>
      <c r="D14" s="58">
        <v>8</v>
      </c>
      <c r="E14" s="58" t="s">
        <v>194</v>
      </c>
      <c r="F14" s="58" t="s">
        <v>212</v>
      </c>
    </row>
    <row r="15" spans="1:6" x14ac:dyDescent="0.2">
      <c r="A15" s="60" t="s">
        <v>62</v>
      </c>
      <c r="B15" s="61" t="s">
        <v>4</v>
      </c>
      <c r="C15" s="60">
        <v>3</v>
      </c>
      <c r="D15" s="60">
        <v>8</v>
      </c>
      <c r="E15" s="60" t="s">
        <v>194</v>
      </c>
      <c r="F15" s="60" t="s">
        <v>214</v>
      </c>
    </row>
    <row r="16" spans="1:6" x14ac:dyDescent="0.2">
      <c r="A16" s="58" t="s">
        <v>137</v>
      </c>
      <c r="B16" s="59" t="s">
        <v>4</v>
      </c>
      <c r="C16" s="58">
        <v>3</v>
      </c>
      <c r="D16" s="58">
        <v>8</v>
      </c>
      <c r="E16" s="58" t="s">
        <v>194</v>
      </c>
      <c r="F16" s="58" t="s">
        <v>216</v>
      </c>
    </row>
    <row r="17" spans="1:6" x14ac:dyDescent="0.2">
      <c r="A17" s="60" t="s">
        <v>138</v>
      </c>
      <c r="B17" s="61" t="s">
        <v>4</v>
      </c>
      <c r="C17" s="60">
        <v>3</v>
      </c>
      <c r="D17" s="60">
        <v>8</v>
      </c>
      <c r="E17" s="60" t="s">
        <v>194</v>
      </c>
      <c r="F17" s="60" t="s">
        <v>218</v>
      </c>
    </row>
    <row r="18" spans="1:6" x14ac:dyDescent="0.2">
      <c r="A18" s="62" t="s">
        <v>24</v>
      </c>
      <c r="B18" s="63" t="s">
        <v>7</v>
      </c>
      <c r="C18" s="62">
        <v>3</v>
      </c>
      <c r="D18" s="62">
        <v>8</v>
      </c>
      <c r="E18" s="62" t="s">
        <v>196</v>
      </c>
      <c r="F18" s="62" t="s">
        <v>203</v>
      </c>
    </row>
    <row r="19" spans="1:6" x14ac:dyDescent="0.2">
      <c r="A19" s="64" t="s">
        <v>25</v>
      </c>
      <c r="B19" s="65" t="s">
        <v>7</v>
      </c>
      <c r="C19" s="64">
        <v>3</v>
      </c>
      <c r="D19" s="64">
        <v>8</v>
      </c>
      <c r="E19" s="64" t="s">
        <v>196</v>
      </c>
      <c r="F19" s="64" t="s">
        <v>208</v>
      </c>
    </row>
    <row r="20" spans="1:6" x14ac:dyDescent="0.2">
      <c r="A20" s="62" t="s">
        <v>44</v>
      </c>
      <c r="B20" s="63" t="s">
        <v>7</v>
      </c>
      <c r="C20" s="62">
        <v>3</v>
      </c>
      <c r="D20" s="62">
        <v>8</v>
      </c>
      <c r="E20" s="62" t="s">
        <v>196</v>
      </c>
      <c r="F20" s="62" t="s">
        <v>232</v>
      </c>
    </row>
    <row r="21" spans="1:6" x14ac:dyDescent="0.2">
      <c r="A21" s="64" t="s">
        <v>45</v>
      </c>
      <c r="B21" s="65" t="s">
        <v>7</v>
      </c>
      <c r="C21" s="64">
        <v>3</v>
      </c>
      <c r="D21" s="64">
        <v>8</v>
      </c>
      <c r="E21" s="64" t="s">
        <v>196</v>
      </c>
      <c r="F21" s="64" t="s">
        <v>233</v>
      </c>
    </row>
    <row r="22" spans="1:6" x14ac:dyDescent="0.2">
      <c r="A22" s="62" t="s">
        <v>46</v>
      </c>
      <c r="B22" s="63" t="s">
        <v>7</v>
      </c>
      <c r="C22" s="62">
        <v>3</v>
      </c>
      <c r="D22" s="62">
        <v>8</v>
      </c>
      <c r="E22" s="62" t="s">
        <v>196</v>
      </c>
      <c r="F22" s="62" t="s">
        <v>212</v>
      </c>
    </row>
    <row r="23" spans="1:6" x14ac:dyDescent="0.2">
      <c r="A23" s="64" t="s">
        <v>47</v>
      </c>
      <c r="B23" s="65" t="s">
        <v>7</v>
      </c>
      <c r="C23" s="64">
        <v>3</v>
      </c>
      <c r="D23" s="64">
        <v>8</v>
      </c>
      <c r="E23" s="64" t="s">
        <v>196</v>
      </c>
      <c r="F23" s="64" t="s">
        <v>214</v>
      </c>
    </row>
    <row r="24" spans="1:6" x14ac:dyDescent="0.2">
      <c r="A24" s="62" t="s">
        <v>132</v>
      </c>
      <c r="B24" s="63" t="s">
        <v>7</v>
      </c>
      <c r="C24" s="62">
        <v>3</v>
      </c>
      <c r="D24" s="62">
        <v>8</v>
      </c>
      <c r="E24" s="62" t="s">
        <v>196</v>
      </c>
      <c r="F24" s="62" t="s">
        <v>216</v>
      </c>
    </row>
    <row r="25" spans="1:6" x14ac:dyDescent="0.2">
      <c r="A25" s="64" t="s">
        <v>133</v>
      </c>
      <c r="B25" s="65" t="s">
        <v>7</v>
      </c>
      <c r="C25" s="64">
        <v>3</v>
      </c>
      <c r="D25" s="64">
        <v>8</v>
      </c>
      <c r="E25" s="64" t="s">
        <v>196</v>
      </c>
      <c r="F25" s="64" t="s">
        <v>218</v>
      </c>
    </row>
    <row r="26" spans="1:6" x14ac:dyDescent="0.2">
      <c r="A26" s="66" t="s">
        <v>28</v>
      </c>
      <c r="B26" s="67" t="s">
        <v>37</v>
      </c>
      <c r="C26" s="66">
        <v>3</v>
      </c>
      <c r="D26" s="66">
        <v>8</v>
      </c>
      <c r="E26" s="66" t="s">
        <v>198</v>
      </c>
      <c r="F26" s="66" t="s">
        <v>203</v>
      </c>
    </row>
    <row r="27" spans="1:6" x14ac:dyDescent="0.2">
      <c r="A27" s="68" t="s">
        <v>29</v>
      </c>
      <c r="B27" s="69" t="s">
        <v>37</v>
      </c>
      <c r="C27" s="68">
        <v>3</v>
      </c>
      <c r="D27" s="68">
        <v>8</v>
      </c>
      <c r="E27" s="68" t="s">
        <v>198</v>
      </c>
      <c r="F27" s="68" t="s">
        <v>208</v>
      </c>
    </row>
    <row r="28" spans="1:6" x14ac:dyDescent="0.2">
      <c r="A28" s="66" t="s">
        <v>49</v>
      </c>
      <c r="B28" s="67" t="s">
        <v>37</v>
      </c>
      <c r="C28" s="66">
        <v>3</v>
      </c>
      <c r="D28" s="66">
        <v>8</v>
      </c>
      <c r="E28" s="66" t="s">
        <v>198</v>
      </c>
      <c r="F28" s="66" t="s">
        <v>232</v>
      </c>
    </row>
    <row r="29" spans="1:6" x14ac:dyDescent="0.2">
      <c r="A29" s="68" t="s">
        <v>50</v>
      </c>
      <c r="B29" s="69" t="s">
        <v>37</v>
      </c>
      <c r="C29" s="68">
        <v>3</v>
      </c>
      <c r="D29" s="68">
        <v>8</v>
      </c>
      <c r="E29" s="68" t="s">
        <v>198</v>
      </c>
      <c r="F29" s="68" t="s">
        <v>233</v>
      </c>
    </row>
    <row r="30" spans="1:6" x14ac:dyDescent="0.2">
      <c r="A30" s="66" t="s">
        <v>51</v>
      </c>
      <c r="B30" s="67" t="s">
        <v>37</v>
      </c>
      <c r="C30" s="66">
        <v>3</v>
      </c>
      <c r="D30" s="66">
        <v>8</v>
      </c>
      <c r="E30" s="68" t="s">
        <v>198</v>
      </c>
      <c r="F30" s="66" t="s">
        <v>212</v>
      </c>
    </row>
    <row r="31" spans="1:6" x14ac:dyDescent="0.2">
      <c r="A31" s="68" t="s">
        <v>52</v>
      </c>
      <c r="B31" s="69" t="s">
        <v>37</v>
      </c>
      <c r="C31" s="68">
        <v>3</v>
      </c>
      <c r="D31" s="68">
        <v>8</v>
      </c>
      <c r="E31" s="68" t="s">
        <v>198</v>
      </c>
      <c r="F31" s="68" t="s">
        <v>214</v>
      </c>
    </row>
    <row r="32" spans="1:6" x14ac:dyDescent="0.2">
      <c r="A32" s="66" t="s">
        <v>135</v>
      </c>
      <c r="B32" s="67" t="s">
        <v>37</v>
      </c>
      <c r="C32" s="66">
        <v>3</v>
      </c>
      <c r="D32" s="66">
        <v>8</v>
      </c>
      <c r="E32" s="68" t="s">
        <v>198</v>
      </c>
      <c r="F32" s="66" t="s">
        <v>216</v>
      </c>
    </row>
    <row r="33" spans="1:6" x14ac:dyDescent="0.2">
      <c r="A33" s="68" t="s">
        <v>136</v>
      </c>
      <c r="B33" s="69" t="s">
        <v>37</v>
      </c>
      <c r="C33" s="68">
        <v>3</v>
      </c>
      <c r="D33" s="68">
        <v>8</v>
      </c>
      <c r="E33" s="68" t="s">
        <v>198</v>
      </c>
      <c r="F33" s="68" t="s">
        <v>218</v>
      </c>
    </row>
    <row r="34" spans="1:6" x14ac:dyDescent="0.2">
      <c r="A34" s="70" t="s">
        <v>22</v>
      </c>
      <c r="B34" s="71" t="s">
        <v>11</v>
      </c>
      <c r="C34" s="70">
        <v>3</v>
      </c>
      <c r="D34" s="70">
        <v>8</v>
      </c>
      <c r="E34" s="70" t="s">
        <v>234</v>
      </c>
      <c r="F34" s="70" t="s">
        <v>203</v>
      </c>
    </row>
    <row r="35" spans="1:6" x14ac:dyDescent="0.2">
      <c r="A35" s="72" t="s">
        <v>23</v>
      </c>
      <c r="B35" s="73" t="s">
        <v>11</v>
      </c>
      <c r="C35" s="72">
        <v>3</v>
      </c>
      <c r="D35" s="72">
        <v>8</v>
      </c>
      <c r="E35" s="72" t="s">
        <v>234</v>
      </c>
      <c r="F35" s="72" t="s">
        <v>208</v>
      </c>
    </row>
    <row r="36" spans="1:6" x14ac:dyDescent="0.2">
      <c r="A36" s="70" t="s">
        <v>55</v>
      </c>
      <c r="B36" s="71" t="s">
        <v>11</v>
      </c>
      <c r="C36" s="70">
        <v>3</v>
      </c>
      <c r="D36" s="70">
        <v>8</v>
      </c>
      <c r="E36" s="70" t="s">
        <v>234</v>
      </c>
      <c r="F36" s="70" t="s">
        <v>232</v>
      </c>
    </row>
    <row r="37" spans="1:6" x14ac:dyDescent="0.2">
      <c r="A37" s="72" t="s">
        <v>56</v>
      </c>
      <c r="B37" s="73" t="s">
        <v>11</v>
      </c>
      <c r="C37" s="72">
        <v>3</v>
      </c>
      <c r="D37" s="72">
        <v>8</v>
      </c>
      <c r="E37" s="72" t="s">
        <v>234</v>
      </c>
      <c r="F37" s="72" t="s">
        <v>233</v>
      </c>
    </row>
    <row r="38" spans="1:6" x14ac:dyDescent="0.2">
      <c r="A38" s="70" t="s">
        <v>235</v>
      </c>
      <c r="B38" s="71" t="s">
        <v>11</v>
      </c>
      <c r="C38" s="70">
        <v>3</v>
      </c>
      <c r="D38" s="70">
        <v>8</v>
      </c>
      <c r="E38" s="70" t="s">
        <v>234</v>
      </c>
      <c r="F38" s="70" t="s">
        <v>212</v>
      </c>
    </row>
    <row r="39" spans="1:6" x14ac:dyDescent="0.2">
      <c r="A39" s="72" t="s">
        <v>131</v>
      </c>
      <c r="B39" s="73" t="s">
        <v>11</v>
      </c>
      <c r="C39" s="72">
        <v>3</v>
      </c>
      <c r="D39" s="72">
        <v>8</v>
      </c>
      <c r="E39" s="72" t="s">
        <v>234</v>
      </c>
      <c r="F39" s="72" t="s">
        <v>214</v>
      </c>
    </row>
    <row r="40" spans="1:6" x14ac:dyDescent="0.2">
      <c r="A40" s="70" t="s">
        <v>54</v>
      </c>
      <c r="B40" s="71" t="s">
        <v>11</v>
      </c>
      <c r="C40" s="70">
        <v>3</v>
      </c>
      <c r="D40" s="70">
        <v>8</v>
      </c>
      <c r="E40" s="70" t="s">
        <v>234</v>
      </c>
      <c r="F40" s="70" t="s">
        <v>216</v>
      </c>
    </row>
    <row r="41" spans="1:6" x14ac:dyDescent="0.2">
      <c r="A41" s="72" t="s">
        <v>142</v>
      </c>
      <c r="B41" s="73" t="s">
        <v>11</v>
      </c>
      <c r="C41" s="72">
        <v>3</v>
      </c>
      <c r="D41" s="72">
        <v>8</v>
      </c>
      <c r="E41" s="72" t="s">
        <v>234</v>
      </c>
      <c r="F41" s="72" t="s">
        <v>218</v>
      </c>
    </row>
    <row r="42" spans="1:6" x14ac:dyDescent="0.2">
      <c r="A42" s="74" t="s">
        <v>58</v>
      </c>
      <c r="B42" s="75" t="s">
        <v>17</v>
      </c>
      <c r="C42" s="74">
        <v>3</v>
      </c>
      <c r="D42" s="74">
        <v>8</v>
      </c>
      <c r="E42" s="74" t="s">
        <v>77</v>
      </c>
      <c r="F42" s="74" t="s">
        <v>203</v>
      </c>
    </row>
    <row r="43" spans="1:6" x14ac:dyDescent="0.2">
      <c r="A43" s="76" t="s">
        <v>59</v>
      </c>
      <c r="B43" s="77" t="s">
        <v>17</v>
      </c>
      <c r="C43" s="76">
        <v>3</v>
      </c>
      <c r="D43" s="76">
        <v>8</v>
      </c>
      <c r="E43" s="76" t="s">
        <v>77</v>
      </c>
      <c r="F43" s="76" t="s">
        <v>208</v>
      </c>
    </row>
    <row r="44" spans="1:6" x14ac:dyDescent="0.2">
      <c r="A44" s="74" t="s">
        <v>48</v>
      </c>
      <c r="B44" s="75" t="s">
        <v>17</v>
      </c>
      <c r="C44" s="74">
        <v>3</v>
      </c>
      <c r="D44" s="74">
        <v>8</v>
      </c>
      <c r="E44" s="74" t="s">
        <v>77</v>
      </c>
      <c r="F44" s="74" t="s">
        <v>232</v>
      </c>
    </row>
    <row r="45" spans="1:6" x14ac:dyDescent="0.2">
      <c r="A45" s="76" t="s">
        <v>60</v>
      </c>
      <c r="B45" s="77" t="s">
        <v>17</v>
      </c>
      <c r="C45" s="76">
        <v>3</v>
      </c>
      <c r="D45" s="76">
        <v>8</v>
      </c>
      <c r="E45" s="76" t="s">
        <v>77</v>
      </c>
      <c r="F45" s="76" t="s">
        <v>233</v>
      </c>
    </row>
    <row r="46" spans="1:6" x14ac:dyDescent="0.2">
      <c r="A46" s="74" t="s">
        <v>61</v>
      </c>
      <c r="B46" s="75" t="s">
        <v>17</v>
      </c>
      <c r="C46" s="74">
        <v>3</v>
      </c>
      <c r="D46" s="74">
        <v>8</v>
      </c>
      <c r="E46" s="74" t="s">
        <v>77</v>
      </c>
      <c r="F46" s="74" t="s">
        <v>212</v>
      </c>
    </row>
    <row r="47" spans="1:6" x14ac:dyDescent="0.2">
      <c r="A47" s="76" t="s">
        <v>139</v>
      </c>
      <c r="B47" s="77" t="s">
        <v>17</v>
      </c>
      <c r="C47" s="76">
        <v>3</v>
      </c>
      <c r="D47" s="76">
        <v>8</v>
      </c>
      <c r="E47" s="76" t="s">
        <v>77</v>
      </c>
      <c r="F47" s="76" t="s">
        <v>214</v>
      </c>
    </row>
    <row r="48" spans="1:6" x14ac:dyDescent="0.2">
      <c r="A48" s="74" t="s">
        <v>140</v>
      </c>
      <c r="B48" s="75" t="s">
        <v>17</v>
      </c>
      <c r="C48" s="74">
        <v>3</v>
      </c>
      <c r="D48" s="74">
        <v>8</v>
      </c>
      <c r="E48" s="74" t="s">
        <v>77</v>
      </c>
      <c r="F48" s="74" t="s">
        <v>216</v>
      </c>
    </row>
    <row r="49" spans="1:6" x14ac:dyDescent="0.2">
      <c r="A49" s="76" t="s">
        <v>141</v>
      </c>
      <c r="B49" s="77" t="s">
        <v>17</v>
      </c>
      <c r="C49" s="76">
        <v>3</v>
      </c>
      <c r="D49" s="76">
        <v>8</v>
      </c>
      <c r="E49" s="76" t="s">
        <v>77</v>
      </c>
      <c r="F49" s="76" t="s">
        <v>218</v>
      </c>
    </row>
    <row r="50" spans="1:6" x14ac:dyDescent="0.2">
      <c r="A50" s="16" t="s">
        <v>236</v>
      </c>
      <c r="B50" s="16" t="s">
        <v>174</v>
      </c>
      <c r="C50" s="16">
        <v>3</v>
      </c>
      <c r="D50" s="16">
        <v>8</v>
      </c>
      <c r="E50" s="16" t="s">
        <v>221</v>
      </c>
      <c r="F50" s="16" t="s">
        <v>203</v>
      </c>
    </row>
    <row r="51" spans="1:6" x14ac:dyDescent="0.2">
      <c r="A51" s="16" t="s">
        <v>237</v>
      </c>
      <c r="B51" s="16" t="s">
        <v>174</v>
      </c>
      <c r="C51" s="16">
        <v>3</v>
      </c>
      <c r="D51" s="16">
        <v>8</v>
      </c>
      <c r="E51" s="16" t="s">
        <v>221</v>
      </c>
      <c r="F51" s="16" t="s">
        <v>208</v>
      </c>
    </row>
    <row r="52" spans="1:6" x14ac:dyDescent="0.2">
      <c r="A52" s="16" t="s">
        <v>238</v>
      </c>
      <c r="B52" s="16" t="s">
        <v>174</v>
      </c>
      <c r="C52" s="16">
        <v>3</v>
      </c>
      <c r="D52" s="16">
        <v>8</v>
      </c>
      <c r="E52" s="16" t="s">
        <v>221</v>
      </c>
      <c r="F52" s="16" t="s">
        <v>232</v>
      </c>
    </row>
    <row r="53" spans="1:6" x14ac:dyDescent="0.2">
      <c r="A53" s="16" t="s">
        <v>239</v>
      </c>
      <c r="B53" s="16" t="s">
        <v>174</v>
      </c>
      <c r="C53" s="16">
        <v>3</v>
      </c>
      <c r="D53" s="16">
        <v>8</v>
      </c>
      <c r="E53" s="16" t="s">
        <v>221</v>
      </c>
      <c r="F53" s="16" t="s">
        <v>233</v>
      </c>
    </row>
    <row r="54" spans="1:6" x14ac:dyDescent="0.2">
      <c r="A54" s="16" t="s">
        <v>240</v>
      </c>
      <c r="B54" s="16" t="s">
        <v>174</v>
      </c>
      <c r="C54" s="16">
        <v>3</v>
      </c>
      <c r="D54" s="16">
        <v>8</v>
      </c>
      <c r="E54" s="16" t="s">
        <v>221</v>
      </c>
      <c r="F54" s="16" t="s">
        <v>203</v>
      </c>
    </row>
    <row r="55" spans="1:6" x14ac:dyDescent="0.2">
      <c r="A55" s="16" t="s">
        <v>241</v>
      </c>
      <c r="B55" s="16" t="s">
        <v>174</v>
      </c>
      <c r="C55" s="16">
        <v>3</v>
      </c>
      <c r="D55" s="16">
        <v>8</v>
      </c>
      <c r="E55" s="16" t="s">
        <v>221</v>
      </c>
      <c r="F55" s="16" t="s">
        <v>208</v>
      </c>
    </row>
    <row r="56" spans="1:6" x14ac:dyDescent="0.2">
      <c r="A56" s="16" t="s">
        <v>242</v>
      </c>
      <c r="B56" s="16" t="s">
        <v>174</v>
      </c>
      <c r="C56" s="16">
        <v>3</v>
      </c>
      <c r="D56" s="16">
        <v>8</v>
      </c>
      <c r="E56" s="16" t="s">
        <v>221</v>
      </c>
      <c r="F56" s="16" t="s">
        <v>232</v>
      </c>
    </row>
    <row r="57" spans="1:6" x14ac:dyDescent="0.2">
      <c r="A57" s="16" t="s">
        <v>243</v>
      </c>
      <c r="B57" s="16" t="s">
        <v>174</v>
      </c>
      <c r="C57" s="16">
        <v>3</v>
      </c>
      <c r="D57" s="16">
        <v>8</v>
      </c>
      <c r="E57" s="16" t="s">
        <v>221</v>
      </c>
      <c r="F57" s="16" t="s">
        <v>233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417B-6ED1-4BDA-A68A-01122B3E11CB}">
  <dimension ref="A1:D16"/>
  <sheetViews>
    <sheetView tabSelected="1" workbookViewId="0">
      <selection activeCell="D2" sqref="D2"/>
    </sheetView>
  </sheetViews>
  <sheetFormatPr defaultRowHeight="15" x14ac:dyDescent="0.25"/>
  <cols>
    <col min="1" max="2" width="9.5703125" customWidth="1"/>
    <col min="4" max="4" width="13.7109375" bestFit="1" customWidth="1"/>
  </cols>
  <sheetData>
    <row r="1" spans="1:4" x14ac:dyDescent="0.25">
      <c r="A1" s="79" t="s">
        <v>0</v>
      </c>
      <c r="B1" s="79" t="s">
        <v>30</v>
      </c>
      <c r="C1" s="79" t="s">
        <v>2</v>
      </c>
      <c r="D1" s="79" t="s">
        <v>264</v>
      </c>
    </row>
    <row r="2" spans="1:4" ht="15.75" x14ac:dyDescent="0.25">
      <c r="A2" s="80" t="s">
        <v>67</v>
      </c>
      <c r="B2" s="81">
        <v>2</v>
      </c>
      <c r="C2" s="81">
        <v>4</v>
      </c>
      <c r="D2" s="81" t="s">
        <v>203</v>
      </c>
    </row>
    <row r="3" spans="1:4" ht="15.75" x14ac:dyDescent="0.25">
      <c r="A3" s="55" t="s">
        <v>68</v>
      </c>
      <c r="B3" s="82">
        <v>2</v>
      </c>
      <c r="C3" s="82">
        <v>4</v>
      </c>
      <c r="D3" s="82" t="s">
        <v>206</v>
      </c>
    </row>
    <row r="4" spans="1:4" ht="15.75" x14ac:dyDescent="0.25">
      <c r="A4" s="80" t="s">
        <v>70</v>
      </c>
      <c r="B4" s="81">
        <v>2</v>
      </c>
      <c r="C4" s="81">
        <v>4</v>
      </c>
      <c r="D4" s="81" t="s">
        <v>208</v>
      </c>
    </row>
    <row r="5" spans="1:4" ht="15.75" x14ac:dyDescent="0.25">
      <c r="A5" s="55" t="s">
        <v>86</v>
      </c>
      <c r="B5" s="82">
        <v>2</v>
      </c>
      <c r="C5" s="82">
        <v>4</v>
      </c>
      <c r="D5" s="82" t="s">
        <v>210</v>
      </c>
    </row>
    <row r="6" spans="1:4" ht="15.75" x14ac:dyDescent="0.25">
      <c r="A6" s="80" t="s">
        <v>69</v>
      </c>
      <c r="B6" s="81">
        <v>2</v>
      </c>
      <c r="C6" s="81">
        <v>4</v>
      </c>
      <c r="D6" s="81" t="s">
        <v>212</v>
      </c>
    </row>
    <row r="7" spans="1:4" ht="15.75" x14ac:dyDescent="0.25">
      <c r="A7" s="55" t="s">
        <v>99</v>
      </c>
      <c r="B7" s="82">
        <v>2</v>
      </c>
      <c r="C7" s="82">
        <v>4</v>
      </c>
      <c r="D7" s="82" t="s">
        <v>214</v>
      </c>
    </row>
    <row r="8" spans="1:4" x14ac:dyDescent="0.25">
      <c r="A8" s="81" t="s">
        <v>251</v>
      </c>
      <c r="B8" s="81">
        <v>2</v>
      </c>
      <c r="C8" s="81">
        <v>4</v>
      </c>
      <c r="D8" s="81" t="s">
        <v>216</v>
      </c>
    </row>
    <row r="9" spans="1:4" x14ac:dyDescent="0.25">
      <c r="A9" s="82" t="s">
        <v>252</v>
      </c>
      <c r="B9" s="82">
        <v>2</v>
      </c>
      <c r="C9" s="82">
        <v>4</v>
      </c>
      <c r="D9" s="82" t="s">
        <v>218</v>
      </c>
    </row>
    <row r="10" spans="1:4" x14ac:dyDescent="0.25">
      <c r="A10" s="81" t="s">
        <v>253</v>
      </c>
      <c r="B10" s="81">
        <v>2</v>
      </c>
      <c r="C10" s="81">
        <v>4</v>
      </c>
      <c r="D10" s="81" t="s">
        <v>192</v>
      </c>
    </row>
    <row r="11" spans="1:4" x14ac:dyDescent="0.25">
      <c r="A11" s="82" t="s">
        <v>254</v>
      </c>
      <c r="B11" s="82">
        <v>2</v>
      </c>
      <c r="C11" s="82">
        <v>4</v>
      </c>
      <c r="D11" s="82" t="s">
        <v>194</v>
      </c>
    </row>
    <row r="12" spans="1:4" x14ac:dyDescent="0.25">
      <c r="A12" s="81" t="s">
        <v>255</v>
      </c>
      <c r="B12" s="81">
        <v>2</v>
      </c>
      <c r="C12" s="81">
        <v>4</v>
      </c>
      <c r="D12" s="81" t="s">
        <v>196</v>
      </c>
    </row>
    <row r="13" spans="1:4" x14ac:dyDescent="0.25">
      <c r="A13" s="82" t="s">
        <v>256</v>
      </c>
      <c r="B13" s="82">
        <v>2</v>
      </c>
      <c r="C13" s="82">
        <v>4</v>
      </c>
      <c r="D13" s="82" t="s">
        <v>198</v>
      </c>
    </row>
    <row r="14" spans="1:4" x14ac:dyDescent="0.25">
      <c r="A14" s="81" t="s">
        <v>257</v>
      </c>
      <c r="B14" s="81">
        <v>2</v>
      </c>
      <c r="C14" s="81">
        <v>4</v>
      </c>
      <c r="D14" s="81" t="s">
        <v>106</v>
      </c>
    </row>
    <row r="15" spans="1:4" x14ac:dyDescent="0.25">
      <c r="A15" s="82" t="s">
        <v>258</v>
      </c>
      <c r="B15" s="82">
        <v>2</v>
      </c>
      <c r="C15" s="82">
        <v>4</v>
      </c>
      <c r="D15" s="82" t="s">
        <v>200</v>
      </c>
    </row>
    <row r="16" spans="1:4" x14ac:dyDescent="0.25">
      <c r="A16" s="81" t="s">
        <v>259</v>
      </c>
      <c r="B16" s="81">
        <v>2</v>
      </c>
      <c r="C16" s="81">
        <v>4</v>
      </c>
      <c r="D16" s="81" t="s">
        <v>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5B2D-9A7D-4116-841E-BBD1252B93F2}">
  <dimension ref="A1:O30"/>
  <sheetViews>
    <sheetView workbookViewId="0">
      <selection activeCell="E29" sqref="E29"/>
    </sheetView>
  </sheetViews>
  <sheetFormatPr defaultRowHeight="14.25" x14ac:dyDescent="0.2"/>
  <cols>
    <col min="1" max="1" width="11" style="3" bestFit="1" customWidth="1"/>
    <col min="2" max="12" width="15.7109375" style="3" customWidth="1"/>
    <col min="13" max="13" width="15.5703125" style="3" bestFit="1" customWidth="1"/>
    <col min="14" max="14" width="9.28515625" style="3" customWidth="1"/>
    <col min="15" max="16384" width="9.140625" style="3"/>
  </cols>
  <sheetData>
    <row r="1" spans="1:15" ht="15" thickBot="1" x14ac:dyDescent="0.25">
      <c r="B1" s="5"/>
      <c r="C1" s="4"/>
      <c r="D1" s="4"/>
      <c r="E1" s="4"/>
      <c r="H1" s="4"/>
      <c r="I1" s="4"/>
      <c r="J1" s="4"/>
    </row>
    <row r="2" spans="1:15" ht="18.75" thickBot="1" x14ac:dyDescent="0.3">
      <c r="B2" s="86" t="s">
        <v>127</v>
      </c>
      <c r="C2" s="87"/>
      <c r="D2" s="87"/>
      <c r="E2" s="87"/>
      <c r="F2" s="87"/>
      <c r="G2" s="88"/>
      <c r="H2" s="14"/>
      <c r="I2" s="86" t="s">
        <v>144</v>
      </c>
      <c r="J2" s="87"/>
      <c r="K2" s="87"/>
      <c r="L2" s="88"/>
      <c r="M2" s="14"/>
    </row>
    <row r="3" spans="1:15" ht="15" x14ac:dyDescent="0.25">
      <c r="B3" s="83" t="s">
        <v>109</v>
      </c>
      <c r="C3" s="84"/>
      <c r="D3" s="85"/>
      <c r="E3" s="83" t="s">
        <v>110</v>
      </c>
      <c r="F3" s="84"/>
      <c r="G3" s="85"/>
      <c r="H3" s="15"/>
      <c r="I3" s="39" t="s">
        <v>111</v>
      </c>
      <c r="J3" s="40" t="s">
        <v>145</v>
      </c>
      <c r="K3" s="40" t="s">
        <v>146</v>
      </c>
      <c r="L3" s="41" t="s">
        <v>147</v>
      </c>
      <c r="M3" s="38"/>
      <c r="N3" s="6"/>
    </row>
    <row r="4" spans="1:15" ht="15" thickBot="1" x14ac:dyDescent="0.25">
      <c r="A4" s="3" t="s">
        <v>1</v>
      </c>
      <c r="B4" s="7" t="s">
        <v>115</v>
      </c>
      <c r="C4" s="8" t="s">
        <v>116</v>
      </c>
      <c r="D4" s="9" t="s">
        <v>117</v>
      </c>
      <c r="E4" s="7" t="s">
        <v>118</v>
      </c>
      <c r="F4" s="8" t="s">
        <v>119</v>
      </c>
      <c r="G4" s="9" t="s">
        <v>120</v>
      </c>
      <c r="H4" s="8"/>
      <c r="I4" s="11">
        <f>SUM(Table3[Cost])/COUNT(Table3[Cost])</f>
        <v>2</v>
      </c>
      <c r="J4" s="12">
        <f>SUM(Table3[HP])/COUNT(Table3[HP])</f>
        <v>4</v>
      </c>
      <c r="K4" s="12" t="e">
        <f>SUM(Table3[Action])/COUNT(Table3[Action])</f>
        <v>#DIV/0!</v>
      </c>
      <c r="L4" s="13" t="e">
        <f>SUM(#REF!)/COUNT(#REF!)</f>
        <v>#REF!</v>
      </c>
      <c r="M4" s="8"/>
    </row>
    <row r="5" spans="1:15" ht="15.75" x14ac:dyDescent="0.25">
      <c r="A5" s="17" t="s">
        <v>66</v>
      </c>
      <c r="B5" s="32">
        <v>8</v>
      </c>
      <c r="C5" s="33">
        <f>COUNTIF(Table1[Deck],Variety[[#This Row],[Type]])</f>
        <v>8</v>
      </c>
      <c r="D5" s="34">
        <f t="shared" ref="D5:D10" si="0">C5-B5</f>
        <v>0</v>
      </c>
      <c r="E5" s="32">
        <v>8</v>
      </c>
      <c r="F5" s="33" t="e">
        <f>COUNTIF(#REF!,Variety[[#This Row],[Type]])</f>
        <v>#REF!</v>
      </c>
      <c r="G5" s="34" t="e">
        <f t="shared" ref="G5:G10" si="1">F5-E5</f>
        <v>#REF!</v>
      </c>
      <c r="H5" s="10"/>
      <c r="I5" s="10"/>
      <c r="J5" s="42" t="s">
        <v>112</v>
      </c>
      <c r="K5" s="43" t="s">
        <v>113</v>
      </c>
      <c r="L5" s="44" t="s">
        <v>90</v>
      </c>
      <c r="M5" s="10"/>
    </row>
    <row r="6" spans="1:15" ht="15.75" thickBot="1" x14ac:dyDescent="0.25">
      <c r="A6" s="17" t="s">
        <v>4</v>
      </c>
      <c r="B6" s="20">
        <v>8</v>
      </c>
      <c r="C6" s="21">
        <f>COUNTIF(Table1[Deck],Variety[[#This Row],[Type]])</f>
        <v>8</v>
      </c>
      <c r="D6" s="22">
        <f t="shared" si="0"/>
        <v>0</v>
      </c>
      <c r="E6" s="20">
        <v>8</v>
      </c>
      <c r="F6" s="21" t="e">
        <f>COUNTIF(#REF!,Variety[[#This Row],[Type]])</f>
        <v>#REF!</v>
      </c>
      <c r="G6" s="22" t="e">
        <f t="shared" si="1"/>
        <v>#REF!</v>
      </c>
      <c r="H6" s="10"/>
      <c r="I6" s="10"/>
      <c r="J6" s="11">
        <f>SUM(Table3[HP])/SUM(Table3[Cost])</f>
        <v>2</v>
      </c>
      <c r="K6" s="12">
        <f>SUM(Table3[Action])/SUM(Table3[Cost])</f>
        <v>0</v>
      </c>
      <c r="L6" s="13" t="e">
        <f>SUM(#REF!)/SUM(Table3[Cost])</f>
        <v>#REF!</v>
      </c>
      <c r="M6" s="10"/>
    </row>
    <row r="7" spans="1:15" ht="15.75" x14ac:dyDescent="0.25">
      <c r="A7" s="17" t="s">
        <v>7</v>
      </c>
      <c r="B7" s="23">
        <v>8</v>
      </c>
      <c r="C7" s="24">
        <f>COUNTIF(Table1[Deck],Variety[[#This Row],[Type]])</f>
        <v>8</v>
      </c>
      <c r="D7" s="25">
        <f t="shared" si="0"/>
        <v>0</v>
      </c>
      <c r="E7" s="23">
        <v>8</v>
      </c>
      <c r="F7" s="24" t="e">
        <f>COUNTIF(#REF!,Variety[[#This Row],[Type]])</f>
        <v>#REF!</v>
      </c>
      <c r="G7" s="25" t="e">
        <f t="shared" si="1"/>
        <v>#REF!</v>
      </c>
      <c r="H7" s="10"/>
      <c r="I7" s="10"/>
      <c r="K7" s="42" t="s">
        <v>148</v>
      </c>
      <c r="L7" s="44"/>
      <c r="M7" s="10"/>
    </row>
    <row r="8" spans="1:15" ht="15.75" thickBot="1" x14ac:dyDescent="0.25">
      <c r="A8" s="17" t="s">
        <v>37</v>
      </c>
      <c r="B8" s="26">
        <v>8</v>
      </c>
      <c r="C8" s="27">
        <f>COUNTIF(Table1[Deck],Variety[[#This Row],[Type]])</f>
        <v>8</v>
      </c>
      <c r="D8" s="28">
        <f t="shared" si="0"/>
        <v>0</v>
      </c>
      <c r="E8" s="26">
        <v>8</v>
      </c>
      <c r="F8" s="27" t="e">
        <f>COUNTIF(#REF!,Variety[[#This Row],[Type]])</f>
        <v>#REF!</v>
      </c>
      <c r="G8" s="28" t="e">
        <f t="shared" si="1"/>
        <v>#REF!</v>
      </c>
      <c r="H8" s="10"/>
      <c r="I8" s="10"/>
      <c r="K8" s="11" t="e">
        <f>SUM(Table3[HP])/SUM(Table3[Action])</f>
        <v>#DIV/0!</v>
      </c>
      <c r="L8" s="13"/>
      <c r="M8" s="10"/>
    </row>
    <row r="9" spans="1:15" ht="15" x14ac:dyDescent="0.2">
      <c r="A9" s="17" t="s">
        <v>11</v>
      </c>
      <c r="B9" s="29">
        <v>8</v>
      </c>
      <c r="C9" s="30">
        <f>COUNTIF(Table1[Deck],Variety[[#This Row],[Type]])</f>
        <v>8</v>
      </c>
      <c r="D9" s="31">
        <f t="shared" si="0"/>
        <v>0</v>
      </c>
      <c r="E9" s="29">
        <v>8</v>
      </c>
      <c r="F9" s="30" t="e">
        <f>COUNTIF(#REF!,Variety[[#This Row],[Type]])</f>
        <v>#REF!</v>
      </c>
      <c r="G9" s="31" t="e">
        <f t="shared" si="1"/>
        <v>#REF!</v>
      </c>
      <c r="H9" s="10"/>
      <c r="I9" s="10"/>
      <c r="J9" s="10"/>
      <c r="K9" s="10"/>
      <c r="L9" s="10"/>
      <c r="M9" s="10"/>
    </row>
    <row r="10" spans="1:15" ht="15.75" thickBot="1" x14ac:dyDescent="0.25">
      <c r="A10" s="17" t="s">
        <v>17</v>
      </c>
      <c r="B10" s="35">
        <v>8</v>
      </c>
      <c r="C10" s="36">
        <f>COUNTIF(Table1[Deck],Variety[[#This Row],[Type]])</f>
        <v>8</v>
      </c>
      <c r="D10" s="37">
        <f t="shared" si="0"/>
        <v>0</v>
      </c>
      <c r="E10" s="35">
        <v>8</v>
      </c>
      <c r="F10" s="36" t="e">
        <f>COUNTIF(#REF!,Variety[[#This Row],[Type]])</f>
        <v>#REF!</v>
      </c>
      <c r="G10" s="37" t="e">
        <f t="shared" si="1"/>
        <v>#REF!</v>
      </c>
      <c r="H10" s="10"/>
      <c r="I10" s="10"/>
      <c r="J10" s="10"/>
      <c r="K10" s="10"/>
      <c r="L10" s="10"/>
      <c r="M10" s="10"/>
    </row>
    <row r="11" spans="1:15" ht="15" thickBot="1" x14ac:dyDescent="0.25"/>
    <row r="12" spans="1:15" ht="18.75" thickBot="1" x14ac:dyDescent="0.3">
      <c r="B12" s="86" t="s">
        <v>128</v>
      </c>
      <c r="C12" s="87"/>
      <c r="D12" s="87"/>
      <c r="E12" s="87"/>
      <c r="F12" s="87"/>
      <c r="G12" s="87"/>
      <c r="H12" s="87"/>
      <c r="I12" s="87"/>
      <c r="J12" s="88"/>
      <c r="K12" s="14"/>
      <c r="L12" s="14"/>
      <c r="M12" s="14"/>
    </row>
    <row r="13" spans="1:15" ht="15" x14ac:dyDescent="0.25">
      <c r="B13" s="83" t="s">
        <v>2</v>
      </c>
      <c r="C13" s="84"/>
      <c r="D13" s="85"/>
      <c r="E13" s="83" t="s">
        <v>38</v>
      </c>
      <c r="F13" s="84"/>
      <c r="G13" s="85"/>
      <c r="H13" s="83" t="s">
        <v>114</v>
      </c>
      <c r="I13" s="84"/>
      <c r="J13" s="85"/>
      <c r="K13" s="38"/>
      <c r="M13" s="89"/>
      <c r="N13" s="89"/>
    </row>
    <row r="14" spans="1:15" x14ac:dyDescent="0.2">
      <c r="A14" s="3" t="s">
        <v>1</v>
      </c>
      <c r="B14" s="7" t="s">
        <v>115</v>
      </c>
      <c r="C14" s="8" t="s">
        <v>116</v>
      </c>
      <c r="D14" s="9" t="s">
        <v>117</v>
      </c>
      <c r="E14" s="7" t="s">
        <v>118</v>
      </c>
      <c r="F14" s="8" t="s">
        <v>119</v>
      </c>
      <c r="G14" s="9" t="s">
        <v>120</v>
      </c>
      <c r="H14" s="7" t="s">
        <v>121</v>
      </c>
      <c r="I14" s="8" t="s">
        <v>122</v>
      </c>
      <c r="J14" s="9" t="s">
        <v>123</v>
      </c>
      <c r="K14" s="8"/>
      <c r="L14" s="8" t="s">
        <v>1</v>
      </c>
      <c r="M14" s="3" t="s">
        <v>30</v>
      </c>
      <c r="N14" s="8" t="s">
        <v>2</v>
      </c>
      <c r="O14" s="8" t="s">
        <v>38</v>
      </c>
    </row>
    <row r="15" spans="1:15" ht="15" x14ac:dyDescent="0.2">
      <c r="A15" s="17" t="s">
        <v>66</v>
      </c>
      <c r="B15" s="32">
        <v>8</v>
      </c>
      <c r="C15" s="33">
        <f>SUMIF(Table1[Deck],Stats[[#This Row],[Type]],Table1[HP])/COUNTIF(Table1[Deck],Stats[[#This Row],[Type]])</f>
        <v>8</v>
      </c>
      <c r="D15" s="34">
        <f t="shared" ref="D15:D20" si="2">C15-B15</f>
        <v>0</v>
      </c>
      <c r="E15" s="32">
        <v>4</v>
      </c>
      <c r="F15" s="33" t="e">
        <f t="array" ref="F15">SUMIF(#REF!,Stats[[#This Row],[Type]],Table2[HP])/COUNTIF(#REF!,Stats[[#This Row],[Type]])</f>
        <v>#REF!</v>
      </c>
      <c r="G15" s="34" t="e">
        <f t="shared" ref="G15:G20" si="3">F15-E15</f>
        <v>#REF!</v>
      </c>
      <c r="H15" s="32">
        <v>0.5</v>
      </c>
      <c r="I15" s="33" t="e">
        <f>(SUMIF(Table1[Deck],Stats[[#This Row],[Type]],Table1[Action 2])+SUMIF(#REF!,Stats[[#This Row],[Type]],#REF!))/(COUNTIF(Table1[Deck],Stats[[#This Row],[Type]])+COUNTIF(#REF!,Stats[[#This Row],[Type]]))</f>
        <v>#REF!</v>
      </c>
      <c r="J15" s="34" t="e">
        <f t="shared" ref="J15:J20" si="4">I15-H15</f>
        <v>#REF!</v>
      </c>
      <c r="K15" s="10"/>
      <c r="L15" s="18" t="s">
        <v>66</v>
      </c>
      <c r="M15" s="33" t="e">
        <f>ROUND(2*SUMIF(Cost_Stat[Type],Table15[[#This Row],[Type]],Cost_Stat[Actual9]),0)</f>
        <v>#REF!</v>
      </c>
      <c r="N15" s="33" t="e">
        <f>Table15[[#This Row],[Cost]]*SUMIF(Cost_Stat[Type],Table15[[#This Row],[Type]],Cost_Stat[Actual])/2</f>
        <v>#REF!</v>
      </c>
      <c r="O15" s="33" t="e">
        <f>Table15[[#This Row],[Cost]]*SUMIF(Cost_Stat[Type],Table15[[#This Row],[Type]],Cost_Stat[Actual3])/2</f>
        <v>#REF!</v>
      </c>
    </row>
    <row r="16" spans="1:15" ht="15" x14ac:dyDescent="0.2">
      <c r="A16" s="17" t="s">
        <v>4</v>
      </c>
      <c r="B16" s="20">
        <v>8</v>
      </c>
      <c r="C16" s="21">
        <f>SUMIF(Table1[Deck],Stats[[#This Row],[Type]],Table1[HP])/COUNTIF(Table1[Deck],Stats[[#This Row],[Type]])</f>
        <v>8</v>
      </c>
      <c r="D16" s="22">
        <f t="shared" si="2"/>
        <v>0</v>
      </c>
      <c r="E16" s="20">
        <v>4</v>
      </c>
      <c r="F16" s="21" t="e">
        <f t="array" ref="F16">SUMIF(#REF!,Stats[[#This Row],[Type]],Table2[HP])/COUNTIF(#REF!,Stats[[#This Row],[Type]])</f>
        <v>#REF!</v>
      </c>
      <c r="G16" s="22" t="e">
        <f t="shared" si="3"/>
        <v>#REF!</v>
      </c>
      <c r="H16" s="20">
        <v>0.5</v>
      </c>
      <c r="I16" s="21" t="e">
        <f>(SUMIF(Table1[Deck],Stats[[#This Row],[Type]],Table1[Action 2])+SUMIF(#REF!,Stats[[#This Row],[Type]],#REF!))/(COUNTIF(Table1[Deck],Stats[[#This Row],[Type]])+COUNTIF(#REF!,Stats[[#This Row],[Type]]))</f>
        <v>#REF!</v>
      </c>
      <c r="J16" s="22" t="e">
        <f t="shared" si="4"/>
        <v>#REF!</v>
      </c>
      <c r="K16" s="10"/>
      <c r="L16" s="18" t="s">
        <v>4</v>
      </c>
      <c r="M16" s="21" t="e">
        <f>ROUND(2*SUMIF(Cost_Stat[Type],Table15[[#This Row],[Type]],Cost_Stat[Actual9]),0)</f>
        <v>#REF!</v>
      </c>
      <c r="N16" s="21" t="e">
        <f>Table15[[#This Row],[Cost]]*SUMIF(Cost_Stat[Type],Table15[[#This Row],[Type]],Cost_Stat[Actual])/2</f>
        <v>#REF!</v>
      </c>
      <c r="O16" s="21" t="e">
        <f>Table15[[#This Row],[Cost]]*SUMIF(Cost_Stat[Type],Table15[[#This Row],[Type]],Cost_Stat[Actual3])/2</f>
        <v>#REF!</v>
      </c>
    </row>
    <row r="17" spans="1:15" ht="15" x14ac:dyDescent="0.2">
      <c r="A17" s="17" t="s">
        <v>7</v>
      </c>
      <c r="B17" s="23">
        <v>6</v>
      </c>
      <c r="C17" s="24">
        <f>SUMIF(Table1[Deck],Stats[[#This Row],[Type]],Table1[HP])/COUNTIF(Table1[Deck],Stats[[#This Row],[Type]])</f>
        <v>8</v>
      </c>
      <c r="D17" s="25">
        <f t="shared" si="2"/>
        <v>2</v>
      </c>
      <c r="E17" s="23">
        <v>6</v>
      </c>
      <c r="F17" s="24" t="e">
        <f t="array" ref="F17">SUMIF(#REF!,Stats[[#This Row],[Type]],Table2[HP])/COUNTIF(#REF!,Stats[[#This Row],[Type]])</f>
        <v>#REF!</v>
      </c>
      <c r="G17" s="25" t="e">
        <f t="shared" si="3"/>
        <v>#REF!</v>
      </c>
      <c r="H17" s="23">
        <v>0.5</v>
      </c>
      <c r="I17" s="24" t="e">
        <f>(SUMIF(Table1[Deck],Stats[[#This Row],[Type]],Table1[Action 2])+SUMIF(#REF!,Stats[[#This Row],[Type]],#REF!))/(COUNTIF(Table1[Deck],Stats[[#This Row],[Type]])+COUNTIF(#REF!,Stats[[#This Row],[Type]]))</f>
        <v>#REF!</v>
      </c>
      <c r="J17" s="25" t="e">
        <f t="shared" si="4"/>
        <v>#REF!</v>
      </c>
      <c r="K17" s="10"/>
      <c r="L17" s="18" t="s">
        <v>7</v>
      </c>
      <c r="M17" s="24" t="e">
        <f>ROUND(2*SUMIF(Cost_Stat[Type],Table15[[#This Row],[Type]],Cost_Stat[Actual9]),0)</f>
        <v>#REF!</v>
      </c>
      <c r="N17" s="24" t="e">
        <f>Table15[[#This Row],[Cost]]*SUMIF(Cost_Stat[Type],Table15[[#This Row],[Type]],Cost_Stat[Actual])/2</f>
        <v>#REF!</v>
      </c>
      <c r="O17" s="24" t="e">
        <f>Table15[[#This Row],[Cost]]*SUMIF(Cost_Stat[Type],Table15[[#This Row],[Type]],Cost_Stat[Actual3])/2</f>
        <v>#REF!</v>
      </c>
    </row>
    <row r="18" spans="1:15" ht="15" x14ac:dyDescent="0.2">
      <c r="A18" s="17" t="s">
        <v>37</v>
      </c>
      <c r="B18" s="26">
        <v>8</v>
      </c>
      <c r="C18" s="27">
        <f>SUMIF(Table1[Deck],Stats[[#This Row],[Type]],Table1[HP])/COUNTIF(Table1[Deck],Stats[[#This Row],[Type]])</f>
        <v>8</v>
      </c>
      <c r="D18" s="28">
        <f t="shared" si="2"/>
        <v>0</v>
      </c>
      <c r="E18" s="26">
        <v>4</v>
      </c>
      <c r="F18" s="27" t="e">
        <f t="array" ref="F18">SUMIF(#REF!,Stats[[#This Row],[Type]],Table2[HP])/COUNTIF(#REF!,Stats[[#This Row],[Type]])</f>
        <v>#REF!</v>
      </c>
      <c r="G18" s="28" t="e">
        <f t="shared" si="3"/>
        <v>#REF!</v>
      </c>
      <c r="H18" s="26">
        <v>0.5</v>
      </c>
      <c r="I18" s="27" t="e">
        <f>(SUMIF(Table1[Deck],Stats[[#This Row],[Type]],Table1[Action 2])+SUMIF(#REF!,Stats[[#This Row],[Type]],#REF!))/(COUNTIF(Table1[Deck],Stats[[#This Row],[Type]])+COUNTIF(#REF!,Stats[[#This Row],[Type]]))</f>
        <v>#REF!</v>
      </c>
      <c r="J18" s="28" t="e">
        <f t="shared" si="4"/>
        <v>#REF!</v>
      </c>
      <c r="K18" s="10"/>
      <c r="L18" s="18" t="s">
        <v>37</v>
      </c>
      <c r="M18" s="27" t="e">
        <f>ROUND(2*SUMIF(Cost_Stat[Type],Table15[[#This Row],[Type]],Cost_Stat[Actual9]),0)</f>
        <v>#REF!</v>
      </c>
      <c r="N18" s="27" t="e">
        <f>Table15[[#This Row],[Cost]]*SUMIF(Cost_Stat[Type],Table15[[#This Row],[Type]],Cost_Stat[Actual])/2</f>
        <v>#REF!</v>
      </c>
      <c r="O18" s="27" t="e">
        <f>Table15[[#This Row],[Cost]]*SUMIF(Cost_Stat[Type],Table15[[#This Row],[Type]],Cost_Stat[Actual3])/2</f>
        <v>#REF!</v>
      </c>
    </row>
    <row r="19" spans="1:15" ht="15" x14ac:dyDescent="0.2">
      <c r="A19" s="17" t="s">
        <v>11</v>
      </c>
      <c r="B19" s="29">
        <v>6</v>
      </c>
      <c r="C19" s="30">
        <f>SUMIF(Table1[Deck],Stats[[#This Row],[Type]],Table1[HP])/COUNTIF(Table1[Deck],Stats[[#This Row],[Type]])</f>
        <v>8</v>
      </c>
      <c r="D19" s="31">
        <f t="shared" si="2"/>
        <v>2</v>
      </c>
      <c r="E19" s="29">
        <v>2</v>
      </c>
      <c r="F19" s="30" t="e">
        <f t="array" ref="F19">SUMIF(#REF!,Stats[[#This Row],[Type]],Table2[HP])/COUNTIF(#REF!,Stats[[#This Row],[Type]])</f>
        <v>#REF!</v>
      </c>
      <c r="G19" s="31" t="e">
        <f t="shared" si="3"/>
        <v>#REF!</v>
      </c>
      <c r="H19" s="29">
        <v>0.5</v>
      </c>
      <c r="I19" s="30" t="e">
        <f>(SUMIF(Table1[Deck],Stats[[#This Row],[Type]],Table1[Action 2])+SUMIF(#REF!,Stats[[#This Row],[Type]],#REF!))/(COUNTIF(Table1[Deck],Stats[[#This Row],[Type]])+COUNTIF(#REF!,Stats[[#This Row],[Type]]))</f>
        <v>#REF!</v>
      </c>
      <c r="J19" s="31" t="e">
        <f t="shared" si="4"/>
        <v>#REF!</v>
      </c>
      <c r="K19" s="10"/>
      <c r="L19" s="18" t="s">
        <v>11</v>
      </c>
      <c r="M19" s="30" t="e">
        <f>ROUND(2*SUMIF(Cost_Stat[Type],Table15[[#This Row],[Type]],Cost_Stat[Actual9]),0)</f>
        <v>#REF!</v>
      </c>
      <c r="N19" s="30" t="e">
        <f>Table15[[#This Row],[Cost]]*SUMIF(Cost_Stat[Type],Table15[[#This Row],[Type]],Cost_Stat[Actual])/2</f>
        <v>#REF!</v>
      </c>
      <c r="O19" s="30" t="e">
        <f>Table15[[#This Row],[Cost]]*SUMIF(Cost_Stat[Type],Table15[[#This Row],[Type]],Cost_Stat[Actual3])/2</f>
        <v>#REF!</v>
      </c>
    </row>
    <row r="20" spans="1:15" ht="15.75" thickBot="1" x14ac:dyDescent="0.25">
      <c r="A20" s="17" t="s">
        <v>17</v>
      </c>
      <c r="B20" s="35">
        <v>12</v>
      </c>
      <c r="C20" s="36">
        <f>SUMIF(Table1[Deck],Stats[[#This Row],[Type]],Table1[HP])/COUNTIF(Table1[Deck],Stats[[#This Row],[Type]])</f>
        <v>8</v>
      </c>
      <c r="D20" s="37">
        <f t="shared" si="2"/>
        <v>-4</v>
      </c>
      <c r="E20" s="35">
        <v>6</v>
      </c>
      <c r="F20" s="36" t="e">
        <f t="array" ref="F20">SUMIF(#REF!,Stats[[#This Row],[Type]],Table2[HP])/COUNTIF(#REF!,Stats[[#This Row],[Type]])</f>
        <v>#REF!</v>
      </c>
      <c r="G20" s="37" t="e">
        <f t="shared" si="3"/>
        <v>#REF!</v>
      </c>
      <c r="H20" s="35">
        <v>0.5</v>
      </c>
      <c r="I20" s="36" t="e">
        <f>(SUMIF(Table1[Deck],Stats[[#This Row],[Type]],Table1[Action 2])+SUMIF(#REF!,Stats[[#This Row],[Type]],#REF!))/(COUNTIF(Table1[Deck],Stats[[#This Row],[Type]])+COUNTIF(#REF!,Stats[[#This Row],[Type]]))</f>
        <v>#REF!</v>
      </c>
      <c r="J20" s="37" t="e">
        <f t="shared" si="4"/>
        <v>#REF!</v>
      </c>
      <c r="K20" s="10"/>
      <c r="L20" s="18" t="s">
        <v>17</v>
      </c>
      <c r="M20" s="19" t="e">
        <f>ROUND(2*SUMIF(Cost_Stat[Type],Table15[[#This Row],[Type]],Cost_Stat[Actual9]),0)</f>
        <v>#REF!</v>
      </c>
      <c r="N20" s="19" t="e">
        <f>Table15[[#This Row],[Cost]]*SUMIF(Cost_Stat[Type],Table15[[#This Row],[Type]],Cost_Stat[Actual])/2</f>
        <v>#REF!</v>
      </c>
      <c r="O20" s="19" t="e">
        <f>Table15[[#This Row],[Cost]]*SUMIF(Cost_Stat[Type],Table15[[#This Row],[Type]],Cost_Stat[Actual3])/2</f>
        <v>#REF!</v>
      </c>
    </row>
    <row r="21" spans="1:15" ht="15" thickBot="1" x14ac:dyDescent="0.25">
      <c r="B21" s="10"/>
      <c r="C21" s="10"/>
      <c r="D21" s="10"/>
      <c r="E21" s="10"/>
      <c r="F21" s="10"/>
      <c r="G21" s="10"/>
      <c r="H21" s="10"/>
      <c r="I21" s="10"/>
      <c r="J21" s="10"/>
    </row>
    <row r="22" spans="1:15" ht="18.75" thickBot="1" x14ac:dyDescent="0.3">
      <c r="B22" s="86" t="s">
        <v>129</v>
      </c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8"/>
    </row>
    <row r="23" spans="1:15" ht="15" x14ac:dyDescent="0.25">
      <c r="B23" s="83" t="s">
        <v>2</v>
      </c>
      <c r="C23" s="84"/>
      <c r="D23" s="85"/>
      <c r="E23" s="83" t="s">
        <v>38</v>
      </c>
      <c r="F23" s="84"/>
      <c r="G23" s="85"/>
      <c r="H23" s="83" t="s">
        <v>114</v>
      </c>
      <c r="I23" s="84"/>
      <c r="J23" s="85"/>
      <c r="K23" s="83" t="s">
        <v>130</v>
      </c>
      <c r="L23" s="84"/>
      <c r="M23" s="85"/>
    </row>
    <row r="24" spans="1:15" x14ac:dyDescent="0.2">
      <c r="A24" s="3" t="s">
        <v>1</v>
      </c>
      <c r="B24" s="7" t="s">
        <v>115</v>
      </c>
      <c r="C24" s="8" t="s">
        <v>116</v>
      </c>
      <c r="D24" s="9" t="s">
        <v>117</v>
      </c>
      <c r="E24" s="7" t="s">
        <v>118</v>
      </c>
      <c r="F24" s="8" t="s">
        <v>119</v>
      </c>
      <c r="G24" s="9" t="s">
        <v>120</v>
      </c>
      <c r="H24" s="7" t="s">
        <v>121</v>
      </c>
      <c r="I24" s="8" t="s">
        <v>122</v>
      </c>
      <c r="J24" s="9" t="s">
        <v>123</v>
      </c>
      <c r="K24" s="7" t="s">
        <v>124</v>
      </c>
      <c r="L24" s="8" t="s">
        <v>125</v>
      </c>
      <c r="M24" s="9" t="s">
        <v>126</v>
      </c>
    </row>
    <row r="25" spans="1:15" ht="15" x14ac:dyDescent="0.2">
      <c r="A25" s="17" t="s">
        <v>66</v>
      </c>
      <c r="B25" s="32">
        <v>6</v>
      </c>
      <c r="C25" s="33">
        <f>SUMIF(Table1[Deck],Cost_Stat[[#This Row],[Type]],Table1[HP])/SUMIF(Table1[Deck],Cost_Stat[[#This Row],[Type]],Table1[Cost])</f>
        <v>2.6666666666666665</v>
      </c>
      <c r="D25" s="34">
        <f t="shared" ref="D25:D30" si="5">C25-B25</f>
        <v>-3.3333333333333335</v>
      </c>
      <c r="E25" s="32">
        <v>2</v>
      </c>
      <c r="F25" s="33" t="e">
        <f>SUMIF(#REF!,Cost_Stat[[#This Row],[Type]],Table2[HP])/SUMIF(#REF!,Cost_Stat[[#This Row],[Type]],Table2[Cost])</f>
        <v>#REF!</v>
      </c>
      <c r="G25" s="34" t="e">
        <f t="shared" ref="G25:G30" si="6">F25-E25</f>
        <v>#REF!</v>
      </c>
      <c r="H25" s="32">
        <v>1</v>
      </c>
      <c r="I25" s="33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5" s="34" t="e">
        <f t="shared" ref="J25:J30" si="7">I25-H25</f>
        <v>#REF!</v>
      </c>
      <c r="K25" s="32">
        <v>1.5</v>
      </c>
      <c r="L25" s="33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5" s="34" t="e">
        <f t="shared" ref="M25:M30" si="8">L25-K25</f>
        <v>#REF!</v>
      </c>
    </row>
    <row r="26" spans="1:15" ht="15" x14ac:dyDescent="0.2">
      <c r="A26" s="17" t="s">
        <v>4</v>
      </c>
      <c r="B26" s="20">
        <v>6</v>
      </c>
      <c r="C26" s="21">
        <f>SUMIF(Table1[Deck],Cost_Stat[[#This Row],[Type]],Table1[HP])/SUMIF(Table1[Deck],Cost_Stat[[#This Row],[Type]],Table1[Cost])</f>
        <v>2.6666666666666665</v>
      </c>
      <c r="D26" s="22">
        <f t="shared" si="5"/>
        <v>-3.3333333333333335</v>
      </c>
      <c r="E26" s="20">
        <v>2</v>
      </c>
      <c r="F26" s="21" t="e">
        <f>SUMIF(#REF!,Cost_Stat[[#This Row],[Type]],Table2[HP])/SUMIF(#REF!,Cost_Stat[[#This Row],[Type]],Table2[Cost])</f>
        <v>#REF!</v>
      </c>
      <c r="G26" s="22" t="e">
        <f t="shared" si="6"/>
        <v>#REF!</v>
      </c>
      <c r="H26" s="20">
        <v>1</v>
      </c>
      <c r="I26" s="21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6" s="22" t="e">
        <f t="shared" si="7"/>
        <v>#REF!</v>
      </c>
      <c r="K26" s="20">
        <v>1.5</v>
      </c>
      <c r="L26" s="21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6" s="22" t="e">
        <f t="shared" si="8"/>
        <v>#REF!</v>
      </c>
    </row>
    <row r="27" spans="1:15" ht="15" x14ac:dyDescent="0.2">
      <c r="A27" s="17" t="s">
        <v>7</v>
      </c>
      <c r="B27" s="23">
        <v>4</v>
      </c>
      <c r="C27" s="24">
        <f>SUMIF(Table1[Deck],Cost_Stat[[#This Row],[Type]],Table1[HP])/SUMIF(Table1[Deck],Cost_Stat[[#This Row],[Type]],Table1[Cost])</f>
        <v>2.6666666666666665</v>
      </c>
      <c r="D27" s="25">
        <f t="shared" si="5"/>
        <v>-1.3333333333333335</v>
      </c>
      <c r="E27" s="23">
        <v>4</v>
      </c>
      <c r="F27" s="24" t="e">
        <f>SUMIF(#REF!,Cost_Stat[[#This Row],[Type]],Table2[HP])/SUMIF(#REF!,Cost_Stat[[#This Row],[Type]],Table2[Cost])</f>
        <v>#REF!</v>
      </c>
      <c r="G27" s="25" t="e">
        <f t="shared" si="6"/>
        <v>#REF!</v>
      </c>
      <c r="H27" s="23">
        <v>1</v>
      </c>
      <c r="I27" s="24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7" s="25" t="e">
        <f t="shared" si="7"/>
        <v>#REF!</v>
      </c>
      <c r="K27" s="23">
        <v>1.5</v>
      </c>
      <c r="L27" s="24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7" s="25" t="e">
        <f t="shared" si="8"/>
        <v>#REF!</v>
      </c>
    </row>
    <row r="28" spans="1:15" ht="15" x14ac:dyDescent="0.2">
      <c r="A28" s="17" t="s">
        <v>37</v>
      </c>
      <c r="B28" s="26">
        <v>6</v>
      </c>
      <c r="C28" s="27">
        <f>SUMIF(Table1[Deck],Cost_Stat[[#This Row],[Type]],Table1[HP])/SUMIF(Table1[Deck],Cost_Stat[[#This Row],[Type]],Table1[Cost])</f>
        <v>2.6666666666666665</v>
      </c>
      <c r="D28" s="28">
        <f t="shared" si="5"/>
        <v>-3.3333333333333335</v>
      </c>
      <c r="E28" s="26">
        <v>2</v>
      </c>
      <c r="F28" s="27" t="e">
        <f>SUMIF(#REF!,Cost_Stat[[#This Row],[Type]],Table2[HP])/SUMIF(#REF!,Cost_Stat[[#This Row],[Type]],Table2[Cost])</f>
        <v>#REF!</v>
      </c>
      <c r="G28" s="28" t="e">
        <f t="shared" si="6"/>
        <v>#REF!</v>
      </c>
      <c r="H28" s="26">
        <v>1</v>
      </c>
      <c r="I28" s="27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8" s="28" t="e">
        <f t="shared" si="7"/>
        <v>#REF!</v>
      </c>
      <c r="K28" s="26">
        <v>1.5</v>
      </c>
      <c r="L28" s="27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8" s="28" t="e">
        <f t="shared" si="8"/>
        <v>#REF!</v>
      </c>
    </row>
    <row r="29" spans="1:15" ht="15" x14ac:dyDescent="0.2">
      <c r="A29" s="17" t="s">
        <v>11</v>
      </c>
      <c r="B29" s="29">
        <v>6</v>
      </c>
      <c r="C29" s="30">
        <f>SUMIF(Table1[Deck],Cost_Stat[[#This Row],[Type]],Table1[HP])/SUMIF(Table1[Deck],Cost_Stat[[#This Row],[Type]],Table1[Cost])</f>
        <v>2.6666666666666665</v>
      </c>
      <c r="D29" s="31">
        <f t="shared" si="5"/>
        <v>-3.3333333333333335</v>
      </c>
      <c r="E29" s="29">
        <v>2</v>
      </c>
      <c r="F29" s="30" t="e">
        <f>SUMIF(#REF!,Cost_Stat[[#This Row],[Type]],Table2[HP])/SUMIF(#REF!,Cost_Stat[[#This Row],[Type]],Table2[Cost])</f>
        <v>#REF!</v>
      </c>
      <c r="G29" s="31" t="e">
        <f t="shared" si="6"/>
        <v>#REF!</v>
      </c>
      <c r="H29" s="29">
        <v>1</v>
      </c>
      <c r="I29" s="30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9" s="31" t="e">
        <f t="shared" si="7"/>
        <v>#REF!</v>
      </c>
      <c r="K29" s="29">
        <v>1</v>
      </c>
      <c r="L29" s="30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9" s="31" t="e">
        <f t="shared" si="8"/>
        <v>#REF!</v>
      </c>
    </row>
    <row r="30" spans="1:15" ht="15.75" thickBot="1" x14ac:dyDescent="0.25">
      <c r="A30" s="17" t="s">
        <v>17</v>
      </c>
      <c r="B30" s="35">
        <v>8</v>
      </c>
      <c r="C30" s="36">
        <f>SUMIF(Table1[Deck],Cost_Stat[[#This Row],[Type]],Table1[HP])/SUMIF(Table1[Deck],Cost_Stat[[#This Row],[Type]],Table1[Cost])</f>
        <v>2.6666666666666665</v>
      </c>
      <c r="D30" s="37">
        <f t="shared" si="5"/>
        <v>-5.3333333333333339</v>
      </c>
      <c r="E30" s="35">
        <v>4</v>
      </c>
      <c r="F30" s="36" t="e">
        <f>SUMIF(#REF!,Cost_Stat[[#This Row],[Type]],Table2[HP])/SUMIF(#REF!,Cost_Stat[[#This Row],[Type]],Table2[Cost])</f>
        <v>#REF!</v>
      </c>
      <c r="G30" s="37" t="e">
        <f t="shared" si="6"/>
        <v>#REF!</v>
      </c>
      <c r="H30" s="35">
        <v>1</v>
      </c>
      <c r="I30" s="36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30" s="37" t="e">
        <f t="shared" si="7"/>
        <v>#REF!</v>
      </c>
      <c r="K30" s="35">
        <v>1.5</v>
      </c>
      <c r="L30" s="36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30" s="37" t="e">
        <f t="shared" si="8"/>
        <v>#REF!</v>
      </c>
    </row>
  </sheetData>
  <mergeCells count="14">
    <mergeCell ref="B2:G2"/>
    <mergeCell ref="I2:L2"/>
    <mergeCell ref="M13:N13"/>
    <mergeCell ref="B13:D13"/>
    <mergeCell ref="E13:G13"/>
    <mergeCell ref="H13:J13"/>
    <mergeCell ref="B3:D3"/>
    <mergeCell ref="E3:G3"/>
    <mergeCell ref="B23:D23"/>
    <mergeCell ref="E23:G23"/>
    <mergeCell ref="H23:J23"/>
    <mergeCell ref="K23:M23"/>
    <mergeCell ref="B12:J12"/>
    <mergeCell ref="B22:M22"/>
  </mergeCells>
  <conditionalFormatting sqref="B5:G10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{729DC34B-857D-43FB-908E-69E55F33C7AD}</x14:id>
        </ext>
      </extLst>
    </cfRule>
  </conditionalFormatting>
  <conditionalFormatting sqref="B15:K20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{C6EEAB4C-A3F6-48F0-A1DA-583F252E26DA}</x14:id>
        </ext>
      </extLst>
    </cfRule>
  </conditionalFormatting>
  <conditionalFormatting sqref="B1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">
    <cfRule type="colorScale" priority="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">
    <cfRule type="colorScale" priority="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">
    <cfRule type="colorScale" priority="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0">
    <cfRule type="cellIs" dxfId="24" priority="36" operator="equal">
      <formula>"Preserve"</formula>
    </cfRule>
    <cfRule type="cellIs" dxfId="23" priority="37" operator="equal">
      <formula>"Cultivate"</formula>
    </cfRule>
    <cfRule type="cellIs" dxfId="22" priority="38" operator="equal">
      <formula>"Convert"</formula>
    </cfRule>
    <cfRule type="cellIs" dxfId="21" priority="39" operator="equal">
      <formula>"Consume"</formula>
    </cfRule>
    <cfRule type="cellIs" dxfId="20" priority="40" operator="equal">
      <formula>"Augment"</formula>
    </cfRule>
    <cfRule type="cellIs" dxfId="19" priority="41" operator="equal">
      <formula>"Acquire"</formula>
    </cfRule>
  </conditionalFormatting>
  <conditionalFormatting sqref="A15:A20">
    <cfRule type="cellIs" dxfId="18" priority="30" operator="equal">
      <formula>"Preserve"</formula>
    </cfRule>
    <cfRule type="cellIs" dxfId="17" priority="31" operator="equal">
      <formula>"Cultivate"</formula>
    </cfRule>
    <cfRule type="cellIs" dxfId="16" priority="32" operator="equal">
      <formula>"Convert"</formula>
    </cfRule>
    <cfRule type="cellIs" dxfId="15" priority="33" operator="equal">
      <formula>"Consume"</formula>
    </cfRule>
    <cfRule type="cellIs" dxfId="14" priority="34" operator="equal">
      <formula>"Augment"</formula>
    </cfRule>
    <cfRule type="cellIs" dxfId="13" priority="35" operator="equal">
      <formula>"Acquire"</formula>
    </cfRule>
  </conditionalFormatting>
  <conditionalFormatting sqref="A25:A30">
    <cfRule type="cellIs" dxfId="12" priority="18" operator="equal">
      <formula>"Preserve"</formula>
    </cfRule>
    <cfRule type="cellIs" dxfId="11" priority="19" operator="equal">
      <formula>"Cultivate"</formula>
    </cfRule>
    <cfRule type="cellIs" dxfId="10" priority="20" operator="equal">
      <formula>"Convert"</formula>
    </cfRule>
    <cfRule type="cellIs" dxfId="9" priority="21" operator="equal">
      <formula>"Consume"</formula>
    </cfRule>
    <cfRule type="cellIs" dxfId="8" priority="22" operator="equal">
      <formula>"Augment"</formula>
    </cfRule>
    <cfRule type="cellIs" dxfId="7" priority="23" operator="equal">
      <formula>"Acquire"</formula>
    </cfRule>
  </conditionalFormatting>
  <conditionalFormatting sqref="B25:C30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{08DB29BC-E5D8-41AB-A944-928C684D9A68}</x14:id>
        </ext>
      </extLst>
    </cfRule>
  </conditionalFormatting>
  <conditionalFormatting sqref="E25:F30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{785223E2-4CCC-46C5-ACB3-A0A2DA3733B2}</x14:id>
        </ext>
      </extLst>
    </cfRule>
  </conditionalFormatting>
  <conditionalFormatting sqref="H25:I30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{E9C886D0-5DBC-4CE6-9607-D17001EC4D94}</x14:id>
        </ext>
      </extLst>
    </cfRule>
  </conditionalFormatting>
  <conditionalFormatting sqref="K25:L3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{818FA566-F350-401B-848C-69EE044680DD}</x14:id>
        </ext>
      </extLst>
    </cfRule>
  </conditionalFormatting>
  <conditionalFormatting sqref="D25:D30 G25:G30 J25:J30 M25:M30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{2F1CC51F-C349-44A1-823E-65EECA2BB087}</x14:id>
        </ext>
      </extLst>
    </cfRule>
  </conditionalFormatting>
  <conditionalFormatting sqref="L15:L20">
    <cfRule type="cellIs" dxfId="6" priority="5" operator="equal">
      <formula>"Preserve"</formula>
    </cfRule>
    <cfRule type="cellIs" dxfId="5" priority="6" operator="equal">
      <formula>"Cultivate"</formula>
    </cfRule>
    <cfRule type="cellIs" dxfId="4" priority="7" operator="equal">
      <formula>"Convert"</formula>
    </cfRule>
    <cfRule type="cellIs" dxfId="3" priority="8" operator="equal">
      <formula>"Consume"</formula>
    </cfRule>
    <cfRule type="cellIs" dxfId="2" priority="9" operator="equal">
      <formula>"Augment"</formula>
    </cfRule>
    <cfRule type="cellIs" dxfId="1" priority="10" operator="equal">
      <formula>"Acquire"</formula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9DC34B-857D-43FB-908E-69E55F33C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B5:G10</xm:sqref>
        </x14:conditionalFormatting>
        <x14:conditionalFormatting xmlns:xm="http://schemas.microsoft.com/office/excel/2006/main">
          <x14:cfRule type="dataBar" id="{C6EEAB4C-A3F6-48F0-A1DA-583F252E26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B15:K20</xm:sqref>
        </x14:conditionalFormatting>
        <x14:conditionalFormatting xmlns:xm="http://schemas.microsoft.com/office/excel/2006/main">
          <x14:cfRule type="dataBar" id="{08DB29BC-E5D8-41AB-A944-928C684D9A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B25:C30</xm:sqref>
        </x14:conditionalFormatting>
        <x14:conditionalFormatting xmlns:xm="http://schemas.microsoft.com/office/excel/2006/main">
          <x14:cfRule type="dataBar" id="{785223E2-4CCC-46C5-ACB3-A0A2DA3733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E25:F30</xm:sqref>
        </x14:conditionalFormatting>
        <x14:conditionalFormatting xmlns:xm="http://schemas.microsoft.com/office/excel/2006/main">
          <x14:cfRule type="dataBar" id="{E9C886D0-5DBC-4CE6-9607-D17001EC4D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H25:I30</xm:sqref>
        </x14:conditionalFormatting>
        <x14:conditionalFormatting xmlns:xm="http://schemas.microsoft.com/office/excel/2006/main">
          <x14:cfRule type="dataBar" id="{818FA566-F350-401B-848C-69EE044680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K25:L30</xm:sqref>
        </x14:conditionalFormatting>
        <x14:conditionalFormatting xmlns:xm="http://schemas.microsoft.com/office/excel/2006/main">
          <x14:cfRule type="dataBar" id="{2F1CC51F-C349-44A1-823E-65EECA2BB0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D25:D30 G25:G30 J25:J30 M25:M30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3AA-5974-40EC-BB86-435967AC9781}">
  <dimension ref="A1:Q7"/>
  <sheetViews>
    <sheetView workbookViewId="0">
      <selection activeCell="C3" sqref="C3"/>
    </sheetView>
  </sheetViews>
  <sheetFormatPr defaultRowHeight="15" x14ac:dyDescent="0.25"/>
  <cols>
    <col min="2" max="2" width="12.140625" customWidth="1"/>
    <col min="4" max="4" width="11.5703125" bestFit="1" customWidth="1"/>
    <col min="8" max="10" width="10.42578125" customWidth="1"/>
    <col min="12" max="12" width="18.85546875" bestFit="1" customWidth="1"/>
    <col min="16" max="16" width="10.28515625" bestFit="1" customWidth="1"/>
  </cols>
  <sheetData>
    <row r="1" spans="1:17" x14ac:dyDescent="0.25">
      <c r="A1" t="s">
        <v>1</v>
      </c>
      <c r="B1" t="s">
        <v>91</v>
      </c>
      <c r="C1" t="s">
        <v>92</v>
      </c>
      <c r="D1" t="s">
        <v>0</v>
      </c>
      <c r="E1" t="s">
        <v>30</v>
      </c>
      <c r="F1" t="s">
        <v>38</v>
      </c>
      <c r="G1" t="s">
        <v>2</v>
      </c>
      <c r="H1" t="s">
        <v>93</v>
      </c>
      <c r="I1" t="s">
        <v>94</v>
      </c>
      <c r="J1" t="s">
        <v>107</v>
      </c>
      <c r="K1" t="s">
        <v>95</v>
      </c>
      <c r="L1" t="s">
        <v>96</v>
      </c>
      <c r="M1" t="s">
        <v>97</v>
      </c>
      <c r="N1" t="s">
        <v>57</v>
      </c>
      <c r="O1" t="s">
        <v>98</v>
      </c>
      <c r="P1" t="s">
        <v>32</v>
      </c>
      <c r="Q1" t="s">
        <v>108</v>
      </c>
    </row>
    <row r="2" spans="1:17" x14ac:dyDescent="0.25">
      <c r="A2" t="s">
        <v>66</v>
      </c>
      <c r="B2" t="e" cm="1">
        <f t="array" aca="1" ref="B2" ca="1">INDEX(Table2[Name],LARGE(IF(#REF!=Table8[[#This Row],[Type]],ROW(#REF!)-1),INT(RAND()*COUNTIF(#REF!,Table8[[#This Row],[Type]])+1)))</f>
        <v>#REF!</v>
      </c>
      <c r="C2" t="str" cm="1">
        <f t="array" aca="1" ref="C2" ca="1">INDEX(Table1[Name],LARGE(IF(Table1[Deck]=Table8[[#This Row],[Type]],ROW(Table1[Deck])-1),INT(RAND()*COUNTIF(Table1[Deck],Table8[[#This Row],[Type]])+1)))</f>
        <v>klum</v>
      </c>
      <c r="D2" t="e">
        <f t="shared" ref="D2:D7" ca="1" si="0">_xlfn.CONCAT(B2,C2)</f>
        <v>#REF!</v>
      </c>
      <c r="E2" t="e">
        <f ca="1">SUM(_xlfn.XLOOKUP(Table8[[#This Row],[Generator]],Table2[Name],Table2[Cost]),_xlfn.XLOOKUP(Table8[[#This Row],[Frame]],Table1[Name],Table1[Cost]))</f>
        <v>#REF!</v>
      </c>
      <c r="F2" t="e">
        <f ca="1">_xlfn.XLOOKUP(B2,Table2[Name],Table2[HP])</f>
        <v>#REF!</v>
      </c>
      <c r="G2">
        <f ca="1">_xlfn.XLOOKUP(C2,Table1[Name],Table1[HP])</f>
        <v>8</v>
      </c>
      <c r="H2" t="e">
        <f ca="1">_xlfn.XLOOKUP(B2,Table2[Name],Table2[Ability 12])</f>
        <v>#REF!</v>
      </c>
      <c r="I2" t="str">
        <f ca="1">_xlfn.XLOOKUP(C2,Table1[Name],Table1[Action 1])</f>
        <v>Incentivize</v>
      </c>
      <c r="J2" t="e">
        <f ca="1">(Table8[[#This Row],[PP]]+(Table8[[#This Row],[HP]]/2)+IF(Table8[[#This Row],[Ability 1]]=0,0,1)+IF(Table8[[#This Row],[Ability 2]]=0,0,1))/(Table8[[#This Row],[Cost]]+1)</f>
        <v>#REF!</v>
      </c>
      <c r="K2" t="str" cm="1">
        <f t="array" aca="1" ref="K2" ca="1">INDEX(Table3[Name],INT(RAND()*COUNTA(Table3[Name])+1))</f>
        <v>Cura</v>
      </c>
      <c r="L2" t="e">
        <f ca="1">_xlfn.CONCAT(Table8[[#This Row],[Generator]],Table8[[#This Row],[Part 1]],Table8[[#This Row],[Frame]])</f>
        <v>#REF!</v>
      </c>
      <c r="M2" t="e">
        <f ca="1">SUM(Table8[[#This Row],[Cost]],_xlfn.XLOOKUP(Table8[[#This Row],[Part 1]],Table3[Name],Table3[Cost]))</f>
        <v>#REF!</v>
      </c>
      <c r="N2" t="e">
        <f ca="1">SUM(Table8[[#This Row],[PP]],_xlfn.XLOOKUP(Table8[[#This Row],[Part 1]],Table3[Name],Table3[Action]))</f>
        <v>#REF!</v>
      </c>
      <c r="O2">
        <f ca="1">SUM(Table8[[#This Row],[HP]],_xlfn.XLOOKUP(Table8[[#This Row],[Part 1]],Table3[Name],Table3[HP]))</f>
        <v>12</v>
      </c>
      <c r="P2" t="e">
        <f ca="1">_xlfn.XLOOKUP(Table8[[#This Row],[Part 1]],Table3[Name],#REF!)</f>
        <v>#REF!</v>
      </c>
      <c r="Q2" s="2" t="e">
        <f ca="1">(Table8[[#This Row],[PP2]]+(Table8[[#This Row],[HP2]]/2)+IF(Table8[[#This Row],[Ability 1]]=0,0,1)+IF(Table8[[#This Row],[Ability 2]]=0,0,1))/(Table8[[#This Row],[Cost]]+1)</f>
        <v>#REF!</v>
      </c>
    </row>
    <row r="3" spans="1:17" x14ac:dyDescent="0.25">
      <c r="A3" t="s">
        <v>4</v>
      </c>
      <c r="B3" t="e" cm="1">
        <f t="array" aca="1" ref="B3" ca="1">INDEX(Table2[Name],LARGE(IF(#REF!=Table8[[#This Row],[Type]],ROW(#REF!)-1),INT(RAND()*COUNTIF(#REF!,Table8[[#This Row],[Type]])+1)))</f>
        <v>#REF!</v>
      </c>
      <c r="C3" t="str" cm="1">
        <f t="array" aca="1" ref="C3" ca="1">INDEX(Table1[Name],LARGE(IF(Table1[Deck]=Table8[[#This Row],[Type]],ROW(Table1[Deck])-1),INT(RAND()*COUNTIF(Table1[Deck],Table8[[#This Row],[Type]])+1)))</f>
        <v>neon</v>
      </c>
      <c r="D3" t="e">
        <f t="shared" ca="1" si="0"/>
        <v>#REF!</v>
      </c>
      <c r="E3" t="e">
        <f ca="1">SUM(_xlfn.XLOOKUP(Table8[[#This Row],[Generator]],Table2[Name],Table2[Cost]),_xlfn.XLOOKUP(Table8[[#This Row],[Frame]],Table1[Name],Table1[Cost]))</f>
        <v>#REF!</v>
      </c>
      <c r="F3" t="e">
        <f ca="1">_xlfn.XLOOKUP(B3,Table2[Name],Table2[HP])</f>
        <v>#REF!</v>
      </c>
      <c r="G3">
        <f ca="1">_xlfn.XLOOKUP(C3,Table1[Name],Table1[HP])</f>
        <v>8</v>
      </c>
      <c r="H3" t="e">
        <f ca="1">_xlfn.XLOOKUP(B3,Table2[Name],Table2[Ability 12])</f>
        <v>#REF!</v>
      </c>
      <c r="I3" t="str">
        <f ca="1">_xlfn.XLOOKUP(C3,Table1[Name],Table1[Action 1])</f>
        <v>Deplete</v>
      </c>
      <c r="J3" t="e">
        <f ca="1">(Table8[[#This Row],[PP]]+(Table8[[#This Row],[HP]]/2)+IF(Table8[[#This Row],[Ability 1]]=0,0,1)+IF(Table8[[#This Row],[Ability 2]]=0,0,1))/(Table8[[#This Row],[Cost]]+1)</f>
        <v>#REF!</v>
      </c>
      <c r="K3" t="str" cm="1">
        <f t="array" aca="1" ref="K3" ca="1">INDEX(Table3[Name],INT(RAND()*COUNTA(Table3[Name])+1))</f>
        <v>Cura</v>
      </c>
      <c r="L3" t="e">
        <f ca="1">_xlfn.CONCAT(Table8[[#This Row],[Generator]],Table8[[#This Row],[Part 1]],Table8[[#This Row],[Frame]])</f>
        <v>#REF!</v>
      </c>
      <c r="M3" t="e">
        <f ca="1">SUM(Table8[[#This Row],[Cost]],_xlfn.XLOOKUP(Table8[[#This Row],[Part 1]],Table3[Name],Table3[Cost]))</f>
        <v>#REF!</v>
      </c>
      <c r="N3" t="e">
        <f ca="1">SUM(Table8[[#This Row],[PP]],_xlfn.XLOOKUP(Table8[[#This Row],[Part 1]],Table3[Name],Table3[Action]))</f>
        <v>#REF!</v>
      </c>
      <c r="O3">
        <f ca="1">SUM(Table8[[#This Row],[HP]],_xlfn.XLOOKUP(Table8[[#This Row],[Part 1]],Table3[Name],Table3[HP]))</f>
        <v>12</v>
      </c>
      <c r="P3" t="e">
        <f ca="1">_xlfn.XLOOKUP(Table8[[#This Row],[Part 1]],Table3[Name],#REF!)</f>
        <v>#REF!</v>
      </c>
      <c r="Q3" s="2" t="e">
        <f ca="1">(Table8[[#This Row],[PP2]]+(Table8[[#This Row],[HP2]]/2)+IF(Table8[[#This Row],[Ability 1]]=0,0,1)+IF(Table8[[#This Row],[Ability 2]]=0,0,1))/(Table8[[#This Row],[Cost]]+1)</f>
        <v>#REF!</v>
      </c>
    </row>
    <row r="4" spans="1:17" x14ac:dyDescent="0.25">
      <c r="A4" t="s">
        <v>37</v>
      </c>
      <c r="B4" t="e" cm="1">
        <f t="array" aca="1" ref="B4" ca="1">INDEX(Table2[Name],LARGE(IF(#REF!=Table8[[#This Row],[Type]],ROW(#REF!)-1),INT(RAND()*COUNTIF(#REF!,Table8[[#This Row],[Type]])+1)))</f>
        <v>#REF!</v>
      </c>
      <c r="C4" t="str" cm="1">
        <f t="array" aca="1" ref="C4" ca="1">INDEX(Table1[Name],LARGE(IF(Table1[Deck]=Table8[[#This Row],[Type]],ROW(Table1[Deck])-1),INT(RAND()*COUNTIF(Table1[Deck],Table8[[#This Row],[Type]])+1)))</f>
        <v>nax</v>
      </c>
      <c r="D4" t="e">
        <f t="shared" ca="1" si="0"/>
        <v>#REF!</v>
      </c>
      <c r="E4" t="e">
        <f ca="1">SUM(_xlfn.XLOOKUP(Table8[[#This Row],[Generator]],Table2[Name],Table2[Cost]),_xlfn.XLOOKUP(Table8[[#This Row],[Frame]],Table1[Name],Table1[Cost]))</f>
        <v>#REF!</v>
      </c>
      <c r="F4" t="e">
        <f ca="1">_xlfn.XLOOKUP(B4,Table2[Name],Table2[HP])</f>
        <v>#REF!</v>
      </c>
      <c r="G4">
        <f ca="1">_xlfn.XLOOKUP(C4,Table1[Name],Table1[HP])</f>
        <v>8</v>
      </c>
      <c r="H4" t="e">
        <f ca="1">_xlfn.XLOOKUP(B4,Table2[Name],Table2[Ability 12])</f>
        <v>#REF!</v>
      </c>
      <c r="I4" t="str">
        <f ca="1">_xlfn.XLOOKUP(C4,Table1[Name],Table1[Action 1])</f>
        <v>Twister</v>
      </c>
      <c r="J4" t="e">
        <f ca="1">(Table8[[#This Row],[PP]]+(Table8[[#This Row],[HP]]/2)+IF(Table8[[#This Row],[Ability 1]]=0,0,1)+IF(Table8[[#This Row],[Ability 2]]=0,0,1))/(Table8[[#This Row],[Cost]]+1)</f>
        <v>#REF!</v>
      </c>
      <c r="K4" t="str" cm="1">
        <f t="array" aca="1" ref="K4" ca="1">INDEX(Table3[Name],INT(RAND()*COUNTA(Table3[Name])+1))</f>
        <v>Turbo</v>
      </c>
      <c r="L4" t="str" cm="1">
        <f t="array" aca="1" ref="L4" ca="1">INDEX(Table3[Name],INT(RAND()*COUNTA(Table3[Name])+1))</f>
        <v>Meta</v>
      </c>
      <c r="M4" t="e">
        <f ca="1">SUM(Table8[[#This Row],[Cost]],_xlfn.XLOOKUP(Table8[[#This Row],[Part 1]],Table3[Name],Table3[Cost]))</f>
        <v>#REF!</v>
      </c>
      <c r="N4" t="e">
        <f ca="1">SUM(Table8[[#This Row],[PP]],_xlfn.XLOOKUP(Table8[[#This Row],[Part 1]],Table3[Name],Table3[Action]))</f>
        <v>#REF!</v>
      </c>
      <c r="O4">
        <f ca="1">SUM(Table8[[#This Row],[HP]],_xlfn.XLOOKUP(Table8[[#This Row],[Part 1]],Table3[Name],Table3[HP]))</f>
        <v>12</v>
      </c>
      <c r="P4" t="e">
        <f ca="1">_xlfn.XLOOKUP(Table8[[#This Row],[Part 1]],Table3[Name],#REF!)</f>
        <v>#REF!</v>
      </c>
      <c r="Q4" s="2" t="e">
        <f ca="1">(Table8[[#This Row],[PP2]]+(Table8[[#This Row],[HP2]]/2)+IF(Table8[[#This Row],[Ability 1]]=0,0,1)+IF(Table8[[#This Row],[Ability 2]]=0,0,1))/(Table8[[#This Row],[Cost]]+1)</f>
        <v>#REF!</v>
      </c>
    </row>
    <row r="5" spans="1:17" x14ac:dyDescent="0.25">
      <c r="A5" t="s">
        <v>7</v>
      </c>
      <c r="B5" t="e" cm="1">
        <f t="array" aca="1" ref="B5" ca="1">INDEX(Table2[Name],LARGE(IF(#REF!=Table8[[#This Row],[Type]],ROW(#REF!)-1),INT(RAND()*COUNTIF(#REF!,Table8[[#This Row],[Type]])+1)))</f>
        <v>#REF!</v>
      </c>
      <c r="C5" t="str" cm="1">
        <f t="array" aca="1" ref="C5" ca="1">INDEX(Table1[Name],LARGE(IF(Table1[Deck]=Table8[[#This Row],[Type]],ROW(Table1[Deck])-1),INT(RAND()*COUNTIF(Table1[Deck],Table8[[#This Row],[Type]])+1)))</f>
        <v>kar</v>
      </c>
      <c r="D5" t="e">
        <f t="shared" ca="1" si="0"/>
        <v>#REF!</v>
      </c>
      <c r="E5" t="e">
        <f ca="1">SUM(_xlfn.XLOOKUP(Table8[[#This Row],[Generator]],Table2[Name],Table2[Cost]),_xlfn.XLOOKUP(Table8[[#This Row],[Frame]],Table1[Name],Table1[Cost]))</f>
        <v>#REF!</v>
      </c>
      <c r="F5" t="e">
        <f ca="1">_xlfn.XLOOKUP(B5,Table2[Name],Table2[HP])</f>
        <v>#REF!</v>
      </c>
      <c r="G5">
        <f ca="1">_xlfn.XLOOKUP(C5,Table1[Name],Table1[HP])</f>
        <v>8</v>
      </c>
      <c r="H5" t="e">
        <f ca="1">_xlfn.XLOOKUP(B5,Table2[Name],Table2[Ability 12])</f>
        <v>#REF!</v>
      </c>
      <c r="I5" t="str">
        <f ca="1">_xlfn.XLOOKUP(C5,Table1[Name],Table1[Action 1])</f>
        <v>Fireball</v>
      </c>
      <c r="J5" t="e">
        <f ca="1">(Table8[[#This Row],[PP]]+(Table8[[#This Row],[HP]]/2)+IF(Table8[[#This Row],[Ability 1]]=0,0,1)+IF(Table8[[#This Row],[Ability 2]]=0,0,1))/(Table8[[#This Row],[Cost]]+1)</f>
        <v>#REF!</v>
      </c>
      <c r="K5" t="str" cm="1">
        <f t="array" aca="1" ref="K5" ca="1">INDEX(Table3[Name],INT(RAND()*COUNTA(Table3[Name])+1))</f>
        <v>Ultra</v>
      </c>
      <c r="L5" t="e">
        <f ca="1">_xlfn.CONCAT(Table8[[#This Row],[Generator]],Table8[[#This Row],[Part 1]],Table8[[#This Row],[Frame]])</f>
        <v>#REF!</v>
      </c>
      <c r="M5" t="e">
        <f ca="1">SUM(Table8[[#This Row],[Cost]],_xlfn.XLOOKUP(Table8[[#This Row],[Part 1]],Table3[Name],Table3[Cost]))</f>
        <v>#REF!</v>
      </c>
      <c r="N5" t="e">
        <f ca="1">SUM(Table8[[#This Row],[PP]],_xlfn.XLOOKUP(Table8[[#This Row],[Part 1]],Table3[Name],Table3[Action]))</f>
        <v>#REF!</v>
      </c>
      <c r="O5">
        <f ca="1">SUM(Table8[[#This Row],[HP]],_xlfn.XLOOKUP(Table8[[#This Row],[Part 1]],Table3[Name],Table3[HP]))</f>
        <v>12</v>
      </c>
      <c r="P5" t="e">
        <f ca="1">_xlfn.XLOOKUP(Table8[[#This Row],[Part 1]],Table3[Name],#REF!)</f>
        <v>#REF!</v>
      </c>
      <c r="Q5" s="2" t="e">
        <f ca="1">(Table8[[#This Row],[PP2]]+(Table8[[#This Row],[HP2]]/2)+IF(Table8[[#This Row],[Ability 1]]=0,0,1)+IF(Table8[[#This Row],[Ability 2]]=0,0,1))/(Table8[[#This Row],[Cost]]+1)</f>
        <v>#REF!</v>
      </c>
    </row>
    <row r="6" spans="1:17" x14ac:dyDescent="0.25">
      <c r="A6" t="s">
        <v>11</v>
      </c>
      <c r="B6" t="e" cm="1">
        <f t="array" aca="1" ref="B6" ca="1">INDEX(Table2[Name],LARGE(IF(#REF!=Table8[[#This Row],[Type]],ROW(#REF!)-1),INT(RAND()*COUNTIF(#REF!,Table8[[#This Row],[Type]])+1)))</f>
        <v>#REF!</v>
      </c>
      <c r="C6" t="str" cm="1">
        <f t="array" aca="1" ref="C6" ca="1">INDEX(Table1[Name],LARGE(IF(Table1[Deck]=Table8[[#This Row],[Type]],ROW(Table1[Deck])-1),INT(RAND()*COUNTIF(Table1[Deck],Table8[[#This Row],[Type]])+1)))</f>
        <v>ling</v>
      </c>
      <c r="D6" t="e">
        <f t="shared" ca="1" si="0"/>
        <v>#REF!</v>
      </c>
      <c r="E6" t="e">
        <f ca="1">SUM(_xlfn.XLOOKUP(Table8[[#This Row],[Generator]],Table2[Name],Table2[Cost]),_xlfn.XLOOKUP(Table8[[#This Row],[Frame]],Table1[Name],Table1[Cost]))</f>
        <v>#REF!</v>
      </c>
      <c r="F6" t="e">
        <f ca="1">_xlfn.XLOOKUP(B6,Table2[Name],Table2[HP])</f>
        <v>#REF!</v>
      </c>
      <c r="G6">
        <f ca="1">_xlfn.XLOOKUP(C6,Table1[Name],Table1[HP])</f>
        <v>8</v>
      </c>
      <c r="H6" t="e">
        <f ca="1">_xlfn.XLOOKUP(B6,Table2[Name],Table2[Ability 12])</f>
        <v>#REF!</v>
      </c>
      <c r="I6" t="str">
        <f ca="1">_xlfn.XLOOKUP(C6,Table1[Name],Table1[Action 1])</f>
        <v>Cure Wounds</v>
      </c>
      <c r="J6" t="e">
        <f ca="1">(Table8[[#This Row],[PP]]+(Table8[[#This Row],[HP]]/2)+IF(Table8[[#This Row],[Ability 1]]=0,0,1)+IF(Table8[[#This Row],[Ability 2]]=0,0,1))/(Table8[[#This Row],[Cost]]+1)</f>
        <v>#REF!</v>
      </c>
      <c r="K6" t="str" cm="1">
        <f t="array" aca="1" ref="K6" ca="1">INDEX(Table3[Name],INT(RAND()*COUNTA(Table3[Name])+1))</f>
        <v>Multi</v>
      </c>
      <c r="L6" t="e">
        <f ca="1">_xlfn.CONCAT(Table8[[#This Row],[Generator]],Table8[[#This Row],[Part 1]],Table8[[#This Row],[Frame]])</f>
        <v>#REF!</v>
      </c>
      <c r="M6" t="e">
        <f ca="1">SUM(Table8[[#This Row],[Cost]],_xlfn.XLOOKUP(Table8[[#This Row],[Part 1]],Table3[Name],Table3[Cost]))</f>
        <v>#REF!</v>
      </c>
      <c r="N6" t="e">
        <f ca="1">SUM(Table8[[#This Row],[PP]],_xlfn.XLOOKUP(Table8[[#This Row],[Part 1]],Table3[Name],Table3[Action]))</f>
        <v>#REF!</v>
      </c>
      <c r="O6">
        <f ca="1">SUM(Table8[[#This Row],[HP]],_xlfn.XLOOKUP(Table8[[#This Row],[Part 1]],Table3[Name],Table3[HP]))</f>
        <v>12</v>
      </c>
      <c r="P6" t="e">
        <f ca="1">_xlfn.XLOOKUP(Table8[[#This Row],[Part 1]],Table3[Name],#REF!)</f>
        <v>#REF!</v>
      </c>
      <c r="Q6" s="2" t="e">
        <f ca="1">(Table8[[#This Row],[PP2]]+(Table8[[#This Row],[HP2]]/2)+IF(Table8[[#This Row],[Ability 1]]=0,0,1)+IF(Table8[[#This Row],[Ability 2]]=0,0,1))/(Table8[[#This Row],[Cost]]+1)</f>
        <v>#REF!</v>
      </c>
    </row>
    <row r="7" spans="1:17" x14ac:dyDescent="0.25">
      <c r="A7" t="s">
        <v>17</v>
      </c>
      <c r="B7" t="e" cm="1">
        <f t="array" aca="1" ref="B7" ca="1">INDEX(Table2[Name],LARGE(IF(#REF!=Table8[[#This Row],[Type]],ROW(#REF!)-1),INT(RAND()*COUNTIF(#REF!,Table8[[#This Row],[Type]])+1)))</f>
        <v>#REF!</v>
      </c>
      <c r="C7" t="str" cm="1">
        <f t="array" aca="1" ref="C7" ca="1">INDEX(Table1[Name],LARGE(IF(Table1[Deck]=Table8[[#This Row],[Type]],ROW(Table1[Deck])-1),INT(RAND()*COUNTIF(Table1[Deck],Table8[[#This Row],[Type]])+1)))</f>
        <v>dome</v>
      </c>
      <c r="D7" t="e">
        <f t="shared" ca="1" si="0"/>
        <v>#REF!</v>
      </c>
      <c r="E7" t="e">
        <f ca="1">SUM(_xlfn.XLOOKUP(Table8[[#This Row],[Generator]],Table2[Name],Table2[Cost]),_xlfn.XLOOKUP(Table8[[#This Row],[Frame]],Table1[Name],Table1[Cost]))</f>
        <v>#REF!</v>
      </c>
      <c r="F7" t="e">
        <f ca="1">_xlfn.XLOOKUP(B7,Table2[Name],Table2[HP])</f>
        <v>#REF!</v>
      </c>
      <c r="G7">
        <f ca="1">_xlfn.XLOOKUP(C7,Table1[Name],Table1[HP])</f>
        <v>8</v>
      </c>
      <c r="H7" t="e">
        <f ca="1">_xlfn.XLOOKUP(B7,Table2[Name],Table2[Ability 12])</f>
        <v>#REF!</v>
      </c>
      <c r="I7" t="str">
        <f ca="1">_xlfn.XLOOKUP(C7,Table1[Name],Table1[Action 1])</f>
        <v>Barrier</v>
      </c>
      <c r="J7" t="e">
        <f ca="1">(Table8[[#This Row],[PP]]+(Table8[[#This Row],[HP]]/2)+IF(Table8[[#This Row],[Ability 1]]=0,0,1)+IF(Table8[[#This Row],[Ability 2]]=0,0,1))/(Table8[[#This Row],[Cost]]+1)</f>
        <v>#REF!</v>
      </c>
      <c r="K7" t="str" cm="1">
        <f t="array" aca="1" ref="K7" ca="1">INDEX(Table3[Name],INT(RAND()*COUNTA(Table3[Name])+1))</f>
        <v>Meta</v>
      </c>
      <c r="L7" t="e">
        <f ca="1">_xlfn.CONCAT(Table8[[#This Row],[Generator]],Table8[[#This Row],[Part 1]],Table8[[#This Row],[Frame]])</f>
        <v>#REF!</v>
      </c>
      <c r="M7" t="e">
        <f ca="1">SUM(Table8[[#This Row],[Cost]],_xlfn.XLOOKUP(Table8[[#This Row],[Part 1]],Table3[Name],Table3[Cost]))</f>
        <v>#REF!</v>
      </c>
      <c r="N7" t="e">
        <f ca="1">SUM(Table8[[#This Row],[PP]],_xlfn.XLOOKUP(Table8[[#This Row],[Part 1]],Table3[Name],Table3[Action]))</f>
        <v>#REF!</v>
      </c>
      <c r="O7">
        <f ca="1">SUM(Table8[[#This Row],[HP]],_xlfn.XLOOKUP(Table8[[#This Row],[Part 1]],Table3[Name],Table3[HP]))</f>
        <v>12</v>
      </c>
      <c r="P7" t="e">
        <f ca="1">_xlfn.XLOOKUP(Table8[[#This Row],[Part 1]],Table3[Name],#REF!)</f>
        <v>#REF!</v>
      </c>
      <c r="Q7" s="2" t="e">
        <f ca="1">(Table8[[#This Row],[PP2]]+(Table8[[#This Row],[HP2]]/2)+IF(Table8[[#This Row],[Ability 1]]=0,0,1)+IF(Table8[[#This Row],[Ability 2]]=0,0,1))/(Table8[[#This Row],[Cost]]+1)</f>
        <v>#REF!</v>
      </c>
    </row>
  </sheetData>
  <phoneticPr fontId="2" type="noConversion"/>
  <conditionalFormatting sqref="J2:J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BE18-0F7C-4B0E-8916-623B8CDA6BE4}">
  <dimension ref="A1:B3"/>
  <sheetViews>
    <sheetView workbookViewId="0"/>
  </sheetViews>
  <sheetFormatPr defaultRowHeight="15" x14ac:dyDescent="0.25"/>
  <sheetData>
    <row r="1" spans="1:2" x14ac:dyDescent="0.25">
      <c r="A1" t="s">
        <v>82</v>
      </c>
      <c r="B1" t="s">
        <v>33</v>
      </c>
    </row>
    <row r="2" spans="1:2" x14ac:dyDescent="0.25">
      <c r="A2" t="s">
        <v>79</v>
      </c>
      <c r="B2" t="s">
        <v>84</v>
      </c>
    </row>
    <row r="3" spans="1:2" x14ac:dyDescent="0.25">
      <c r="A3" t="s">
        <v>83</v>
      </c>
      <c r="B3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Passive abilities</vt:lpstr>
      <vt:lpstr>Generator rules</vt:lpstr>
      <vt:lpstr>Active abilities</vt:lpstr>
      <vt:lpstr>Generators</vt:lpstr>
      <vt:lpstr>Frames</vt:lpstr>
      <vt:lpstr>Parts</vt:lpstr>
      <vt:lpstr>Power Configuration</vt:lpstr>
      <vt:lpstr>Bots</vt:lpstr>
      <vt:lpstr>Statuses</vt:lpstr>
      <vt:lpstr>Abilities</vt:lpstr>
      <vt:lpstr>Cells</vt:lpstr>
      <vt:lpstr>Frames</vt:lpstr>
      <vt:lpstr>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Dalglish</dc:creator>
  <cp:lastModifiedBy>Steven Dalglish</cp:lastModifiedBy>
  <dcterms:created xsi:type="dcterms:W3CDTF">2022-05-06T00:38:12Z</dcterms:created>
  <dcterms:modified xsi:type="dcterms:W3CDTF">2022-08-25T02:26:21Z</dcterms:modified>
</cp:coreProperties>
</file>