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Da\Documents\Creative Projects\Fragment\"/>
    </mc:Choice>
  </mc:AlternateContent>
  <xr:revisionPtr revIDLastSave="0" documentId="13_ncr:1_{129F49A3-A33E-4E48-A7BF-B1C49EC50DEF}" xr6:coauthVersionLast="47" xr6:coauthVersionMax="47" xr10:uidLastSave="{00000000-0000-0000-0000-000000000000}"/>
  <bookViews>
    <workbookView xWindow="-120" yWindow="-120" windowWidth="29040" windowHeight="15720" xr2:uid="{8281E10D-33EF-4D46-A534-1BAF9E624D7F}"/>
  </bookViews>
  <sheets>
    <sheet name="Passive abilities" sheetId="4" r:id="rId1"/>
    <sheet name="Active abilities" sheetId="8" r:id="rId2"/>
    <sheet name="Generators" sheetId="1" r:id="rId3"/>
    <sheet name="Frames" sheetId="2" r:id="rId4"/>
    <sheet name="Power Configuration" sheetId="7" r:id="rId5"/>
    <sheet name="Parts" sheetId="3" r:id="rId6"/>
    <sheet name="Bots" sheetId="6" r:id="rId7"/>
    <sheet name="Statuses" sheetId="5" r:id="rId8"/>
  </sheets>
  <definedNames>
    <definedName name="Abilities">'Passive abilities'!$A$1:$C$24</definedName>
    <definedName name="Cells">Frames!$A$1:$D$49</definedName>
    <definedName name="Frames">Table1[#All]</definedName>
    <definedName name="Gens">Generators!$A$1:$D$49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4" l="1"/>
  <c r="C8" i="4"/>
  <c r="C4" i="4"/>
  <c r="C7" i="4"/>
  <c r="C6" i="4"/>
  <c r="C21" i="4"/>
  <c r="C14" i="4"/>
  <c r="C13" i="4"/>
  <c r="C10" i="4"/>
  <c r="C12" i="4"/>
  <c r="C17" i="8"/>
  <c r="C15" i="8"/>
  <c r="C14" i="8"/>
  <c r="C13" i="8"/>
  <c r="C12" i="8"/>
  <c r="C11" i="8"/>
  <c r="C10" i="8"/>
  <c r="C7" i="8"/>
  <c r="C5" i="8"/>
  <c r="C4" i="8"/>
  <c r="C15" i="4"/>
  <c r="C22" i="4"/>
  <c r="C16" i="4"/>
  <c r="C19" i="4"/>
  <c r="C20" i="4"/>
  <c r="C18" i="4"/>
  <c r="C17" i="4"/>
  <c r="M15" i="7"/>
  <c r="M16" i="7"/>
  <c r="M17" i="7"/>
  <c r="M18" i="7"/>
  <c r="M19" i="7"/>
  <c r="M20" i="7"/>
  <c r="L25" i="7"/>
  <c r="M25" i="7" s="1"/>
  <c r="I25" i="7"/>
  <c r="I26" i="7"/>
  <c r="I27" i="7"/>
  <c r="I28" i="7"/>
  <c r="I29" i="7"/>
  <c r="I30" i="7"/>
  <c r="F25" i="7"/>
  <c r="G25" i="7" s="1"/>
  <c r="F26" i="7"/>
  <c r="F27" i="7"/>
  <c r="F28" i="7"/>
  <c r="G28" i="7" s="1"/>
  <c r="F29" i="7"/>
  <c r="G29" i="7" s="1"/>
  <c r="F30" i="7"/>
  <c r="C25" i="7"/>
  <c r="D25" i="7" s="1"/>
  <c r="C26" i="7"/>
  <c r="C27" i="7"/>
  <c r="C28" i="7"/>
  <c r="D28" i="7" s="1"/>
  <c r="C29" i="7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L28" i="7"/>
  <c r="M28" i="7" s="1"/>
  <c r="L29" i="7"/>
  <c r="L30" i="7"/>
  <c r="C16" i="7"/>
  <c r="D16" i="7" s="1"/>
  <c r="C17" i="7"/>
  <c r="C18" i="7"/>
  <c r="D18" i="7" s="1"/>
  <c r="C19" i="7"/>
  <c r="D19" i="7" s="1"/>
  <c r="C20" i="7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F8" i="2"/>
  <c r="F9" i="2"/>
  <c r="F16" i="2"/>
  <c r="F17" i="2"/>
  <c r="F32" i="2"/>
  <c r="F33" i="2"/>
  <c r="F48" i="2"/>
  <c r="F49" i="2"/>
  <c r="G10" i="2" a="1"/>
  <c r="G10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32" i="2" a="1"/>
  <c r="G32" i="2" s="1"/>
  <c r="G33" i="2" a="1"/>
  <c r="G33" i="2" s="1"/>
  <c r="G48" i="2" a="1"/>
  <c r="G48" i="2" s="1"/>
  <c r="G49" i="2" a="1"/>
  <c r="G49" i="2" s="1"/>
  <c r="G8" i="2" a="1"/>
  <c r="G8" i="2" s="1"/>
  <c r="G16" i="2" a="1"/>
  <c r="G16" i="2" s="1"/>
  <c r="G17" i="2" a="1"/>
  <c r="G17" i="2" s="1"/>
  <c r="G9" i="2" a="1"/>
  <c r="G9" i="2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4" i="1" a="1"/>
  <c r="G14" i="1" s="1"/>
  <c r="G12" i="1" a="1"/>
  <c r="G12" i="1" s="1"/>
  <c r="G13" i="1" a="1"/>
  <c r="G13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9" i="1" a="1"/>
  <c r="G29" i="1" s="1"/>
  <c r="G28" i="1" a="1"/>
  <c r="G28" i="1" s="1"/>
  <c r="G33" i="1" a="1"/>
  <c r="G33" i="1" s="1"/>
  <c r="G30" i="1" a="1"/>
  <c r="G30" i="1" s="1"/>
  <c r="G31" i="1" a="1"/>
  <c r="G31" i="1" s="1"/>
  <c r="G32" i="1" a="1"/>
  <c r="G32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8" i="1" a="1"/>
  <c r="G48" i="1" s="1"/>
  <c r="G47" i="1" a="1"/>
  <c r="G47" i="1" s="1"/>
  <c r="G49" i="1" a="1"/>
  <c r="G49" i="1" s="1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D20" i="7"/>
  <c r="D17" i="7"/>
  <c r="G26" i="7"/>
  <c r="D26" i="7"/>
  <c r="M27" i="7"/>
  <c r="G27" i="7"/>
  <c r="D27" i="7"/>
  <c r="M29" i="7"/>
  <c r="D29" i="7"/>
  <c r="M30" i="7"/>
  <c r="G30" i="7"/>
  <c r="F2" i="2"/>
  <c r="F3" i="2"/>
  <c r="F4" i="2"/>
  <c r="F6" i="2"/>
  <c r="F7" i="2"/>
  <c r="F10" i="2"/>
  <c r="F11" i="2"/>
  <c r="F12" i="2"/>
  <c r="F13" i="2"/>
  <c r="F14" i="2"/>
  <c r="F15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4" i="2"/>
  <c r="F35" i="2"/>
  <c r="F36" i="2"/>
  <c r="F37" i="2"/>
  <c r="F38" i="2"/>
  <c r="F39" i="2"/>
  <c r="F40" i="2"/>
  <c r="F41" i="2"/>
  <c r="F42" i="2"/>
  <c r="F43" i="2"/>
  <c r="F45" i="2"/>
  <c r="F46" i="2"/>
  <c r="F47" i="2"/>
  <c r="F44" i="2"/>
  <c r="F5" i="2"/>
  <c r="F24" i="1"/>
  <c r="F25" i="1"/>
  <c r="F26" i="1"/>
  <c r="F27" i="1"/>
  <c r="F29" i="1"/>
  <c r="F28" i="1"/>
  <c r="F33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7" i="1"/>
  <c r="F49" i="1"/>
  <c r="F18" i="1"/>
  <c r="F19" i="1"/>
  <c r="F20" i="1"/>
  <c r="F21" i="1"/>
  <c r="F22" i="1"/>
  <c r="F23" i="1"/>
  <c r="F16" i="1"/>
  <c r="F17" i="1"/>
  <c r="F10" i="1"/>
  <c r="F11" i="1"/>
  <c r="F14" i="1"/>
  <c r="F12" i="1"/>
  <c r="F13" i="1"/>
  <c r="F15" i="1"/>
  <c r="F8" i="1"/>
  <c r="F9" i="1"/>
  <c r="F3" i="1"/>
  <c r="F4" i="1"/>
  <c r="F5" i="1"/>
  <c r="F6" i="1"/>
  <c r="F7" i="1"/>
  <c r="F2" i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C5" i="4"/>
  <c r="J20" i="7" l="1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<sst xmlns="http://schemas.openxmlformats.org/spreadsheetml/2006/main" count="515" uniqueCount="211">
  <si>
    <t>Name</t>
  </si>
  <si>
    <t>Type</t>
  </si>
  <si>
    <t>HP</t>
  </si>
  <si>
    <t>Nucle</t>
  </si>
  <si>
    <t>Augment</t>
  </si>
  <si>
    <t>Pluto</t>
  </si>
  <si>
    <t>Radi</t>
  </si>
  <si>
    <t>Ura</t>
  </si>
  <si>
    <t>Anthra</t>
  </si>
  <si>
    <t>Consume</t>
  </si>
  <si>
    <t>Chari</t>
  </si>
  <si>
    <t>Atmo</t>
  </si>
  <si>
    <t>Explo</t>
  </si>
  <si>
    <t>Oleu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</si>
  <si>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</si>
  <si>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</si>
  <si>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</si>
  <si>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</si>
  <si>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</si>
  <si>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</si>
  <si>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</si>
  <si>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</si>
  <si>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</si>
  <si>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</si>
  <si>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</si>
  <si>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Aqua</t>
  </si>
  <si>
    <t>Hydro</t>
  </si>
  <si>
    <t>Aero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</si>
  <si>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</si>
  <si>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</si>
  <si>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</si>
  <si>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</si>
  <si>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</si>
  <si>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</si>
  <si>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</si>
  <si>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</si>
  <si>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</si>
  <si>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</si>
  <si>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</si>
  <si>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</si>
  <si>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None</t>
  </si>
  <si>
    <t>Effect</t>
  </si>
  <si>
    <t>Scorch</t>
  </si>
  <si>
    <t>Mutate</t>
  </si>
  <si>
    <t>Shield</t>
  </si>
  <si>
    <t>Convert</t>
  </si>
  <si>
    <t>PP</t>
  </si>
  <si>
    <t>Abiliity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</si>
  <si>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</si>
  <si>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</si>
  <si>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</si>
  <si>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</si>
  <si>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</si>
  <si>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</si>
  <si>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</si>
  <si>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</si>
  <si>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</si>
  <si>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</si>
  <si>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</si>
  <si>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</si>
  <si>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</si>
  <si>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</si>
  <si>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</si>
  <si>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</si>
  <si>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</si>
  <si>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</si>
  <si>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suarus</t>
  </si>
  <si>
    <t>Foli</t>
  </si>
  <si>
    <t>PP2</t>
  </si>
  <si>
    <t>Ability no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</si>
  <si>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</si>
  <si>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</si>
  <si>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</si>
  <si>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</si>
  <si>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</si>
  <si>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</si>
  <si>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</si>
  <si>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</si>
  <si>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</si>
  <si>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</si>
  <si>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</si>
  <si>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</si>
  <si>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</si>
  <si>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</si>
  <si>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</si>
  <si>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Umbra</t>
  </si>
  <si>
    <t>ply</t>
  </si>
  <si>
    <t>Klepto</t>
  </si>
  <si>
    <t>Reallocate</t>
  </si>
  <si>
    <t>1 dmg to random enemy</t>
  </si>
  <si>
    <t>Pollinate</t>
  </si>
  <si>
    <t>Barrier</t>
  </si>
  <si>
    <t>Hurricane</t>
  </si>
  <si>
    <t>Stun one opponent</t>
  </si>
  <si>
    <t>Burn</t>
  </si>
  <si>
    <t>Fusion</t>
  </si>
  <si>
    <t>Pack</t>
  </si>
  <si>
    <t>Swap positions of opponent bots</t>
  </si>
  <si>
    <t>Steal 1 pp on atk</t>
  </si>
  <si>
    <t>Gain opponent ability</t>
  </si>
  <si>
    <t>Flattery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</si>
  <si>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</si>
  <si>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</si>
  <si>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</si>
  <si>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</si>
  <si>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</si>
  <si>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</si>
  <si>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</si>
  <si>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</si>
  <si>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Solar Beam</t>
  </si>
  <si>
    <t>Ability No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</si>
  <si>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</si>
  <si>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</si>
  <si>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</si>
  <si>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</si>
  <si>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</si>
  <si>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</si>
  <si>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</si>
  <si>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</si>
  <si>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</si>
  <si>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Hypno</t>
  </si>
  <si>
    <t>Ferru</t>
  </si>
  <si>
    <t>Turbo</t>
  </si>
  <si>
    <t>Thurma</t>
  </si>
  <si>
    <t>Cano</t>
  </si>
  <si>
    <t>Cola</t>
  </si>
  <si>
    <t>Cyclo</t>
  </si>
  <si>
    <t>Dextra</t>
  </si>
  <si>
    <t>Vapo</t>
  </si>
  <si>
    <t>Fira</t>
  </si>
  <si>
    <t>Lepha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</si>
  <si>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</si>
  <si>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</si>
  <si>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</si>
  <si>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</si>
  <si>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</si>
  <si>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</si>
  <si>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</si>
  <si>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</si>
  <si>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</si>
  <si>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</si>
  <si>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</si>
  <si>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</si>
  <si>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</si>
  <si>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</si>
  <si>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</si>
  <si>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</si>
  <si>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</si>
  <si>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</si>
  <si>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</si>
  <si>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</si>
  <si>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</si>
  <si>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</si>
  <si>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</si>
  <si>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</si>
  <si>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</si>
  <si>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Sample Bot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</si>
  <si>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</si>
  <si>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</si>
  <si>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</si>
  <si>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</si>
  <si>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</si>
  <si>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</si>
  <si>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</si>
  <si>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</si>
  <si>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</si>
  <si>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</si>
  <si>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</si>
  <si>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</si>
  <si>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</si>
  <si>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</si>
  <si>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</si>
  <si>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</si>
  <si>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</si>
  <si>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</si>
  <si>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la</t>
  </si>
  <si>
    <t>phi</t>
  </si>
  <si>
    <t>fa</t>
  </si>
  <si>
    <t>psi</t>
  </si>
  <si>
    <t>be</t>
  </si>
  <si>
    <t>ta</t>
  </si>
  <si>
    <t>ga</t>
  </si>
  <si>
    <t>ma</t>
  </si>
  <si>
    <t>de</t>
  </si>
  <si>
    <t>pe</t>
  </si>
  <si>
    <t>si</t>
  </si>
  <si>
    <t>lo</t>
  </si>
  <si>
    <t>zi</t>
  </si>
  <si>
    <t>ro</t>
  </si>
  <si>
    <t>mu</t>
  </si>
  <si>
    <t>nu</t>
  </si>
  <si>
    <t>mo</t>
  </si>
  <si>
    <t>tau</t>
  </si>
  <si>
    <t>pi</t>
  </si>
  <si>
    <t>xi</t>
  </si>
  <si>
    <t>pu</t>
  </si>
  <si>
    <t>Harvest</t>
  </si>
  <si>
    <t>Leech</t>
  </si>
  <si>
    <t>Instinct</t>
  </si>
  <si>
    <t>Block 10 dmg to random ally</t>
  </si>
  <si>
    <t>Storm Drain</t>
  </si>
  <si>
    <t>Active Ability</t>
  </si>
  <si>
    <t>Blaze</t>
  </si>
  <si>
    <t>Gain the remaining PPs when you mine an adjacent Fossil Fuel resource</t>
  </si>
  <si>
    <t>Frack</t>
  </si>
  <si>
    <t>10 dmg to random enemy each time this bot attacks</t>
  </si>
  <si>
    <t>Digest</t>
  </si>
  <si>
    <t>Final Form</t>
  </si>
  <si>
    <t>Research</t>
  </si>
  <si>
    <t>Deplete</t>
  </si>
  <si>
    <t>Rain 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</si>
</sst>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/>
    <xf numFmtId="164" fontId="0" fillId="0" borderId="0" xfId="0" applyNumberForma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2" fontId="4" fillId="0" borderId="0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9" fillId="0" borderId="0" xfId="0" applyFont="1" applyFill="1"/>
    <xf numFmtId="0" fontId="9" fillId="0" borderId="0" xfId="0" applyFont="1" applyFill="1" applyBorder="1"/>
    <xf numFmtId="2" fontId="4" fillId="2" borderId="0" xfId="0" applyNumberFormat="1" applyFont="1" applyFill="1" applyBorder="1"/>
    <xf numFmtId="2" fontId="4" fillId="3" borderId="4" xfId="0" applyNumberFormat="1" applyFont="1" applyFill="1" applyBorder="1"/>
    <xf numFmtId="2" fontId="4" fillId="3" borderId="0" xfId="0" applyNumberFormat="1" applyFont="1" applyFill="1" applyBorder="1"/>
    <xf numFmtId="2" fontId="4" fillId="3" borderId="5" xfId="0" applyNumberFormat="1" applyFont="1" applyFill="1" applyBorder="1"/>
    <xf numFmtId="2" fontId="4" fillId="4" borderId="4" xfId="0" applyNumberFormat="1" applyFont="1" applyFill="1" applyBorder="1"/>
    <xf numFmtId="2" fontId="4" fillId="4" borderId="0" xfId="0" applyNumberFormat="1" applyFont="1" applyFill="1" applyBorder="1"/>
    <xf numFmtId="2" fontId="4" fillId="4" borderId="5" xfId="0" applyNumberFormat="1" applyFont="1" applyFill="1" applyBorder="1"/>
    <xf numFmtId="2" fontId="4" fillId="5" borderId="4" xfId="0" applyNumberFormat="1" applyFont="1" applyFill="1" applyBorder="1"/>
    <xf numFmtId="2" fontId="4" fillId="5" borderId="0" xfId="0" applyNumberFormat="1" applyFont="1" applyFill="1" applyBorder="1"/>
    <xf numFmtId="2" fontId="4" fillId="5" borderId="5" xfId="0" applyNumberFormat="1" applyFont="1" applyFill="1" applyBorder="1"/>
    <xf numFmtId="2" fontId="4" fillId="6" borderId="4" xfId="0" applyNumberFormat="1" applyFont="1" applyFill="1" applyBorder="1"/>
    <xf numFmtId="2" fontId="4" fillId="6" borderId="0" xfId="0" applyNumberFormat="1" applyFont="1" applyFill="1" applyBorder="1"/>
    <xf numFmtId="2" fontId="4" fillId="6" borderId="5" xfId="0" applyNumberFormat="1" applyFont="1" applyFill="1" applyBorder="1"/>
    <xf numFmtId="2" fontId="4" fillId="7" borderId="4" xfId="0" applyNumberFormat="1" applyFont="1" applyFill="1" applyBorder="1"/>
    <xf numFmtId="2" fontId="4" fillId="7" borderId="0" xfId="0" applyNumberFormat="1" applyFont="1" applyFill="1" applyBorder="1"/>
    <xf numFmtId="2" fontId="4" fillId="7" borderId="5" xfId="0" applyNumberFormat="1" applyFont="1" applyFill="1" applyBorder="1"/>
    <xf numFmtId="2" fontId="4" fillId="2" borderId="6" xfId="0" applyNumberFormat="1" applyFont="1" applyFill="1" applyBorder="1"/>
    <xf numFmtId="2" fontId="4" fillId="2" borderId="7" xfId="0" applyNumberFormat="1" applyFont="1" applyFill="1" applyBorder="1"/>
    <xf numFmtId="2" fontId="4" fillId="2" borderId="8" xfId="0" applyNumberFormat="1" applyFont="1" applyFill="1" applyBorder="1"/>
    <xf numFmtId="0" fontId="4" fillId="0" borderId="0" xfId="0" applyFont="1" applyBorder="1" applyAlignment="1"/>
    <xf numFmtId="2" fontId="6" fillId="0" borderId="1" xfId="0" applyNumberFormat="1" applyFont="1" applyBorder="1" applyAlignment="1"/>
    <xf numFmtId="2" fontId="6" fillId="0" borderId="2" xfId="0" applyNumberFormat="1" applyFont="1" applyBorder="1" applyAlignment="1"/>
    <xf numFmtId="2" fontId="6" fillId="0" borderId="3" xfId="0" applyNumberFormat="1" applyFont="1" applyBorder="1" applyAlignment="1"/>
    <xf numFmtId="2" fontId="6" fillId="0" borderId="1" xfId="0" applyNumberFormat="1" applyFont="1" applyBorder="1"/>
    <xf numFmtId="2" fontId="6" fillId="0" borderId="2" xfId="0" applyNumberFormat="1" applyFont="1" applyBorder="1"/>
    <xf numFmtId="2" fontId="6" fillId="0" borderId="3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1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520CC-7367-4AD6-BBB5-938EC4DD5652}" name="Table4" displayName="Table4" ref="A1:C24" totalsRowShown="0">
  <autoFilter ref="A1:C24" xr:uid="{D2A520CC-7367-4AD6-BBB5-938EC4DD5652}"/>
  <sortState xmlns:xlrd2="http://schemas.microsoft.com/office/spreadsheetml/2017/richdata2" ref="A2:C23">
    <sortCondition ref="B1:B23"/>
  </sortState>
  <tableColumns count="3">
    <tableColumn id="1" xr3:uid="{277B50FB-5304-4880-B617-1ACBF4D17975}" name="Ability"/>
    <tableColumn id="3" xr3:uid="{F3377A5A-BD37-4531-8F37-7929BF4840CF}" name="Type"/>
    <tableColumn id="2" xr3:uid="{C40B86F4-A261-454C-A38C-7EEDC57BBBA3}" name="Effec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C17" totalsRowShown="0">
  <autoFilter ref="A1:C17" xr:uid="{4186F1D0-D6A8-4EE3-A1F5-5F5B1387F520}"/>
  <sortState xmlns:xlrd2="http://schemas.microsoft.com/office/spreadsheetml/2017/richdata2" ref="A2:C17">
    <sortCondition ref="B1:B17"/>
  </sortState>
  <tableColumns count="3">
    <tableColumn id="1" xr3:uid="{EFE17165-DF3C-41D5-82FE-D4D71327F108}" name="Active Ability"/>
    <tableColumn id="3" xr3:uid="{ED842C65-134C-4739-9504-8A5630C40034}" name="Type"/>
    <tableColumn id="2" xr3:uid="{78127444-FC3B-4ACD-989C-698DAD1C2122}" name="Effec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G49" totalsRowShown="0" headerRowDxfId="114" dataDxfId="113">
  <autoFilter ref="A1:G49" xr:uid="{7A4F3B76-8375-4FD9-8128-9BF9E8EECA3E}"/>
  <sortState xmlns:xlrd2="http://schemas.microsoft.com/office/spreadsheetml/2017/richdata2" ref="A2:G52">
    <sortCondition ref="B1:B52"/>
  </sortState>
  <tableColumns count="7">
    <tableColumn id="1" xr3:uid="{44860EA4-FD5F-4598-AEEF-F7BFC26B7043}" name="Name" dataDxfId="112"/>
    <tableColumn id="2" xr3:uid="{1D3C02DC-E11C-4FFB-A25C-614675F78ABA}" name="Type" dataDxfId="111"/>
    <tableColumn id="3" xr3:uid="{E017E39D-29F1-4E55-98B2-8FC221A535CB}" name="Cost" dataDxfId="110"/>
    <tableColumn id="4" xr3:uid="{0C4B96A8-AEC8-4A0E-8BE8-D7CB34749D2F}" name="PP" dataDxfId="109"/>
    <tableColumn id="6" xr3:uid="{C3850DEF-7805-4A9E-9633-EEEB17887BC8}" name="Abiliity" dataDxfId="108"/>
    <tableColumn id="7" xr3:uid="{1ED89F1A-CDCF-47EE-9E26-6872FAA8597A}" name="Ability no" dataDxfId="107"/>
    <tableColumn id="9" xr3:uid="{0958D538-E9B7-4AEC-AF18-35CC9DE38D59}" name="Sample Bot" dataDxfId="106">
      <calculatedColumnFormula array="1">_xlfn.CONCAT(UPPER(Table2[[#This Row],[Name]]),INDEX(Table1[Name],LARGE(IF(Table1[Type]=Table2[[#This Row],[Type]],ROW(Table1[Type])-1),INT(RAND()*COUNTIF(Table1[Type],Table2[[#This Row],[Type]])+1))))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G49" totalsRowShown="0" headerRowDxfId="93" dataDxfId="92">
  <autoFilter ref="A1:G49" xr:uid="{7C36EF94-5A06-4496-A2EF-5A49AF4820A5}"/>
  <sortState xmlns:xlrd2="http://schemas.microsoft.com/office/spreadsheetml/2017/richdata2" ref="A2:G49">
    <sortCondition ref="B1:B49"/>
  </sortState>
  <tableColumns count="7">
    <tableColumn id="1" xr3:uid="{61B2C0C4-A5E9-43E9-9491-4023700908E2}" name="Name" dataDxfId="91"/>
    <tableColumn id="2" xr3:uid="{0043821A-9ACC-4B46-A77D-FA6E1160DB7D}" name="Type" dataDxfId="90"/>
    <tableColumn id="3" xr3:uid="{811FF43C-AC71-46BA-860D-A5DF9BCD7BD9}" name="Cost" dataDxfId="89"/>
    <tableColumn id="4" xr3:uid="{3CD0D579-A4FE-4F55-8116-F9E3E83087DE}" name="HP" dataDxfId="88"/>
    <tableColumn id="5" xr3:uid="{69B3E0C2-96A3-48E0-9C7B-7BA5DA160A3F}" name="Ability" dataDxfId="87"/>
    <tableColumn id="6" xr3:uid="{E504C788-FE7C-4DDA-A5B2-EFCEA25ABA78}" name="Ability No" dataDxfId="86"/>
    <tableColumn id="8" xr3:uid="{15023E0C-2733-4E6F-B7AD-8AF7DAD2C257}" name="Sample Bot" dataDxfId="85">
      <calculatedColumnFormula array="1">_xlfn.CONCAT(INDEX(Table2[Name],LARGE(IF(Table2[Type]=Table1[[#This Row],[Type]],ROW(Table2[Type])-1),INT(RAND()*COUNTIF(Table2[Type],Table1[[#This Row],[Type]])+1))),UPPER(Table1[[#This Row],[Name]]))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60" dataDxfId="59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8"/>
    <tableColumn id="2" xr3:uid="{9A9DEA20-92D8-4011-950B-D6302196503D}" name="Ideal" dataDxfId="57"/>
    <tableColumn id="3" xr3:uid="{1C762ECE-0C98-4920-B0E4-55A7A19F83FE}" name="Actual" dataDxfId="56">
      <calculatedColumnFormula>COUNTIF(Table1[Type],Variety[[#This Row],[Type]])</calculatedColumnFormula>
    </tableColumn>
    <tableColumn id="4" xr3:uid="{0C8BE51C-0A54-4ED3-B98C-1D7DB953F369}" name="Difference" dataDxfId="55">
      <calculatedColumnFormula>C5-B5</calculatedColumnFormula>
    </tableColumn>
    <tableColumn id="5" xr3:uid="{3AED6875-DAF4-4906-BE77-76EDD3B57540}" name="Ideal2" dataDxfId="54"/>
    <tableColumn id="6" xr3:uid="{2038FDEC-12A5-484F-BDCE-984800935EE8}" name="Actual3" dataDxfId="53">
      <calculatedColumnFormula>COUNTIF(Table2[Type],Variety[[#This Row],[Type]])</calculatedColumnFormula>
    </tableColumn>
    <tableColumn id="7" xr3:uid="{F7D4ECF7-C059-4A05-99E4-7061721663F5}" name="Difference4" dataDxfId="52">
      <calculatedColumnFormula>F5-E5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51" dataDxfId="50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49"/>
    <tableColumn id="2" xr3:uid="{75578D46-0A1F-4356-BCA2-A452E28A1417}" name="Ideal" dataDxfId="48"/>
    <tableColumn id="3" xr3:uid="{B17B7A7F-D00A-4E52-B2CF-783A8BDD18B4}" name="Actual" dataDxfId="47">
      <calculatedColumnFormula>SUMIF(Table1[Type],Stats[[#This Row],[Type]],Table1[HP])/COUNTIF(Table1[Type],Stats[[#This Row],[Type]])</calculatedColumnFormula>
    </tableColumn>
    <tableColumn id="4" xr3:uid="{A3CF985F-4F0F-467E-93FF-CB89776629BB}" name="Difference" dataDxfId="46">
      <calculatedColumnFormula>C15-B15</calculatedColumnFormula>
    </tableColumn>
    <tableColumn id="5" xr3:uid="{8BFB7AA2-1B75-4F79-966A-74B6F8ED5B7F}" name="Ideal2" dataDxfId="45"/>
    <tableColumn id="6" xr3:uid="{BE17EF79-FC56-4637-9C8B-66F29560F811}" name="Actual3" dataDxfId="44">
      <calculatedColumnFormula array="1">SUMIF(Table2[Type],Stats[[#This Row],[Type]],Table2[PP])/COUNTIF(Table2[Type],Stats[[#This Row],[Type]])</calculatedColumnFormula>
    </tableColumn>
    <tableColumn id="7" xr3:uid="{583ABFEB-99E8-4030-BFD2-685DD430FA80}" name="Difference4" dataDxfId="43">
      <calculatedColumnFormula>F15-E15</calculatedColumnFormula>
    </tableColumn>
    <tableColumn id="8" xr3:uid="{B3A60430-2211-48DF-B47C-68AE8FB6A2BB}" name="Ideal5" dataDxfId="42"/>
    <tableColumn id="9" xr3:uid="{E6BC29A1-559E-44E9-A302-CE348EC0B5D9}" name="Actual6" dataDxfId="41">
      <calculatedColumnFormula>(SUMIF(Table1[Type],Stats[[#This Row],[Type]],Table1[Ability No])+SUMIF(Table2[Type],Stats[[#This Row],[Type]],Table2[Ability no]))/(COUNTIF(Table1[Type],Stats[[#This Row],[Type]])+COUNTIF(Table2[Type],Stats[[#This Row],[Type]]))</calculatedColumnFormula>
    </tableColumn>
    <tableColumn id="10" xr3:uid="{5E66CDD0-39AD-4632-9676-0BF8F6414C7E}" name="Difference7" dataDxfId="40">
      <calculatedColumnFormula>I15-H15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39" dataDxfId="38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37"/>
    <tableColumn id="2" xr3:uid="{E517E5F7-276F-406B-A78C-73C12B03024A}" name="Ideal" dataDxfId="36"/>
    <tableColumn id="3" xr3:uid="{54CFC0BE-CB89-4B6F-9EA5-3D4D0425EF87}" name="Actual" dataDxfId="35">
      <calculatedColumnFormula>SUMIF(Table1[Type],Cost_Stat[[#This Row],[Type]],Table1[HP])/SUMIF(Table1[Type],Cost_Stat[[#This Row],[Type]],Table1[Cost])</calculatedColumnFormula>
    </tableColumn>
    <tableColumn id="4" xr3:uid="{485B5A87-DD44-4B1F-95C2-F593EAB7581E}" name="Difference" dataDxfId="34">
      <calculatedColumnFormula>C25-B25</calculatedColumnFormula>
    </tableColumn>
    <tableColumn id="5" xr3:uid="{0AB55B04-7DB1-4B3B-95A0-41BE01235610}" name="Ideal2" dataDxfId="33"/>
    <tableColumn id="6" xr3:uid="{EBE0B5B1-010C-4B8E-BF94-291D680A295E}" name="Actual3" dataDxfId="32">
      <calculatedColumnFormula>SUMIF(Table2[Type],Cost_Stat[[#This Row],[Type]],Table2[PP])/SUMIF(Table2[Type],Cost_Stat[[#This Row],[Type]],Table2[Cost])</calculatedColumnFormula>
    </tableColumn>
    <tableColumn id="7" xr3:uid="{DF4CF3C4-B12B-46B7-BC59-E5351C495BC1}" name="Difference4" dataDxfId="31">
      <calculatedColumnFormula>F25-E25</calculatedColumnFormula>
    </tableColumn>
    <tableColumn id="8" xr3:uid="{466E32FE-7121-4644-899F-C08F4CE38771}" name="Ideal5" dataDxfId="30"/>
    <tableColumn id="9" xr3:uid="{FF597456-2300-4BC6-8B64-D1A298F13E5A}" name="Actual6" dataDxfId="29">
      <calculatedColumnFormula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calculatedColumnFormula>
    </tableColumn>
    <tableColumn id="10" xr3:uid="{FB0F2832-C6B6-4855-8222-A7A9323ACFC9}" name="Difference7" dataDxfId="28">
      <calculatedColumnFormula>I25-H25</calculatedColumnFormula>
    </tableColumn>
    <tableColumn id="11" xr3:uid="{73909C54-2246-4ED8-B808-E4BE1DD4A485}" name="Ideal8" dataDxfId="27"/>
    <tableColumn id="12" xr3:uid="{2B1962BE-7805-4FFA-8D3C-E67730E4E5EA}" name="Actual9" dataDxfId="26">
      <calculatedColumnFormula>(SUMIF(Table1[Type],Cost_Stat[[#This Row],[Type]],Table1[Cost])+SUMIF(Table2[Type],Cost_Stat[[#This Row],[Type]],Table2[Cost]))/(COUNTIF(Table1[Type],Cost_Stat[[#This Row],[Type]])+COUNTIF(Table2[Type],Cost_Stat[[#This Row],[Type]]))</calculatedColumnFormula>
    </tableColumn>
    <tableColumn id="13" xr3:uid="{05006522-125E-42FB-A202-48124F65E1AF}" name="Difference10" dataDxfId="25">
      <calculatedColumnFormula>L25-K25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24" tableBorderDxfId="23">
  <autoFilter ref="L14:O20" xr:uid="{CFB70296-300F-41E9-B29C-A15C0D2E492E}"/>
  <tableColumns count="4">
    <tableColumn id="1" xr3:uid="{67B9F3DD-84E5-4E12-9557-0E15E2E8CD01}" name="Type" dataDxfId="22"/>
    <tableColumn id="3" xr3:uid="{882509E9-98E0-4845-9863-913DA546EA5B}" name="Cost" dataDxfId="21">
      <calculatedColumnFormula>ROUND(2*SUMIF(Cost_Stat[Type],Table15[[#This Row],[Type]],Cost_Stat[Actual9]),0)</calculatedColumnFormula>
    </tableColumn>
    <tableColumn id="6" xr3:uid="{8E6F0F0A-DEBA-4962-9C42-B7696451440A}" name="HP" dataDxfId="20">
      <calculatedColumnFormula>Table15[[#This Row],[Cost]]*SUMIF(Cost_Stat[Type],Table15[[#This Row],[Type]],Cost_Stat[Actual])/2</calculatedColumnFormula>
    </tableColumn>
    <tableColumn id="8" xr3:uid="{8646B895-6FEE-4C10-AE30-8852BA384EB5}" name="PP" dataDxfId="19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F23" totalsRowShown="0" headerRowDxfId="18" dataDxfId="17">
  <autoFilter ref="A1:F23" xr:uid="{BD6F9D4F-C6DA-4DA9-9AF2-B383883F498D}"/>
  <sortState xmlns:xlrd2="http://schemas.microsoft.com/office/spreadsheetml/2017/richdata2" ref="A2:E23">
    <sortCondition descending="1" ref="E1:E23"/>
  </sortState>
  <tableColumns count="6">
    <tableColumn id="1" xr3:uid="{98031720-D200-46F3-9ACA-C1755FECC5FB}" name="Name" dataDxfId="16"/>
    <tableColumn id="2" xr3:uid="{EF26975E-EC1C-434E-9124-8EA3E2771B2B}" name="Cost" dataDxfId="15"/>
    <tableColumn id="3" xr3:uid="{B5C3D5E2-952F-4B3E-9501-9A5F8E406832}" name="HP" dataDxfId="14"/>
    <tableColumn id="4" xr3:uid="{91393694-5AF1-4A22-906A-4DDEB27DF551}" name="PP" dataDxfId="13"/>
    <tableColumn id="5" xr3:uid="{25DD586E-BA8D-4FFE-A5E1-28663B66B645}" name="Ability" dataDxfId="12"/>
    <tableColumn id="6" xr3:uid="{EF00229C-6DD0-499F-B5E4-58AB07CFF4F4}" name="Ability No" dataDxfId="11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0">
      <calculatedColumnFormula array="1">INDEX(Table2[Name],LARGE(IF(Table2[Type]=Table8[[#This Row],[Type]],ROW(Table2[Type])-1),INT(RAND()*COUNTIF(Table2[Type],Table8[[#This Row],[Type]])+1)))</calculatedColumnFormula>
    </tableColumn>
    <tableColumn id="3" xr3:uid="{FC5D1622-0FC8-4A00-8958-9A4F98C2C4A3}" name="Frame" dataDxfId="9">
      <calculatedColumnFormula array="1">INDEX(Table1[Name],LARGE(IF(Table1[Type]=Table8[[#This Row],[Type]],ROW(Table1[Type])-1),INT(RAND()*COUNTIF(Table1[Type],Table8[[#This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8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_xlfn.XLOOKUP(B2,Table2[Name],Table2[PP])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_xlfn.XLOOKUP(B2,Table2[Name],Table2[Abiliity])</calculatedColumnFormula>
    </tableColumn>
    <tableColumn id="8" xr3:uid="{D892DF1C-8138-4EB4-8C4C-A6F7B91F63C4}" name="Ability 2">
      <calculatedColumnFormula>_xlfn.XLOOKUP(C2,Table1[Name],Table1[Ability])</calculatedColumnFormula>
    </tableColumn>
    <tableColumn id="16" xr3:uid="{621F2675-DA39-4950-BD2E-A247E9053807}" name="Power/Cost" dataDxfId="7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6">
      <calculatedColumnFormula array="1">INDEX(Table3[Name],INT(RAND()*COUNTA(Table3[Name])+1))</calculatedColumnFormula>
    </tableColumn>
    <tableColumn id="11" xr3:uid="{109CDE57-0F48-4932-B7BE-EAE14DBBDEB2}" name="Name2" dataDxfId="5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4">
      <calculatedColumnFormula>SUM(Table8[[#This Row],[Cost]],_xlfn.XLOOKUP(Table8[[#This Row],[Part 1]],Table3[Name],Table3[Cost]))</calculatedColumnFormula>
    </tableColumn>
    <tableColumn id="13" xr3:uid="{FECCECFA-E3F9-4DA5-9AC1-015032FEDEB9}" name="PP2" dataDxfId="3">
      <calculatedColumnFormula>SUM(Table8[[#This Row],[PP]],_xlfn.XLOOKUP(Table8[[#This Row],[Part 1]],Table3[Name],Table3[PP]))</calculatedColumnFormula>
    </tableColumn>
    <tableColumn id="14" xr3:uid="{6E9D2E4F-4D5A-4E1E-91F4-22754FFFE3CC}" name="HP2" dataDxfId="2">
      <calculatedColumnFormula>SUM(Table8[[#This Row],[HP]],_xlfn.XLOOKUP(Table8[[#This Row],[Part 1]],Table3[Name],Table3[HP]))</calculatedColumnFormula>
    </tableColumn>
    <tableColumn id="15" xr3:uid="{BCBD232D-B15D-4401-9CF2-DC0F3D6CC7D1}" name="Ability" dataDxfId="1">
      <calculatedColumnFormula>_xlfn.XLOOKUP(Table8[[#This Row],[Part 1]],Table3[Name],Table3[Ability])</calculatedColumnFormula>
    </tableColumn>
    <tableColumn id="17" xr3:uid="{AFEF4760-EB7A-4908-B1B6-2F830AC5F848}" name="Power/Cost2" dataDxfId="0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C24"/>
  <sheetViews>
    <sheetView tabSelected="1" zoomScaleNormal="100" workbookViewId="0">
      <selection activeCell="C25" sqref="C25"/>
    </sheetView>
  </sheetViews>
  <sheetFormatPr defaultRowHeight="15" x14ac:dyDescent="0.25"/>
  <cols>
    <col min="1" max="1" width="10.85546875" bestFit="1" customWidth="1"/>
    <col min="3" max="3" width="65.85546875" bestFit="1" customWidth="1"/>
  </cols>
  <sheetData>
    <row r="1" spans="1:3" x14ac:dyDescent="0.25">
      <c r="A1" t="s">
        <v>39</v>
      </c>
      <c r="B1" t="s">
        <v>1</v>
      </c>
      <c r="C1" t="s">
        <v>41</v>
      </c>
    </row>
    <row r="2" spans="1:3" x14ac:dyDescent="0.25">
      <c r="A2" t="s">
        <v>88</v>
      </c>
      <c r="B2" t="s">
        <v>78</v>
      </c>
      <c r="C2" t="s">
        <v>98</v>
      </c>
    </row>
    <row r="3" spans="1:3" x14ac:dyDescent="0.25">
      <c r="A3" t="s">
        <v>100</v>
      </c>
      <c r="B3" t="s">
        <v>78</v>
      </c>
      <c r="C3" t="s">
        <v>99</v>
      </c>
    </row>
    <row r="4" spans="1:3" x14ac:dyDescent="0.25">
      <c r="A4" t="s">
        <v>43</v>
      </c>
      <c r="B4" t="s">
        <v>4</v>
      </c>
      <c r="C4" t="str">
        <f>"+10 HP per turn for each upgrade on this bot"</f>
        <v>+10 HP per turn for each upgrade on this bot</v>
      </c>
    </row>
    <row r="5" spans="1:3" x14ac:dyDescent="0.25">
      <c r="A5" t="s">
        <v>95</v>
      </c>
      <c r="B5" t="s">
        <v>4</v>
      </c>
      <c r="C5" t="str">
        <f>"-1 cost to upgrades"</f>
        <v>-1 cost to upgrades</v>
      </c>
    </row>
    <row r="6" spans="1:3" x14ac:dyDescent="0.25">
      <c r="A6" t="s">
        <v>207</v>
      </c>
      <c r="B6" t="s">
        <v>4</v>
      </c>
      <c r="C6" t="str">
        <f>"+1 PP per turn for each upgrade on this bot"</f>
        <v>+1 PP per turn for each upgrade on this bot</v>
      </c>
    </row>
    <row r="7" spans="1:3" x14ac:dyDescent="0.25">
      <c r="A7" t="s">
        <v>208</v>
      </c>
      <c r="B7" t="s">
        <v>4</v>
      </c>
      <c r="C7" t="str">
        <f>"+2 PP when an ally bot is upgraded"</f>
        <v>+2 PP when an ally bot is upgraded</v>
      </c>
    </row>
    <row r="8" spans="1:3" x14ac:dyDescent="0.25">
      <c r="A8" t="s">
        <v>209</v>
      </c>
      <c r="B8" t="s">
        <v>4</v>
      </c>
      <c r="C8" t="str">
        <f>"+20 HP when an ally bot is upgraded"</f>
        <v>+20 HP when an ally bot is upgraded</v>
      </c>
    </row>
    <row r="9" spans="1:3" x14ac:dyDescent="0.25">
      <c r="A9" t="s">
        <v>42</v>
      </c>
      <c r="B9" t="s">
        <v>9</v>
      </c>
      <c r="C9" t="s">
        <v>205</v>
      </c>
    </row>
    <row r="10" spans="1:3" x14ac:dyDescent="0.25">
      <c r="A10" t="s">
        <v>94</v>
      </c>
      <c r="B10" t="s">
        <v>9</v>
      </c>
      <c r="C10" t="str">
        <f>"+2 PP each time you mine a new resource"</f>
        <v>+2 PP each time you mine a new resource</v>
      </c>
    </row>
    <row r="11" spans="1:3" x14ac:dyDescent="0.25">
      <c r="A11" t="s">
        <v>202</v>
      </c>
      <c r="B11" t="s">
        <v>9</v>
      </c>
      <c r="C11" t="s">
        <v>203</v>
      </c>
    </row>
    <row r="12" spans="1:3" x14ac:dyDescent="0.25">
      <c r="A12" t="s">
        <v>204</v>
      </c>
      <c r="B12" t="s">
        <v>9</v>
      </c>
      <c r="C12" t="str">
        <f>"-1 PP cost the first time you mine a new resource each turn"</f>
        <v>-1 PP cost the first time you mine a new resource each turn</v>
      </c>
    </row>
    <row r="13" spans="1:3" x14ac:dyDescent="0.25">
      <c r="A13" t="s">
        <v>92</v>
      </c>
      <c r="B13" t="s">
        <v>45</v>
      </c>
      <c r="C13" t="str">
        <f>"-1 PP cost to move this bot"</f>
        <v>-1 PP cost to move this bot</v>
      </c>
    </row>
    <row r="14" spans="1:3" x14ac:dyDescent="0.25">
      <c r="A14" t="s">
        <v>131</v>
      </c>
      <c r="B14" t="s">
        <v>45</v>
      </c>
      <c r="C14" t="str">
        <f>"+2 PP each time a bot moves"</f>
        <v>+2 PP each time a bot moves</v>
      </c>
    </row>
    <row r="15" spans="1:3" x14ac:dyDescent="0.25">
      <c r="A15" t="s">
        <v>200</v>
      </c>
      <c r="B15" t="s">
        <v>45</v>
      </c>
      <c r="C15" s="59" t="str">
        <f>"+1 PP from each non-adjacent Weather Event resource"</f>
        <v>+1 PP from each non-adjacent Weather Event resource</v>
      </c>
    </row>
    <row r="16" spans="1:3" x14ac:dyDescent="0.25">
      <c r="A16" t="s">
        <v>196</v>
      </c>
      <c r="B16" t="s">
        <v>16</v>
      </c>
      <c r="C16" t="str">
        <f>"+10 hp each turn for each active friendly bot"</f>
        <v>+10 hp each turn for each active friendly bot</v>
      </c>
    </row>
    <row r="17" spans="1:3" x14ac:dyDescent="0.25">
      <c r="A17" t="s">
        <v>96</v>
      </c>
      <c r="B17" t="s">
        <v>16</v>
      </c>
      <c r="C17" t="str">
        <f>"+1 pp each turn for each active friendly bot"</f>
        <v>+1 pp each turn for each active friendly bot</v>
      </c>
    </row>
    <row r="18" spans="1:3" x14ac:dyDescent="0.25">
      <c r="A18" t="s">
        <v>90</v>
      </c>
      <c r="B18" t="s">
        <v>16</v>
      </c>
      <c r="C18" t="str">
        <f>"-1 PP cost for new bots"</f>
        <v>-1 PP cost for new bots</v>
      </c>
    </row>
    <row r="19" spans="1:3" x14ac:dyDescent="0.25">
      <c r="A19" t="s">
        <v>197</v>
      </c>
      <c r="B19" t="s">
        <v>16</v>
      </c>
      <c r="C19" t="str">
        <f>"+20 HP each time a new bot is built"</f>
        <v>+20 HP each time a new bot is built</v>
      </c>
    </row>
    <row r="20" spans="1:3" x14ac:dyDescent="0.25">
      <c r="A20" t="s">
        <v>198</v>
      </c>
      <c r="B20" t="s">
        <v>16</v>
      </c>
      <c r="C20" t="str">
        <f>"+2 PP each time a new bot is built"</f>
        <v>+2 PP each time a new bot is built</v>
      </c>
    </row>
    <row r="21" spans="1:3" x14ac:dyDescent="0.25">
      <c r="A21" t="s">
        <v>206</v>
      </c>
      <c r="B21" t="s">
        <v>16</v>
      </c>
      <c r="C21" t="str">
        <f>"-1 PP cost to the bots in your hand each time this bot regains HP"</f>
        <v>-1 PP cost to the bots in your hand each time this bot regains HP</v>
      </c>
    </row>
    <row r="22" spans="1:3" x14ac:dyDescent="0.25">
      <c r="A22" t="s">
        <v>44</v>
      </c>
      <c r="B22" t="s">
        <v>22</v>
      </c>
      <c r="C22" t="str">
        <f>"-10 dmg to each attack"</f>
        <v>-10 dmg to each attack</v>
      </c>
    </row>
    <row r="23" spans="1:3" x14ac:dyDescent="0.25">
      <c r="A23" t="s">
        <v>91</v>
      </c>
      <c r="B23" t="s">
        <v>22</v>
      </c>
      <c r="C23" t="s">
        <v>199</v>
      </c>
    </row>
    <row r="24" spans="1:3" x14ac:dyDescent="0.25">
      <c r="A24" t="s">
        <v>210</v>
      </c>
      <c r="B24" t="s">
        <v>45</v>
      </c>
      <c r="C24" t="str">
        <f>"+20 HP each time a bot moves"</f>
        <v>+20 HP each time a bot moves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C17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3" max="3" width="50.140625" bestFit="1" customWidth="1"/>
  </cols>
  <sheetData>
    <row r="1" spans="1:3" x14ac:dyDescent="0.25">
      <c r="A1" t="s">
        <v>201</v>
      </c>
      <c r="B1" t="s">
        <v>1</v>
      </c>
      <c r="C1" t="s">
        <v>41</v>
      </c>
    </row>
    <row r="2" spans="1:3" x14ac:dyDescent="0.25">
      <c r="A2" t="s">
        <v>88</v>
      </c>
      <c r="B2" t="s">
        <v>78</v>
      </c>
      <c r="C2" t="s">
        <v>98</v>
      </c>
    </row>
    <row r="3" spans="1:3" x14ac:dyDescent="0.25">
      <c r="A3" t="s">
        <v>100</v>
      </c>
      <c r="B3" t="s">
        <v>78</v>
      </c>
      <c r="C3" t="s">
        <v>99</v>
      </c>
    </row>
    <row r="4" spans="1:3" x14ac:dyDescent="0.25">
      <c r="A4" t="s">
        <v>43</v>
      </c>
      <c r="B4" t="s">
        <v>4</v>
      </c>
      <c r="C4" t="str">
        <f>"+1 pp to random ally"</f>
        <v>+1 pp to random ally</v>
      </c>
    </row>
    <row r="5" spans="1:3" x14ac:dyDescent="0.25">
      <c r="A5" t="s">
        <v>95</v>
      </c>
      <c r="B5" t="s">
        <v>4</v>
      </c>
      <c r="C5" t="str">
        <f>"-1 cost to upgrades"</f>
        <v>-1 cost to upgrades</v>
      </c>
    </row>
    <row r="6" spans="1:3" x14ac:dyDescent="0.25">
      <c r="A6" t="s">
        <v>42</v>
      </c>
      <c r="B6" t="s">
        <v>9</v>
      </c>
      <c r="C6" t="s">
        <v>89</v>
      </c>
    </row>
    <row r="7" spans="1:3" x14ac:dyDescent="0.25">
      <c r="A7" t="s">
        <v>94</v>
      </c>
      <c r="B7" t="s">
        <v>9</v>
      </c>
      <c r="C7" t="str">
        <f>"+1 dmg each turn after atk"</f>
        <v>+1 dmg each turn after atk</v>
      </c>
    </row>
    <row r="8" spans="1:3" x14ac:dyDescent="0.25">
      <c r="A8" t="s">
        <v>92</v>
      </c>
      <c r="B8" t="s">
        <v>45</v>
      </c>
      <c r="C8" t="s">
        <v>97</v>
      </c>
    </row>
    <row r="9" spans="1:3" x14ac:dyDescent="0.25">
      <c r="A9" t="s">
        <v>131</v>
      </c>
      <c r="B9" t="s">
        <v>45</v>
      </c>
      <c r="C9" t="s">
        <v>93</v>
      </c>
    </row>
    <row r="10" spans="1:3" x14ac:dyDescent="0.25">
      <c r="A10" t="s">
        <v>196</v>
      </c>
      <c r="B10" t="s">
        <v>16</v>
      </c>
      <c r="C10" t="str">
        <f>"+10 hp each turn for each active friendly bot"</f>
        <v>+10 hp each turn for each active friendly bot</v>
      </c>
    </row>
    <row r="11" spans="1:3" x14ac:dyDescent="0.25">
      <c r="A11" t="s">
        <v>96</v>
      </c>
      <c r="B11" t="s">
        <v>16</v>
      </c>
      <c r="C11" t="str">
        <f>"+1 pp each turn for each active friendly bot"</f>
        <v>+1 pp each turn for each active friendly bot</v>
      </c>
    </row>
    <row r="12" spans="1:3" x14ac:dyDescent="0.25">
      <c r="A12" t="s">
        <v>90</v>
      </c>
      <c r="B12" t="s">
        <v>16</v>
      </c>
      <c r="C12" t="str">
        <f>"-1 PP cost for new bots"</f>
        <v>-1 PP cost for new bots</v>
      </c>
    </row>
    <row r="13" spans="1:3" x14ac:dyDescent="0.25">
      <c r="A13" t="s">
        <v>197</v>
      </c>
      <c r="B13" t="s">
        <v>16</v>
      </c>
      <c r="C13" t="str">
        <f>"+20 HP each time a new bot is built"</f>
        <v>+20 HP each time a new bot is built</v>
      </c>
    </row>
    <row r="14" spans="1:3" x14ac:dyDescent="0.25">
      <c r="A14" t="s">
        <v>198</v>
      </c>
      <c r="B14" t="s">
        <v>16</v>
      </c>
      <c r="C14" t="str">
        <f>"+2 PP each time a new bot is built"</f>
        <v>+2 PP each time a new bot is built</v>
      </c>
    </row>
    <row r="15" spans="1:3" x14ac:dyDescent="0.25">
      <c r="A15" t="s">
        <v>44</v>
      </c>
      <c r="B15" t="s">
        <v>22</v>
      </c>
      <c r="C15" t="str">
        <f>"-10 dmg to each attack"</f>
        <v>-10 dmg to each attack</v>
      </c>
    </row>
    <row r="16" spans="1:3" x14ac:dyDescent="0.25">
      <c r="A16" t="s">
        <v>91</v>
      </c>
      <c r="B16" t="s">
        <v>22</v>
      </c>
      <c r="C16" t="s">
        <v>199</v>
      </c>
    </row>
    <row r="17" spans="1:3" x14ac:dyDescent="0.25">
      <c r="A17" t="s">
        <v>200</v>
      </c>
      <c r="B17" t="s">
        <v>45</v>
      </c>
      <c r="C17" s="59" t="str">
        <f>"+1 PP from each non-adjacent Weather Event resource"</f>
        <v>+1 PP from each non-adjacent Weather Event resource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L62"/>
  <sheetViews>
    <sheetView workbookViewId="0">
      <selection activeCell="I41" sqref="I41"/>
    </sheetView>
  </sheetViews>
  <sheetFormatPr defaultRowHeight="15" x14ac:dyDescent="0.25"/>
  <cols>
    <col min="1" max="1" width="12.5703125" customWidth="1"/>
    <col min="2" max="2" width="11" bestFit="1" customWidth="1"/>
    <col min="5" max="5" width="13.7109375" bestFit="1" customWidth="1"/>
    <col min="6" max="6" width="13.42578125" bestFit="1" customWidth="1"/>
    <col min="7" max="7" width="17.85546875" bestFit="1" customWidth="1"/>
  </cols>
  <sheetData>
    <row r="1" spans="1:12" ht="15.75" x14ac:dyDescent="0.25">
      <c r="A1" s="24" t="s">
        <v>0</v>
      </c>
      <c r="B1" s="24" t="s">
        <v>1</v>
      </c>
      <c r="C1" s="24" t="s">
        <v>37</v>
      </c>
      <c r="D1" s="24" t="s">
        <v>46</v>
      </c>
      <c r="E1" s="24" t="s">
        <v>47</v>
      </c>
      <c r="F1" s="24" t="s">
        <v>69</v>
      </c>
      <c r="G1" s="24" t="s">
        <v>156</v>
      </c>
    </row>
    <row r="2" spans="1:12" ht="15.75" x14ac:dyDescent="0.25">
      <c r="A2" s="24" t="s">
        <v>83</v>
      </c>
      <c r="B2" s="24" t="s">
        <v>78</v>
      </c>
      <c r="C2" s="24">
        <v>0</v>
      </c>
      <c r="D2" s="24">
        <v>2</v>
      </c>
      <c r="E2" s="24"/>
      <c r="F2" s="24">
        <f>IF(ISBLANK(Table2[[#This Row],[Abiliity]]),0,1)</f>
        <v>0</v>
      </c>
      <c r="G2" s="24" t="str" cm="1">
        <f t="array" aca="1" ref="G2" ca="1">_xlfn.CONCAT(UPPER(Table2[[#This Row],[Name]]),INDEX(Table1[Name],LARGE(IF(Table1[Type]=Table2[[#This Row],[Type]],ROW(Table1[Type])-1),INT(RAND()*COUNTIF(Table1[Type],Table2[[#This Row],[Type]])+1))))</f>
        <v>NOCTAnacht</v>
      </c>
    </row>
    <row r="3" spans="1:12" ht="15.75" x14ac:dyDescent="0.25">
      <c r="A3" s="24" t="s">
        <v>107</v>
      </c>
      <c r="B3" s="24" t="s">
        <v>78</v>
      </c>
      <c r="C3" s="24">
        <v>1</v>
      </c>
      <c r="D3" s="24">
        <v>4</v>
      </c>
      <c r="E3" s="24"/>
      <c r="F3" s="24">
        <f>IF(ISBLANK(Table2[[#This Row],[Abiliity]]),0,1)</f>
        <v>0</v>
      </c>
      <c r="G3" s="24" t="str" cm="1">
        <f t="array" aca="1" ref="G3" ca="1">_xlfn.CONCAT(UPPER(Table2[[#This Row],[Name]]),INDEX(Table1[Name],LARGE(IF(Table1[Type]=Table2[[#This Row],[Type]],ROW(Table1[Type])-1),INT(RAND()*COUNTIF(Table1[Type],Table2[[#This Row],[Type]])+1))))</f>
        <v>SYNAnacht</v>
      </c>
    </row>
    <row r="4" spans="1:12" ht="15.75" x14ac:dyDescent="0.25">
      <c r="A4" s="24" t="s">
        <v>84</v>
      </c>
      <c r="B4" s="24" t="s">
        <v>78</v>
      </c>
      <c r="C4" s="24">
        <v>1</v>
      </c>
      <c r="D4" s="24">
        <v>2</v>
      </c>
      <c r="E4" s="24" t="s">
        <v>88</v>
      </c>
      <c r="F4" s="24">
        <f>IF(ISBLANK(Table2[[#This Row],[Abiliity]]),0,1)</f>
        <v>1</v>
      </c>
      <c r="G4" s="24" t="str" cm="1">
        <f t="array" aca="1" ref="G4" ca="1">_xlfn.CONCAT(UPPER(Table2[[#This Row],[Name]]),INDEX(Table1[Name],LARGE(IF(Table1[Type]=Table2[[#This Row],[Type]],ROW(Table1[Type])-1),INT(RAND()*COUNTIF(Table1[Type],Table2[[#This Row],[Type]])+1))))</f>
        <v>LUNAnyx</v>
      </c>
    </row>
    <row r="5" spans="1:12" ht="15.75" x14ac:dyDescent="0.25">
      <c r="A5" s="24" t="s">
        <v>85</v>
      </c>
      <c r="B5" s="24" t="s">
        <v>78</v>
      </c>
      <c r="C5" s="24">
        <v>1</v>
      </c>
      <c r="D5" s="24">
        <v>2</v>
      </c>
      <c r="E5" s="24" t="s">
        <v>100</v>
      </c>
      <c r="F5" s="24">
        <f>IF(ISBLANK(Table2[[#This Row],[Abiliity]]),0,1)</f>
        <v>1</v>
      </c>
      <c r="G5" s="24" t="str" cm="1">
        <f t="array" aca="1" ref="G5" ca="1">_xlfn.CONCAT(UPPER(Table2[[#This Row],[Name]]),INDEX(Table1[Name],LARGE(IF(Table1[Type]=Table2[[#This Row],[Type]],ROW(Table1[Type])-1),INT(RAND()*COUNTIF(Table1[Type],Table2[[#This Row],[Type]])+1))))</f>
        <v>UMBRAklum</v>
      </c>
    </row>
    <row r="6" spans="1:12" ht="15.75" x14ac:dyDescent="0.25">
      <c r="A6" s="24" t="s">
        <v>87</v>
      </c>
      <c r="B6" s="24" t="s">
        <v>78</v>
      </c>
      <c r="C6" s="24">
        <v>2</v>
      </c>
      <c r="D6" s="24">
        <v>4</v>
      </c>
      <c r="E6" s="24" t="s">
        <v>88</v>
      </c>
      <c r="F6" s="24">
        <f>IF(ISBLANK(Table2[[#This Row],[Abiliity]]),0,1)</f>
        <v>1</v>
      </c>
      <c r="G6" s="24" t="str" cm="1">
        <f t="array" aca="1" ref="G6" ca="1">_xlfn.CONCAT(UPPER(Table2[[#This Row],[Name]]),INDEX(Table1[Name],LARGE(IF(Table1[Type]=Table2[[#This Row],[Type]],ROW(Table1[Type])-1),INT(RAND()*COUNTIF(Table1[Type],Table2[[#This Row],[Type]])+1))))</f>
        <v>KLEPTOply</v>
      </c>
    </row>
    <row r="7" spans="1:12" ht="15.75" x14ac:dyDescent="0.25">
      <c r="A7" s="24" t="s">
        <v>108</v>
      </c>
      <c r="B7" s="24" t="s">
        <v>78</v>
      </c>
      <c r="C7" s="24">
        <v>2</v>
      </c>
      <c r="D7" s="24">
        <v>4</v>
      </c>
      <c r="E7" s="24" t="s">
        <v>100</v>
      </c>
      <c r="F7" s="24">
        <f>IF(ISBLANK(Table2[[#This Row],[Abiliity]]),0,1)</f>
        <v>1</v>
      </c>
      <c r="G7" s="24" t="str" cm="1">
        <f t="array" aca="1" ref="G7" ca="1">_xlfn.CONCAT(UPPER(Table2[[#This Row],[Name]]),INDEX(Table1[Name],LARGE(IF(Table1[Type]=Table2[[#This Row],[Type]],ROW(Table1[Type])-1),INT(RAND()*COUNTIF(Table1[Type],Table2[[#This Row],[Type]])+1))))</f>
        <v>CORVAnyx</v>
      </c>
    </row>
    <row r="8" spans="1:12" ht="15.75" x14ac:dyDescent="0.25">
      <c r="A8" s="24" t="s">
        <v>120</v>
      </c>
      <c r="B8" s="24" t="s">
        <v>78</v>
      </c>
      <c r="C8" s="24">
        <v>3</v>
      </c>
      <c r="D8" s="24">
        <v>6</v>
      </c>
      <c r="E8" s="24" t="s">
        <v>88</v>
      </c>
      <c r="F8" s="24">
        <f>IF(ISBLANK(Table2[[#This Row],[Abiliity]]),0,1)</f>
        <v>1</v>
      </c>
      <c r="G8" s="24" t="str" cm="1">
        <f t="array" aca="1" ref="G8" ca="1">_xlfn.CONCAT(UPPER(Table2[[#This Row],[Name]]),INDEX(Table1[Name],LARGE(IF(Table1[Type]=Table2[[#This Row],[Type]],ROW(Table1[Type])-1),INT(RAND()*COUNTIF(Table1[Type],Table2[[#This Row],[Type]])+1))))</f>
        <v>HYPNOrect</v>
      </c>
    </row>
    <row r="9" spans="1:12" ht="15.75" x14ac:dyDescent="0.25">
      <c r="A9" s="24" t="s">
        <v>127</v>
      </c>
      <c r="B9" s="24" t="s">
        <v>78</v>
      </c>
      <c r="C9" s="24">
        <v>3</v>
      </c>
      <c r="D9" s="24">
        <v>6</v>
      </c>
      <c r="E9" s="24" t="s">
        <v>100</v>
      </c>
      <c r="F9" s="24">
        <f>IF(ISBLANK(Table2[[#This Row],[Abiliity]]),0,1)</f>
        <v>1</v>
      </c>
      <c r="G9" s="24" t="str" cm="1">
        <f t="array" aca="1" ref="G9" ca="1">_xlfn.CONCAT(UPPER(Table2[[#This Row],[Name]]),INDEX(Table1[Name],LARGE(IF(Table1[Type]=Table2[[#This Row],[Type]],ROW(Table1[Type])-1),INT(RAND()*COUNTIF(Table1[Type],Table2[[#This Row],[Type]])+1))))</f>
        <v>DEXTRAklum</v>
      </c>
      <c r="J9" s="4"/>
      <c r="K9" s="4"/>
      <c r="L9" s="4"/>
    </row>
    <row r="10" spans="1:12" ht="15.75" x14ac:dyDescent="0.25">
      <c r="A10" s="24" t="s">
        <v>52</v>
      </c>
      <c r="B10" s="24" t="s">
        <v>4</v>
      </c>
      <c r="C10" s="24">
        <v>0</v>
      </c>
      <c r="D10" s="24">
        <v>0</v>
      </c>
      <c r="E10" s="24" t="s">
        <v>95</v>
      </c>
      <c r="F10" s="24">
        <f>IF(ISBLANK(Table2[[#This Row],[Abiliity]]),0,1)</f>
        <v>1</v>
      </c>
      <c r="G10" s="24" t="str" cm="1">
        <f t="array" aca="1" ref="G10" ca="1">_xlfn.CONCAT(UPPER(Table2[[#This Row],[Name]]),INDEX(Table1[Name],LARGE(IF(Table1[Type]=Table2[[#This Row],[Type]],ROW(Table1[Type])-1),INT(RAND()*COUNTIF(Table1[Type],Table2[[#This Row],[Type]])+1))))</f>
        <v>PROTOnite</v>
      </c>
    </row>
    <row r="11" spans="1:12" ht="15.75" x14ac:dyDescent="0.25">
      <c r="A11" s="24" t="s">
        <v>3</v>
      </c>
      <c r="B11" s="24" t="s">
        <v>4</v>
      </c>
      <c r="C11" s="24">
        <v>1</v>
      </c>
      <c r="D11" s="24">
        <v>4</v>
      </c>
      <c r="E11" s="24"/>
      <c r="F11" s="24">
        <f>IF(ISBLANK(Table2[[#This Row],[Abiliity]]),0,1)</f>
        <v>0</v>
      </c>
      <c r="G11" s="24" t="str" cm="1">
        <f t="array" aca="1" ref="G11" ca="1">_xlfn.CONCAT(UPPER(Table2[[#This Row],[Name]]),INDEX(Table1[Name],LARGE(IF(Table1[Type]=Table2[[#This Row],[Type]],ROW(Table1[Type])-1),INT(RAND()*COUNTIF(Table1[Type],Table2[[#This Row],[Type]])+1))))</f>
        <v>NUCLEtheum</v>
      </c>
    </row>
    <row r="12" spans="1:12" ht="15.75" x14ac:dyDescent="0.25">
      <c r="A12" s="24" t="s">
        <v>6</v>
      </c>
      <c r="B12" s="24" t="s">
        <v>4</v>
      </c>
      <c r="C12" s="24">
        <v>1</v>
      </c>
      <c r="D12" s="24">
        <v>2</v>
      </c>
      <c r="E12" s="24" t="s">
        <v>43</v>
      </c>
      <c r="F12" s="24">
        <f>IF(ISBLANK(Table2[[#This Row],[Abiliity]]),0,1)</f>
        <v>1</v>
      </c>
      <c r="G12" s="24" t="str" cm="1">
        <f t="array" aca="1" ref="G12" ca="1">_xlfn.CONCAT(UPPER(Table2[[#This Row],[Name]]),INDEX(Table1[Name],LARGE(IF(Table1[Type]=Table2[[#This Row],[Type]],ROW(Table1[Type])-1),INT(RAND()*COUNTIF(Table1[Type],Table2[[#This Row],[Type]])+1))))</f>
        <v>RADIzone</v>
      </c>
    </row>
    <row r="13" spans="1:12" ht="15.75" x14ac:dyDescent="0.25">
      <c r="A13" s="24" t="s">
        <v>51</v>
      </c>
      <c r="B13" s="24" t="s">
        <v>4</v>
      </c>
      <c r="C13" s="24">
        <v>1</v>
      </c>
      <c r="D13" s="24">
        <v>2</v>
      </c>
      <c r="E13" s="24" t="s">
        <v>95</v>
      </c>
      <c r="F13" s="24">
        <f>IF(ISBLANK(Table2[[#This Row],[Abiliity]]),0,1)</f>
        <v>1</v>
      </c>
      <c r="G13" s="24" t="str" cm="1">
        <f t="array" aca="1" ref="G13" ca="1">_xlfn.CONCAT(UPPER(Table2[[#This Row],[Name]]),INDEX(Table1[Name],LARGE(IF(Table1[Type]=Table2[[#This Row],[Type]],ROW(Table1[Type])-1),INT(RAND()*COUNTIF(Table1[Type],Table2[[#This Row],[Type]])+1))))</f>
        <v>NEOtheum</v>
      </c>
    </row>
    <row r="14" spans="1:12" ht="15.75" x14ac:dyDescent="0.25">
      <c r="A14" s="24" t="s">
        <v>5</v>
      </c>
      <c r="B14" s="24" t="s">
        <v>4</v>
      </c>
      <c r="C14" s="24">
        <v>2</v>
      </c>
      <c r="D14" s="24">
        <v>6</v>
      </c>
      <c r="E14" s="24"/>
      <c r="F14" s="24">
        <f>IF(ISBLANK(Table2[[#This Row],[Abiliity]]),0,1)</f>
        <v>0</v>
      </c>
      <c r="G14" s="24" t="str" cm="1">
        <f t="array" aca="1" ref="G14" ca="1">_xlfn.CONCAT(UPPER(Table2[[#This Row],[Name]]),INDEX(Table1[Name],LARGE(IF(Table1[Type]=Table2[[#This Row],[Type]],ROW(Table1[Type])-1),INT(RAND()*COUNTIF(Table1[Type],Table2[[#This Row],[Type]])+1))))</f>
        <v>PLUTOlium</v>
      </c>
    </row>
    <row r="15" spans="1:12" ht="15.75" x14ac:dyDescent="0.25">
      <c r="A15" s="24" t="s">
        <v>7</v>
      </c>
      <c r="B15" s="24" t="s">
        <v>4</v>
      </c>
      <c r="C15" s="24">
        <v>2</v>
      </c>
      <c r="D15" s="24">
        <v>4</v>
      </c>
      <c r="E15" s="24" t="s">
        <v>43</v>
      </c>
      <c r="F15" s="24">
        <f>IF(ISBLANK(Table2[[#This Row],[Abiliity]]),0,1)</f>
        <v>1</v>
      </c>
      <c r="G15" s="24" t="str" cm="1">
        <f t="array" aca="1" ref="G15" ca="1">_xlfn.CONCAT(UPPER(Table2[[#This Row],[Name]]),INDEX(Table1[Name],LARGE(IF(Table1[Type]=Table2[[#This Row],[Type]],ROW(Table1[Type])-1),INT(RAND()*COUNTIF(Table1[Type],Table2[[#This Row],[Type]])+1))))</f>
        <v>URAtheum</v>
      </c>
    </row>
    <row r="16" spans="1:12" ht="15.75" x14ac:dyDescent="0.25">
      <c r="A16" s="24" t="s">
        <v>121</v>
      </c>
      <c r="B16" s="24" t="s">
        <v>4</v>
      </c>
      <c r="C16" s="24">
        <v>2</v>
      </c>
      <c r="D16" s="24">
        <v>4</v>
      </c>
      <c r="E16" s="24" t="s">
        <v>95</v>
      </c>
      <c r="F16" s="24">
        <f>IF(ISBLANK(Table2[[#This Row],[Abiliity]]),0,1)</f>
        <v>1</v>
      </c>
      <c r="G16" s="24" t="str" cm="1">
        <f t="array" aca="1" ref="G16" ca="1">_xlfn.CONCAT(UPPER(Table2[[#This Row],[Name]]),INDEX(Table1[Name],LARGE(IF(Table1[Type]=Table2[[#This Row],[Type]],ROW(Table1[Type])-1),INT(RAND()*COUNTIF(Table1[Type],Table2[[#This Row],[Type]])+1))))</f>
        <v>FERRUlium</v>
      </c>
    </row>
    <row r="17" spans="1:7" ht="15.75" x14ac:dyDescent="0.25">
      <c r="A17" s="24" t="s">
        <v>125</v>
      </c>
      <c r="B17" s="24" t="s">
        <v>4</v>
      </c>
      <c r="C17" s="24">
        <v>3</v>
      </c>
      <c r="D17" s="24">
        <v>6</v>
      </c>
      <c r="E17" s="24" t="s">
        <v>43</v>
      </c>
      <c r="F17" s="24">
        <f>IF(ISBLANK(Table2[[#This Row],[Abiliity]]),0,1)</f>
        <v>1</v>
      </c>
      <c r="G17" s="24" t="str" cm="1">
        <f t="array" aca="1" ref="G17" ca="1">_xlfn.CONCAT(UPPER(Table2[[#This Row],[Name]]),INDEX(Table1[Name],LARGE(IF(Table1[Type]=Table2[[#This Row],[Type]],ROW(Table1[Type])-1),INT(RAND()*COUNTIF(Table1[Type],Table2[[#This Row],[Type]])+1))))</f>
        <v>COLAbium</v>
      </c>
    </row>
    <row r="18" spans="1:7" ht="15.75" x14ac:dyDescent="0.25">
      <c r="A18" s="24" t="s">
        <v>8</v>
      </c>
      <c r="B18" s="24" t="s">
        <v>9</v>
      </c>
      <c r="C18" s="24">
        <v>0</v>
      </c>
      <c r="D18" s="24">
        <v>4</v>
      </c>
      <c r="E18" s="24"/>
      <c r="F18" s="24">
        <f>IF(ISBLANK(Table2[[#This Row],[Abiliity]]),0,1)</f>
        <v>0</v>
      </c>
      <c r="G18" s="24" t="str" cm="1">
        <f t="array" aca="1" ref="G18" ca="1">_xlfn.CONCAT(UPPER(Table2[[#This Row],[Name]]),INDEX(Table1[Name],LARGE(IF(Table1[Type]=Table2[[#This Row],[Type]],ROW(Table1[Type])-1),INT(RAND()*COUNTIF(Table1[Type],Table2[[#This Row],[Type]])+1))))</f>
        <v>ANTHRAkar</v>
      </c>
    </row>
    <row r="19" spans="1:7" ht="15.75" x14ac:dyDescent="0.25">
      <c r="A19" s="24" t="s">
        <v>10</v>
      </c>
      <c r="B19" s="24" t="s">
        <v>9</v>
      </c>
      <c r="C19" s="24">
        <v>1</v>
      </c>
      <c r="D19" s="24">
        <v>6</v>
      </c>
      <c r="E19" s="24"/>
      <c r="F19" s="24">
        <f>IF(ISBLANK(Table2[[#This Row],[Abiliity]]),0,1)</f>
        <v>0</v>
      </c>
      <c r="G19" s="24" t="str" cm="1">
        <f t="array" aca="1" ref="G19" ca="1">_xlfn.CONCAT(UPPER(Table2[[#This Row],[Name]]),INDEX(Table1[Name],LARGE(IF(Table1[Type]=Table2[[#This Row],[Type]],ROW(Table1[Type])-1),INT(RAND()*COUNTIF(Table1[Type],Table2[[#This Row],[Type]])+1))))</f>
        <v>CHARIbar</v>
      </c>
    </row>
    <row r="20" spans="1:7" ht="15.75" x14ac:dyDescent="0.25">
      <c r="A20" s="24" t="s">
        <v>11</v>
      </c>
      <c r="B20" s="24" t="s">
        <v>9</v>
      </c>
      <c r="C20" s="24">
        <v>1</v>
      </c>
      <c r="D20" s="24">
        <v>4</v>
      </c>
      <c r="E20" s="24" t="s">
        <v>94</v>
      </c>
      <c r="F20" s="24">
        <f>IF(ISBLANK(Table2[[#This Row],[Abiliity]]),0,1)</f>
        <v>1</v>
      </c>
      <c r="G20" s="24" t="str" cm="1">
        <f t="array" aca="1" ref="G20" ca="1">_xlfn.CONCAT(UPPER(Table2[[#This Row],[Name]]),INDEX(Table1[Name],LARGE(IF(Table1[Type]=Table2[[#This Row],[Type]],ROW(Table1[Type])-1),INT(RAND()*COUNTIF(Table1[Type],Table2[[#This Row],[Type]])+1))))</f>
        <v>ATMOton</v>
      </c>
    </row>
    <row r="21" spans="1:7" ht="15.75" x14ac:dyDescent="0.25">
      <c r="A21" s="24" t="s">
        <v>12</v>
      </c>
      <c r="B21" s="24" t="s">
        <v>9</v>
      </c>
      <c r="C21" s="24">
        <v>1</v>
      </c>
      <c r="D21" s="24">
        <v>4</v>
      </c>
      <c r="E21" s="24" t="s">
        <v>42</v>
      </c>
      <c r="F21" s="24">
        <f>IF(ISBLANK(Table2[[#This Row],[Abiliity]]),0,1)</f>
        <v>1</v>
      </c>
      <c r="G21" s="24" t="str" cm="1">
        <f t="array" aca="1" ref="G21" ca="1">_xlfn.CONCAT(UPPER(Table2[[#This Row],[Name]]),INDEX(Table1[Name],LARGE(IF(Table1[Type]=Table2[[#This Row],[Type]],ROW(Table1[Type])-1),INT(RAND()*COUNTIF(Table1[Type],Table2[[#This Row],[Type]])+1))))</f>
        <v>EXPLOdon</v>
      </c>
    </row>
    <row r="22" spans="1:7" ht="15.75" x14ac:dyDescent="0.25">
      <c r="A22" s="24" t="s">
        <v>13</v>
      </c>
      <c r="B22" s="24" t="s">
        <v>9</v>
      </c>
      <c r="C22" s="24">
        <v>2</v>
      </c>
      <c r="D22" s="24">
        <v>8</v>
      </c>
      <c r="E22" s="24"/>
      <c r="F22" s="24">
        <f>IF(ISBLANK(Table2[[#This Row],[Abiliity]]),0,1)</f>
        <v>0</v>
      </c>
      <c r="G22" s="24" t="str" cm="1">
        <f t="array" aca="1" ref="G22" ca="1">_xlfn.CONCAT(UPPER(Table2[[#This Row],[Name]]),INDEX(Table1[Name],LARGE(IF(Table1[Type]=Table2[[#This Row],[Type]],ROW(Table1[Type])-1),INT(RAND()*COUNTIF(Table1[Type],Table2[[#This Row],[Type]])+1))))</f>
        <v>OLEUgul</v>
      </c>
    </row>
    <row r="23" spans="1:7" ht="15.75" x14ac:dyDescent="0.25">
      <c r="A23" s="24" t="s">
        <v>14</v>
      </c>
      <c r="B23" s="24" t="s">
        <v>9</v>
      </c>
      <c r="C23" s="24">
        <v>2</v>
      </c>
      <c r="D23" s="24">
        <v>6</v>
      </c>
      <c r="E23" s="24" t="s">
        <v>94</v>
      </c>
      <c r="F23" s="24">
        <f>IF(ISBLANK(Table2[[#This Row],[Abiliity]]),0,1)</f>
        <v>1</v>
      </c>
      <c r="G23" s="24" t="str" cm="1">
        <f t="array" aca="1" ref="G23" ca="1">_xlfn.CONCAT(UPPER(Table2[[#This Row],[Name]]),INDEX(Table1[Name],LARGE(IF(Table1[Type]=Table2[[#This Row],[Type]],ROW(Table1[Type])-1),INT(RAND()*COUNTIF(Table1[Type],Table2[[#This Row],[Type]])+1))))</f>
        <v>PYROdon</v>
      </c>
    </row>
    <row r="24" spans="1:7" ht="15.75" x14ac:dyDescent="0.25">
      <c r="A24" s="24" t="s">
        <v>123</v>
      </c>
      <c r="B24" s="24" t="s">
        <v>9</v>
      </c>
      <c r="C24" s="24">
        <v>2</v>
      </c>
      <c r="D24" s="24">
        <v>6</v>
      </c>
      <c r="E24" s="24" t="s">
        <v>42</v>
      </c>
      <c r="F24" s="24">
        <f>IF(ISBLANK(Table2[[#This Row],[Abiliity]]),0,1)</f>
        <v>1</v>
      </c>
      <c r="G24" s="24" t="str" cm="1">
        <f t="array" aca="1" ref="G24" ca="1">_xlfn.CONCAT(UPPER(Table2[[#This Row],[Name]]),INDEX(Table1[Name],LARGE(IF(Table1[Type]=Table2[[#This Row],[Type]],ROW(Table1[Type])-1),INT(RAND()*COUNTIF(Table1[Type],Table2[[#This Row],[Type]])+1))))</f>
        <v>THURMAkar</v>
      </c>
    </row>
    <row r="25" spans="1:7" ht="15.75" x14ac:dyDescent="0.25">
      <c r="A25" s="24" t="s">
        <v>129</v>
      </c>
      <c r="B25" s="24" t="s">
        <v>9</v>
      </c>
      <c r="C25" s="24">
        <v>3</v>
      </c>
      <c r="D25" s="24">
        <v>8</v>
      </c>
      <c r="E25" s="24"/>
      <c r="F25" s="24">
        <f>IF(ISBLANK(Table2[[#This Row],[Abiliity]]),0,1)</f>
        <v>0</v>
      </c>
      <c r="G25" s="24" t="str" cm="1">
        <f t="array" aca="1" ref="G25" ca="1">_xlfn.CONCAT(UPPER(Table2[[#This Row],[Name]]),INDEX(Table1[Name],LARGE(IF(Table1[Type]=Table2[[#This Row],[Type]],ROW(Table1[Type])-1),INT(RAND()*COUNTIF(Table1[Type],Table2[[#This Row],[Type]])+1))))</f>
        <v>FIRAbar</v>
      </c>
    </row>
    <row r="26" spans="1:7" ht="15.75" x14ac:dyDescent="0.25">
      <c r="A26" s="24" t="s">
        <v>21</v>
      </c>
      <c r="B26" s="24" t="s">
        <v>45</v>
      </c>
      <c r="C26" s="24">
        <v>0</v>
      </c>
      <c r="D26" s="24">
        <v>2</v>
      </c>
      <c r="E26" s="24"/>
      <c r="F26" s="24">
        <f>IF(ISBLANK(Table2[[#This Row],[Abiliity]]),0,1)</f>
        <v>0</v>
      </c>
      <c r="G26" s="24" t="str" cm="1">
        <f t="array" aca="1" ref="G26" ca="1">_xlfn.CONCAT(UPPER(Table2[[#This Row],[Name]]),INDEX(Table1[Name],LARGE(IF(Table1[Type]=Table2[[#This Row],[Type]],ROW(Table1[Type])-1),INT(RAND()*COUNTIF(Table1[Type],Table2[[#This Row],[Type]])+1))))</f>
        <v>GEOviz</v>
      </c>
    </row>
    <row r="27" spans="1:7" ht="15.75" x14ac:dyDescent="0.25">
      <c r="A27" s="24" t="s">
        <v>128</v>
      </c>
      <c r="B27" s="24" t="s">
        <v>45</v>
      </c>
      <c r="C27" s="24">
        <v>1</v>
      </c>
      <c r="D27" s="24">
        <v>4</v>
      </c>
      <c r="E27" s="24"/>
      <c r="F27" s="24">
        <f>IF(ISBLANK(Table2[[#This Row],[Abiliity]]),0,1)</f>
        <v>0</v>
      </c>
      <c r="G27" s="24" t="str" cm="1">
        <f t="array" aca="1" ref="G27" ca="1">_xlfn.CONCAT(UPPER(Table2[[#This Row],[Name]]),INDEX(Table1[Name],LARGE(IF(Table1[Type]=Table2[[#This Row],[Type]],ROW(Table1[Type])-1),INT(RAND()*COUNTIF(Table1[Type],Table2[[#This Row],[Type]])+1))))</f>
        <v>VAPOtalus</v>
      </c>
    </row>
    <row r="28" spans="1:7" ht="15.75" x14ac:dyDescent="0.25">
      <c r="A28" s="24" t="s">
        <v>27</v>
      </c>
      <c r="B28" s="24" t="s">
        <v>45</v>
      </c>
      <c r="C28" s="24">
        <v>1</v>
      </c>
      <c r="D28" s="24">
        <v>2</v>
      </c>
      <c r="E28" s="24" t="s">
        <v>92</v>
      </c>
      <c r="F28" s="24">
        <f>IF(ISBLANK(Table2[[#This Row],[Abiliity]]),0,1)</f>
        <v>1</v>
      </c>
      <c r="G28" s="24" t="str" cm="1">
        <f t="array" aca="1" ref="G28" ca="1">_xlfn.CONCAT(UPPER(Table2[[#This Row],[Name]]),INDEX(Table1[Name],LARGE(IF(Table1[Type]=Table2[[#This Row],[Type]],ROW(Table1[Type])-1),INT(RAND()*COUNTIF(Table1[Type],Table2[[#This Row],[Type]])+1))))</f>
        <v>AEROmorph</v>
      </c>
    </row>
    <row r="29" spans="1:7" ht="15.75" x14ac:dyDescent="0.25">
      <c r="A29" s="24" t="s">
        <v>25</v>
      </c>
      <c r="B29" s="24" t="s">
        <v>45</v>
      </c>
      <c r="C29" s="24">
        <v>2</v>
      </c>
      <c r="D29" s="24">
        <v>6</v>
      </c>
      <c r="E29" s="24"/>
      <c r="F29" s="24">
        <f>IF(ISBLANK(Table2[[#This Row],[Abiliity]]),0,1)</f>
        <v>0</v>
      </c>
      <c r="G29" s="24" t="str" cm="1">
        <f t="array" aca="1" ref="G29" ca="1">_xlfn.CONCAT(UPPER(Table2[[#This Row],[Name]]),INDEX(Table1[Name],LARGE(IF(Table1[Type]=Table2[[#This Row],[Type]],ROW(Table1[Type])-1),INT(RAND()*COUNTIF(Table1[Type],Table2[[#This Row],[Type]])+1))))</f>
        <v>AQUAviz</v>
      </c>
    </row>
    <row r="30" spans="1:7" ht="15.75" x14ac:dyDescent="0.25">
      <c r="A30" s="24" t="s">
        <v>24</v>
      </c>
      <c r="B30" s="24" t="s">
        <v>45</v>
      </c>
      <c r="C30" s="24">
        <v>1</v>
      </c>
      <c r="D30" s="24">
        <v>2</v>
      </c>
      <c r="E30" s="24" t="s">
        <v>109</v>
      </c>
      <c r="F30" s="24">
        <f>IF(ISBLANK(Table2[[#This Row],[Abiliity]]),0,1)</f>
        <v>1</v>
      </c>
      <c r="G30" s="24" t="str" cm="1">
        <f t="array" aca="1" ref="G30" ca="1">_xlfn.CONCAT(UPPER(Table2[[#This Row],[Name]]),INDEX(Table1[Name],LARGE(IF(Table1[Type]=Table2[[#This Row],[Type]],ROW(Table1[Type])-1),INT(RAND()*COUNTIF(Table1[Type],Table2[[#This Row],[Type]])+1))))</f>
        <v>SOLAmorph</v>
      </c>
    </row>
    <row r="31" spans="1:7" ht="15.75" x14ac:dyDescent="0.25">
      <c r="A31" s="24" t="s">
        <v>28</v>
      </c>
      <c r="B31" s="24" t="s">
        <v>45</v>
      </c>
      <c r="C31" s="24">
        <v>2</v>
      </c>
      <c r="D31" s="24">
        <v>4</v>
      </c>
      <c r="E31" s="24" t="s">
        <v>92</v>
      </c>
      <c r="F31" s="24">
        <f>IF(ISBLANK(Table2[[#This Row],[Abiliity]]),0,1)</f>
        <v>1</v>
      </c>
      <c r="G31" s="24" t="str" cm="1">
        <f t="array" aca="1" ref="G31" ca="1">_xlfn.CONCAT(UPPER(Table2[[#This Row],[Name]]),INDEX(Table1[Name],LARGE(IF(Table1[Type]=Table2[[#This Row],[Type]],ROW(Table1[Type])-1),INT(RAND()*COUNTIF(Table1[Type],Table2[[#This Row],[Type]])+1))))</f>
        <v>VENTRAnax</v>
      </c>
    </row>
    <row r="32" spans="1:7" ht="15.75" x14ac:dyDescent="0.25">
      <c r="A32" s="24" t="s">
        <v>23</v>
      </c>
      <c r="B32" s="24" t="s">
        <v>45</v>
      </c>
      <c r="C32" s="24">
        <v>2</v>
      </c>
      <c r="D32" s="24">
        <v>4</v>
      </c>
      <c r="E32" s="24" t="s">
        <v>109</v>
      </c>
      <c r="F32" s="24">
        <f>IF(ISBLANK(Table2[[#This Row],[Abiliity]]),0,1)</f>
        <v>1</v>
      </c>
      <c r="G32" s="24" t="str" cm="1">
        <f t="array" aca="1" ref="G32" ca="1">_xlfn.CONCAT(UPPER(Table2[[#This Row],[Name]]),INDEX(Table1[Name],LARGE(IF(Table1[Type]=Table2[[#This Row],[Type]],ROW(Table1[Type])-1),INT(RAND()*COUNTIF(Table1[Type],Table2[[#This Row],[Type]])+1))))</f>
        <v>HELIOmant</v>
      </c>
    </row>
    <row r="33" spans="1:7" ht="15.75" x14ac:dyDescent="0.25">
      <c r="A33" s="24" t="s">
        <v>26</v>
      </c>
      <c r="B33" s="24" t="s">
        <v>45</v>
      </c>
      <c r="C33" s="24">
        <v>3</v>
      </c>
      <c r="D33" s="24">
        <v>8</v>
      </c>
      <c r="E33" s="24"/>
      <c r="F33" s="24">
        <f>IF(ISBLANK(Table2[[#This Row],[Abiliity]]),0,1)</f>
        <v>0</v>
      </c>
      <c r="G33" s="24" t="str" cm="1">
        <f t="array" aca="1" ref="G33" ca="1">_xlfn.CONCAT(UPPER(Table2[[#This Row],[Name]]),INDEX(Table1[Name],LARGE(IF(Table1[Type]=Table2[[#This Row],[Type]],ROW(Table1[Type])-1),INT(RAND()*COUNTIF(Table1[Type],Table2[[#This Row],[Type]])+1))))</f>
        <v>HYDROgar</v>
      </c>
    </row>
    <row r="34" spans="1:7" ht="15.75" x14ac:dyDescent="0.25">
      <c r="A34" s="24" t="s">
        <v>15</v>
      </c>
      <c r="B34" s="24" t="s">
        <v>16</v>
      </c>
      <c r="C34" s="24">
        <v>0</v>
      </c>
      <c r="D34" s="24">
        <v>0</v>
      </c>
      <c r="E34" s="24" t="s">
        <v>96</v>
      </c>
      <c r="F34" s="24">
        <f>IF(ISBLANK(Table2[[#This Row],[Abiliity]]),0,1)</f>
        <v>1</v>
      </c>
      <c r="G34" s="24" t="str" cm="1">
        <f t="array" aca="1" ref="G34" ca="1">_xlfn.CONCAT(UPPER(Table2[[#This Row],[Name]]),INDEX(Table1[Name],LARGE(IF(Table1[Type]=Table2[[#This Row],[Type]],ROW(Table1[Type])-1),INT(RAND()*COUNTIF(Table1[Type],Table2[[#This Row],[Type]])+1))))</f>
        <v>CARNIlophus</v>
      </c>
    </row>
    <row r="35" spans="1:7" ht="15.75" x14ac:dyDescent="0.25">
      <c r="A35" s="24" t="s">
        <v>19</v>
      </c>
      <c r="B35" s="24" t="s">
        <v>16</v>
      </c>
      <c r="C35" s="24">
        <v>0</v>
      </c>
      <c r="D35" s="24">
        <v>2</v>
      </c>
      <c r="E35" s="24"/>
      <c r="F35" s="24">
        <f>IF(ISBLANK(Table2[[#This Row],[Abiliity]]),0,1)</f>
        <v>0</v>
      </c>
      <c r="G35" s="24" t="str" cm="1">
        <f t="array" aca="1" ref="G35" ca="1">_xlfn.CONCAT(UPPER(Table2[[#This Row],[Name]]),INDEX(Table1[Name],LARGE(IF(Table1[Type]=Table2[[#This Row],[Type]],ROW(Table1[Type])-1),INT(RAND()*COUNTIF(Table1[Type],Table2[[#This Row],[Type]])+1))))</f>
        <v>HERBAphyte</v>
      </c>
    </row>
    <row r="36" spans="1:7" ht="15.75" x14ac:dyDescent="0.25">
      <c r="A36" s="24" t="s">
        <v>20</v>
      </c>
      <c r="B36" s="24" t="s">
        <v>16</v>
      </c>
      <c r="C36" s="24">
        <v>0</v>
      </c>
      <c r="D36" s="24">
        <v>0</v>
      </c>
      <c r="E36" s="24" t="s">
        <v>90</v>
      </c>
      <c r="F36" s="24">
        <f>IF(ISBLANK(Table2[[#This Row],[Abiliity]]),0,1)</f>
        <v>1</v>
      </c>
      <c r="G36" s="24" t="str" cm="1">
        <f t="array" aca="1" ref="G36" ca="1">_xlfn.CONCAT(UPPER(Table2[[#This Row],[Name]]),INDEX(Table1[Name],LARGE(IF(Table1[Type]=Table2[[#This Row],[Type]],ROW(Table1[Type])-1),INT(RAND()*COUNTIF(Table1[Type],Table2[[#This Row],[Type]])+1))))</f>
        <v>FLORAsuarus</v>
      </c>
    </row>
    <row r="37" spans="1:7" ht="15.75" x14ac:dyDescent="0.25">
      <c r="A37" s="24" t="s">
        <v>18</v>
      </c>
      <c r="B37" s="24" t="s">
        <v>16</v>
      </c>
      <c r="C37" s="24">
        <v>1</v>
      </c>
      <c r="D37" s="24">
        <v>4</v>
      </c>
      <c r="E37" s="24"/>
      <c r="F37" s="24">
        <f>IF(ISBLANK(Table2[[#This Row],[Abiliity]]),0,1)</f>
        <v>0</v>
      </c>
      <c r="G37" s="24" t="str" cm="1">
        <f t="array" aca="1" ref="G37" ca="1">_xlfn.CONCAT(UPPER(Table2[[#This Row],[Name]]),INDEX(Table1[Name],LARGE(IF(Table1[Type]=Table2[[#This Row],[Type]],ROW(Table1[Type])-1),INT(RAND()*COUNTIF(Table1[Type],Table2[[#This Row],[Type]])+1))))</f>
        <v>FAUNAvore</v>
      </c>
    </row>
    <row r="38" spans="1:7" ht="15.75" x14ac:dyDescent="0.25">
      <c r="A38" s="24" t="s">
        <v>17</v>
      </c>
      <c r="B38" s="24" t="s">
        <v>16</v>
      </c>
      <c r="C38" s="24">
        <v>1</v>
      </c>
      <c r="D38" s="24">
        <v>2</v>
      </c>
      <c r="E38" s="24" t="s">
        <v>96</v>
      </c>
      <c r="F38" s="24">
        <f>IF(ISBLANK(Table2[[#This Row],[Abiliity]]),0,1)</f>
        <v>1</v>
      </c>
      <c r="G38" s="24" t="str" cm="1">
        <f t="array" aca="1" ref="G38" ca="1">_xlfn.CONCAT(UPPER(Table2[[#This Row],[Name]]),INDEX(Table1[Name],LARGE(IF(Table1[Type]=Table2[[#This Row],[Type]],ROW(Table1[Type])-1),INT(RAND()*COUNTIF(Table1[Type],Table2[[#This Row],[Type]])+1))))</f>
        <v>PREDAvore</v>
      </c>
    </row>
    <row r="39" spans="1:7" ht="15.75" x14ac:dyDescent="0.25">
      <c r="A39" s="24" t="s">
        <v>67</v>
      </c>
      <c r="B39" s="24" t="s">
        <v>16</v>
      </c>
      <c r="C39" s="24">
        <v>1</v>
      </c>
      <c r="D39" s="24">
        <v>2</v>
      </c>
      <c r="E39" s="24" t="s">
        <v>90</v>
      </c>
      <c r="F39" s="24">
        <f>IF(ISBLANK(Table2[[#This Row],[Abiliity]]),0,1)</f>
        <v>1</v>
      </c>
      <c r="G39" s="24" t="str" cm="1">
        <f t="array" aca="1" ref="G39" ca="1">_xlfn.CONCAT(UPPER(Table2[[#This Row],[Name]]),INDEX(Table1[Name],LARGE(IF(Table1[Type]=Table2[[#This Row],[Type]],ROW(Table1[Type])-1),INT(RAND()*COUNTIF(Table1[Type],Table2[[#This Row],[Type]])+1))))</f>
        <v>FOLIsuarus</v>
      </c>
    </row>
    <row r="40" spans="1:7" ht="15.75" x14ac:dyDescent="0.25">
      <c r="A40" s="24" t="s">
        <v>124</v>
      </c>
      <c r="B40" s="24" t="s">
        <v>16</v>
      </c>
      <c r="C40" s="24">
        <v>2</v>
      </c>
      <c r="D40" s="24">
        <v>4</v>
      </c>
      <c r="E40" s="24" t="s">
        <v>96</v>
      </c>
      <c r="F40" s="24">
        <f>IF(ISBLANK(Table2[[#This Row],[Abiliity]]),0,1)</f>
        <v>1</v>
      </c>
      <c r="G40" s="24" t="str" cm="1">
        <f t="array" aca="1" ref="G40" ca="1">_xlfn.CONCAT(UPPER(Table2[[#This Row],[Name]]),INDEX(Table1[Name],LARGE(IF(Table1[Type]=Table2[[#This Row],[Type]],ROW(Table1[Type])-1),INT(RAND()*COUNTIF(Table1[Type],Table2[[#This Row],[Type]])+1))))</f>
        <v>CANOling</v>
      </c>
    </row>
    <row r="41" spans="1:7" ht="15.75" x14ac:dyDescent="0.25">
      <c r="A41" s="24" t="s">
        <v>130</v>
      </c>
      <c r="B41" s="24" t="s">
        <v>16</v>
      </c>
      <c r="C41" s="24">
        <v>2</v>
      </c>
      <c r="D41" s="24">
        <v>4</v>
      </c>
      <c r="E41" s="24" t="s">
        <v>90</v>
      </c>
      <c r="F41" s="24">
        <f>IF(ISBLANK(Table2[[#This Row],[Abiliity]]),0,1)</f>
        <v>1</v>
      </c>
      <c r="G41" s="24" t="str" cm="1">
        <f t="array" aca="1" ref="G41" ca="1">_xlfn.CONCAT(UPPER(Table2[[#This Row],[Name]]),INDEX(Table1[Name],LARGE(IF(Table1[Type]=Table2[[#This Row],[Type]],ROW(Table1[Type])-1),INT(RAND()*COUNTIF(Table1[Type],Table2[[#This Row],[Type]])+1))))</f>
        <v>LEPHAlophus</v>
      </c>
    </row>
    <row r="42" spans="1:7" ht="15.75" x14ac:dyDescent="0.25">
      <c r="A42" s="24" t="s">
        <v>79</v>
      </c>
      <c r="B42" s="24" t="s">
        <v>22</v>
      </c>
      <c r="C42" s="24">
        <v>0</v>
      </c>
      <c r="D42" s="24">
        <v>4</v>
      </c>
      <c r="E42" s="24"/>
      <c r="F42" s="24">
        <f>IF(ISBLANK(Table2[[#This Row],[Abiliity]]),0,1)</f>
        <v>0</v>
      </c>
      <c r="G42" s="24" t="str" cm="1">
        <f t="array" aca="1" ref="G42" ca="1">_xlfn.CONCAT(UPPER(Table2[[#This Row],[Name]]),INDEX(Table1[Name],LARGE(IF(Table1[Type]=Table2[[#This Row],[Type]],ROW(Table1[Type])-1),INT(RAND()*COUNTIF(Table1[Type],Table2[[#This Row],[Type]])+1))))</f>
        <v>MEGAcell</v>
      </c>
    </row>
    <row r="43" spans="1:7" ht="15.75" x14ac:dyDescent="0.25">
      <c r="A43" s="24" t="s">
        <v>80</v>
      </c>
      <c r="B43" s="24" t="s">
        <v>22</v>
      </c>
      <c r="C43" s="24">
        <v>1</v>
      </c>
      <c r="D43" s="24">
        <v>6</v>
      </c>
      <c r="E43" s="24"/>
      <c r="F43" s="24">
        <f>IF(ISBLANK(Table2[[#This Row],[Abiliity]]),0,1)</f>
        <v>0</v>
      </c>
      <c r="G43" s="24" t="str" cm="1">
        <f t="array" aca="1" ref="G43" ca="1">_xlfn.CONCAT(UPPER(Table2[[#This Row],[Name]]),INDEX(Table1[Name],LARGE(IF(Table1[Type]=Table2[[#This Row],[Type]],ROW(Table1[Type])-1),INT(RAND()*COUNTIF(Table1[Type],Table2[[#This Row],[Type]])+1))))</f>
        <v>GIGAlite</v>
      </c>
    </row>
    <row r="44" spans="1:7" ht="15.75" x14ac:dyDescent="0.25">
      <c r="A44" s="24" t="s">
        <v>82</v>
      </c>
      <c r="B44" s="24" t="s">
        <v>22</v>
      </c>
      <c r="C44" s="24">
        <v>1</v>
      </c>
      <c r="D44" s="24">
        <v>4</v>
      </c>
      <c r="E44" s="24" t="s">
        <v>44</v>
      </c>
      <c r="F44" s="24">
        <f>IF(ISBLANK(Table2[[#This Row],[Abiliity]]),0,1)</f>
        <v>1</v>
      </c>
      <c r="G44" s="24" t="str" cm="1">
        <f t="array" aca="1" ref="G44" ca="1">_xlfn.CONCAT(UPPER(Table2[[#This Row],[Name]]),INDEX(Table1[Name],LARGE(IF(Table1[Type]=Table2[[#This Row],[Type]],ROW(Table1[Type])-1),INT(RAND()*COUNTIF(Table1[Type],Table2[[#This Row],[Type]])+1))))</f>
        <v>SUPRAbyte</v>
      </c>
    </row>
    <row r="45" spans="1:7" ht="15.75" x14ac:dyDescent="0.25">
      <c r="A45" s="24" t="s">
        <v>105</v>
      </c>
      <c r="B45" s="24" t="s">
        <v>22</v>
      </c>
      <c r="C45" s="24">
        <v>1</v>
      </c>
      <c r="D45" s="24">
        <v>4</v>
      </c>
      <c r="E45" s="24" t="s">
        <v>91</v>
      </c>
      <c r="F45" s="24">
        <f>IF(ISBLANK(Table2[[#This Row],[Abiliity]]),0,1)</f>
        <v>1</v>
      </c>
      <c r="G45" s="24" t="str" cm="1">
        <f t="array" aca="1" ref="G45" ca="1">_xlfn.CONCAT(UPPER(Table2[[#This Row],[Name]]),INDEX(Table1[Name],LARGE(IF(Table1[Type]=Table2[[#This Row],[Type]],ROW(Table1[Type])-1),INT(RAND()*COUNTIF(Table1[Type],Table2[[#This Row],[Type]])+1))))</f>
        <v>TERAbyte</v>
      </c>
    </row>
    <row r="46" spans="1:7" ht="15.75" x14ac:dyDescent="0.25">
      <c r="A46" s="24" t="s">
        <v>81</v>
      </c>
      <c r="B46" s="24" t="s">
        <v>22</v>
      </c>
      <c r="C46" s="24">
        <v>2</v>
      </c>
      <c r="D46" s="24">
        <v>8</v>
      </c>
      <c r="E46" s="24"/>
      <c r="F46" s="24">
        <f>IF(ISBLANK(Table2[[#This Row],[Abiliity]]),0,1)</f>
        <v>0</v>
      </c>
      <c r="G46" s="24" t="str" cm="1">
        <f t="array" aca="1" ref="G46" ca="1">_xlfn.CONCAT(UPPER(Table2[[#This Row],[Name]]),INDEX(Table1[Name],LARGE(IF(Table1[Type]=Table2[[#This Row],[Type]],ROW(Table1[Type])-1),INT(RAND()*COUNTIF(Table1[Type],Table2[[#This Row],[Type]])+1))))</f>
        <v>ULTRAbit</v>
      </c>
    </row>
    <row r="47" spans="1:7" ht="15.75" x14ac:dyDescent="0.25">
      <c r="A47" s="24" t="s">
        <v>122</v>
      </c>
      <c r="B47" s="24" t="s">
        <v>22</v>
      </c>
      <c r="C47" s="24">
        <v>2</v>
      </c>
      <c r="D47" s="24">
        <v>6</v>
      </c>
      <c r="E47" s="24" t="s">
        <v>91</v>
      </c>
      <c r="F47" s="24">
        <f>IF(ISBLANK(Table2[[#This Row],[Abiliity]]),0,1)</f>
        <v>1</v>
      </c>
      <c r="G47" s="24" t="str" cm="1">
        <f t="array" aca="1" ref="G47" ca="1">_xlfn.CONCAT(UPPER(Table2[[#This Row],[Name]]),INDEX(Table1[Name],LARGE(IF(Table1[Type]=Table2[[#This Row],[Type]],ROW(Table1[Type])-1),INT(RAND()*COUNTIF(Table1[Type],Table2[[#This Row],[Type]])+1))))</f>
        <v>TURBOshell</v>
      </c>
    </row>
    <row r="48" spans="1:7" ht="15.75" x14ac:dyDescent="0.25">
      <c r="A48" s="24" t="s">
        <v>106</v>
      </c>
      <c r="B48" s="24" t="s">
        <v>22</v>
      </c>
      <c r="C48" s="24">
        <v>3</v>
      </c>
      <c r="D48" s="24">
        <v>10</v>
      </c>
      <c r="E48" s="24"/>
      <c r="F48" s="24">
        <f>IF(ISBLANK(Table2[[#This Row],[Abiliity]]),0,1)</f>
        <v>0</v>
      </c>
      <c r="G48" s="24" t="str" cm="1">
        <f t="array" aca="1" ref="G48" ca="1">_xlfn.CONCAT(UPPER(Table2[[#This Row],[Name]]),INDEX(Table1[Name],LARGE(IF(Table1[Type]=Table2[[#This Row],[Type]],ROW(Table1[Type])-1),INT(RAND()*COUNTIF(Table1[Type],Table2[[#This Row],[Type]])+1))))</f>
        <v>DYNAstega</v>
      </c>
    </row>
    <row r="49" spans="1:7" ht="15.75" x14ac:dyDescent="0.25">
      <c r="A49" s="24" t="s">
        <v>126</v>
      </c>
      <c r="B49" s="24" t="s">
        <v>22</v>
      </c>
      <c r="C49" s="24">
        <v>3</v>
      </c>
      <c r="D49" s="24">
        <v>8</v>
      </c>
      <c r="E49" s="24" t="s">
        <v>44</v>
      </c>
      <c r="F49" s="24">
        <f>IF(ISBLANK(Table2[[#This Row],[Abiliity]]),0,1)</f>
        <v>1</v>
      </c>
      <c r="G49" s="24" t="str" cm="1">
        <f t="array" aca="1" ref="G49" ca="1">_xlfn.CONCAT(UPPER(Table2[[#This Row],[Name]]),INDEX(Table1[Name],LARGE(IF(Table1[Type]=Table2[[#This Row],[Type]],ROW(Table1[Type])-1),INT(RAND()*COUNTIF(Table1[Type],Table2[[#This Row],[Type]])+1))))</f>
        <v>CYCLOhull</v>
      </c>
    </row>
    <row r="50" spans="1:7" ht="15.75" x14ac:dyDescent="0.25">
      <c r="A50" s="24"/>
      <c r="B50" s="24"/>
      <c r="C50" s="24"/>
      <c r="D50" s="24"/>
      <c r="E50" s="24"/>
      <c r="F50" s="24"/>
      <c r="G50" s="24"/>
    </row>
    <row r="51" spans="1:7" ht="15.75" x14ac:dyDescent="0.25">
      <c r="A51" s="24"/>
      <c r="B51" s="24"/>
      <c r="C51" s="24"/>
      <c r="D51" s="24"/>
      <c r="E51" s="24"/>
      <c r="F51" s="24"/>
      <c r="G51" s="24"/>
    </row>
    <row r="52" spans="1:7" ht="15.75" x14ac:dyDescent="0.25">
      <c r="A52" s="24"/>
      <c r="B52" s="24"/>
      <c r="C52" s="24"/>
      <c r="D52" s="24"/>
      <c r="E52" s="24"/>
      <c r="F52" s="24"/>
      <c r="G52" s="24"/>
    </row>
    <row r="53" spans="1:7" x14ac:dyDescent="0.25">
      <c r="B53" s="3"/>
      <c r="C53" s="3"/>
      <c r="D53" s="3"/>
      <c r="E53" s="3"/>
      <c r="F53" s="3"/>
    </row>
    <row r="54" spans="1:7" x14ac:dyDescent="0.25">
      <c r="B54" s="3"/>
      <c r="C54" s="3"/>
      <c r="D54" s="3"/>
      <c r="E54" s="3"/>
      <c r="F54" s="3"/>
    </row>
    <row r="55" spans="1:7" x14ac:dyDescent="0.25">
      <c r="B55" s="3"/>
      <c r="C55" s="3"/>
      <c r="D55" s="3"/>
      <c r="E55" s="3"/>
      <c r="F55" s="3"/>
    </row>
    <row r="56" spans="1:7" x14ac:dyDescent="0.25">
      <c r="B56" s="3"/>
      <c r="C56" s="3"/>
      <c r="D56" s="3"/>
      <c r="E56" s="3"/>
      <c r="F56" s="3"/>
    </row>
    <row r="57" spans="1:7" x14ac:dyDescent="0.25">
      <c r="B57" s="3"/>
      <c r="C57" s="3"/>
      <c r="D57" s="3"/>
      <c r="E57" s="3"/>
      <c r="F57" s="3"/>
    </row>
    <row r="58" spans="1:7" x14ac:dyDescent="0.25">
      <c r="B58" s="3"/>
      <c r="C58" s="3"/>
      <c r="D58" s="3"/>
      <c r="E58" s="3"/>
      <c r="F58" s="3"/>
    </row>
    <row r="59" spans="1:7" x14ac:dyDescent="0.25">
      <c r="B59" s="3"/>
      <c r="C59" s="3"/>
      <c r="D59" s="3"/>
      <c r="E59" s="3"/>
      <c r="F59" s="3"/>
    </row>
    <row r="60" spans="1:7" x14ac:dyDescent="0.25">
      <c r="B60" s="3"/>
      <c r="C60" s="3"/>
      <c r="D60" s="3"/>
      <c r="E60" s="3"/>
      <c r="F60" s="3"/>
    </row>
    <row r="61" spans="1:7" x14ac:dyDescent="0.25">
      <c r="B61" s="3"/>
      <c r="C61" s="3"/>
      <c r="D61" s="3"/>
      <c r="E61" s="3"/>
      <c r="F61" s="3"/>
    </row>
    <row r="62" spans="1:7" x14ac:dyDescent="0.25">
      <c r="B62" s="3"/>
      <c r="C62" s="3"/>
      <c r="D62" s="3"/>
      <c r="E62" s="3"/>
      <c r="F62" s="3"/>
    </row>
  </sheetData>
  <conditionalFormatting sqref="A1:F49">
    <cfRule type="cellIs" dxfId="138" priority="13" operator="equal">
      <formula>"Preserve"</formula>
    </cfRule>
    <cfRule type="cellIs" dxfId="137" priority="14" operator="equal">
      <formula>"Cultivate"</formula>
    </cfRule>
    <cfRule type="cellIs" dxfId="136" priority="15" operator="equal">
      <formula>"Convert"</formula>
    </cfRule>
    <cfRule type="cellIs" dxfId="135" priority="16" operator="equal">
      <formula>"Consume"</formula>
    </cfRule>
    <cfRule type="cellIs" dxfId="134" priority="17" operator="equal">
      <formula>"Augment"</formula>
    </cfRule>
    <cfRule type="cellIs" dxfId="133" priority="18" operator="equal">
      <formula>"Acquire"</formula>
    </cfRule>
    <cfRule type="expression" dxfId="132" priority="19">
      <formula>$B1="Acquire"</formula>
    </cfRule>
    <cfRule type="expression" dxfId="131" priority="20">
      <formula>$B1="Augment"</formula>
    </cfRule>
    <cfRule type="expression" dxfId="130" priority="21">
      <formula>$B1="Consume"</formula>
    </cfRule>
    <cfRule type="expression" dxfId="129" priority="22">
      <formula>$B1="Convert"</formula>
    </cfRule>
    <cfRule type="expression" dxfId="128" priority="23">
      <formula>$B1="Cultivate"</formula>
    </cfRule>
    <cfRule type="expression" dxfId="127" priority="24">
      <formula>$B1="Preserve"</formula>
    </cfRule>
  </conditionalFormatting>
  <conditionalFormatting sqref="G1:G49">
    <cfRule type="cellIs" dxfId="126" priority="1" operator="equal">
      <formula>"Preserve"</formula>
    </cfRule>
    <cfRule type="cellIs" dxfId="125" priority="2" operator="equal">
      <formula>"Cultivate"</formula>
    </cfRule>
    <cfRule type="cellIs" dxfId="124" priority="3" operator="equal">
      <formula>"Convert"</formula>
    </cfRule>
    <cfRule type="cellIs" dxfId="123" priority="4" operator="equal">
      <formula>"Consume"</formula>
    </cfRule>
    <cfRule type="cellIs" dxfId="122" priority="5" operator="equal">
      <formula>"Augment"</formula>
    </cfRule>
    <cfRule type="cellIs" dxfId="121" priority="6" operator="equal">
      <formula>"Acquire"</formula>
    </cfRule>
    <cfRule type="expression" dxfId="120" priority="7">
      <formula>$B1="Acquire"</formula>
    </cfRule>
    <cfRule type="expression" dxfId="119" priority="8">
      <formula>$B1="Augment"</formula>
    </cfRule>
    <cfRule type="expression" dxfId="118" priority="9">
      <formula>$B1="Consume"</formula>
    </cfRule>
    <cfRule type="expression" dxfId="117" priority="10">
      <formula>$B1="Convert"</formula>
    </cfRule>
    <cfRule type="expression" dxfId="116" priority="11">
      <formula>$B1="Cultivate"</formula>
    </cfRule>
    <cfRule type="expression" dxfId="115" priority="12">
      <formula>$B1="Preserve"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G49"/>
  <sheetViews>
    <sheetView zoomScaleNormal="100" workbookViewId="0">
      <selection activeCell="G3" sqref="G3"/>
    </sheetView>
  </sheetViews>
  <sheetFormatPr defaultRowHeight="15" x14ac:dyDescent="0.2"/>
  <cols>
    <col min="1" max="1" width="12.5703125" style="23" customWidth="1"/>
    <col min="2" max="2" width="11" style="23" bestFit="1" customWidth="1"/>
    <col min="3" max="4" width="9.140625" style="23"/>
    <col min="5" max="6" width="13.7109375" style="23" bestFit="1" customWidth="1"/>
    <col min="7" max="7" width="16" style="23" customWidth="1"/>
    <col min="8" max="16384" width="9.140625" style="23"/>
  </cols>
  <sheetData>
    <row r="1" spans="1:7" ht="15.75" x14ac:dyDescent="0.25">
      <c r="A1" s="21" t="s">
        <v>0</v>
      </c>
      <c r="B1" s="21" t="s">
        <v>1</v>
      </c>
      <c r="C1" s="21" t="s">
        <v>37</v>
      </c>
      <c r="D1" s="21" t="s">
        <v>2</v>
      </c>
      <c r="E1" s="22" t="s">
        <v>39</v>
      </c>
      <c r="F1" s="22" t="s">
        <v>110</v>
      </c>
      <c r="G1" s="22" t="s">
        <v>156</v>
      </c>
    </row>
    <row r="2" spans="1:7" x14ac:dyDescent="0.2">
      <c r="A2" s="24" t="s">
        <v>75</v>
      </c>
      <c r="B2" s="24" t="s">
        <v>78</v>
      </c>
      <c r="C2" s="24">
        <v>0</v>
      </c>
      <c r="D2" s="24">
        <v>4</v>
      </c>
      <c r="E2" s="24"/>
      <c r="F2" s="24">
        <f>IF(ISBLANK(Table1[[#This Row],[Ability]]),0,1)</f>
        <v>0</v>
      </c>
      <c r="G2" s="24" t="str" cm="1">
        <f t="array" aca="1" ref="G2" ca="1">_xlfn.CONCAT(INDEX(Table2[Name],LARGE(IF(Table2[Type]=Table1[[#This Row],[Type]],ROW(Table2[Type])-1),INT(RAND()*COUNTIF(Table2[Type],Table1[[#This Row],[Type]])+1))),UPPER(Table1[[#This Row],[Name]]))</f>
        <v>CorvaRECT</v>
      </c>
    </row>
    <row r="3" spans="1:7" x14ac:dyDescent="0.2">
      <c r="A3" s="24" t="s">
        <v>86</v>
      </c>
      <c r="B3" s="24" t="s">
        <v>78</v>
      </c>
      <c r="C3" s="24">
        <v>1</v>
      </c>
      <c r="D3" s="24">
        <v>8</v>
      </c>
      <c r="E3" s="24"/>
      <c r="F3" s="24">
        <f>IF(ISBLANK(Table1[[#This Row],[Ability]]),0,1)</f>
        <v>0</v>
      </c>
      <c r="G3" s="24" t="str" cm="1">
        <f t="array" aca="1" ref="G3" ca="1">_xlfn.CONCAT(INDEX(Table2[Name],LARGE(IF(Table2[Type]=Table1[[#This Row],[Type]],ROW(Table2[Type])-1),INT(RAND()*COUNTIF(Table2[Type],Table1[[#This Row],[Type]])+1))),UPPER(Table1[[#This Row],[Name]]))</f>
        <v>SynaPLY</v>
      </c>
    </row>
    <row r="4" spans="1:7" x14ac:dyDescent="0.2">
      <c r="A4" s="24" t="s">
        <v>76</v>
      </c>
      <c r="B4" s="24" t="s">
        <v>78</v>
      </c>
      <c r="C4" s="24">
        <v>1</v>
      </c>
      <c r="D4" s="24">
        <v>6</v>
      </c>
      <c r="E4" s="24" t="s">
        <v>88</v>
      </c>
      <c r="F4" s="24">
        <f>IF(ISBLANK(Table1[[#This Row],[Ability]]),0,1)</f>
        <v>1</v>
      </c>
      <c r="G4" s="24" t="str" cm="1">
        <f t="array" aca="1" ref="G4" ca="1">_xlfn.CONCAT(INDEX(Table2[Name],LARGE(IF(Table2[Type]=Table1[[#This Row],[Type]],ROW(Table2[Type])-1),INT(RAND()*COUNTIF(Table2[Type],Table1[[#This Row],[Type]])+1))),UPPER(Table1[[#This Row],[Name]]))</f>
        <v>KleptoNACHT</v>
      </c>
    </row>
    <row r="5" spans="1:7" x14ac:dyDescent="0.2">
      <c r="A5" s="24" t="s">
        <v>62</v>
      </c>
      <c r="B5" s="24" t="s">
        <v>78</v>
      </c>
      <c r="C5" s="24">
        <v>2</v>
      </c>
      <c r="D5" s="24">
        <v>10</v>
      </c>
      <c r="E5" s="24" t="s">
        <v>88</v>
      </c>
      <c r="F5" s="24">
        <f>IF(ISBLANK(Table1[[#This Row],[Ability]]),0,1)</f>
        <v>1</v>
      </c>
      <c r="G5" s="24" t="str" cm="1">
        <f t="array" aca="1" ref="G5" ca="1">_xlfn.CONCAT(INDEX(Table2[Name],LARGE(IF(Table2[Type]=Table1[[#This Row],[Type]],ROW(Table2[Type])-1),INT(RAND()*COUNTIF(Table2[Type],Table1[[#This Row],[Type]])+1))),UPPER(Table1[[#This Row],[Name]]))</f>
        <v>HypnoNYX</v>
      </c>
    </row>
    <row r="6" spans="1:7" x14ac:dyDescent="0.2">
      <c r="A6" s="24" t="s">
        <v>77</v>
      </c>
      <c r="B6" s="24" t="s">
        <v>78</v>
      </c>
      <c r="C6" s="24">
        <v>2</v>
      </c>
      <c r="D6" s="24">
        <v>12</v>
      </c>
      <c r="E6" s="24"/>
      <c r="F6" s="24">
        <f>IF(ISBLANK(Table1[[#This Row],[Ability]]),0,1)</f>
        <v>0</v>
      </c>
      <c r="G6" s="24" t="str" cm="1">
        <f t="array" aca="1" ref="G6" ca="1">_xlfn.CONCAT(INDEX(Table2[Name],LARGE(IF(Table2[Type]=Table1[[#This Row],[Type]],ROW(Table2[Type])-1),INT(RAND()*COUNTIF(Table2[Type],Table1[[#This Row],[Type]])+1))),UPPER(Table1[[#This Row],[Name]]))</f>
        <v>KleptoKLUM</v>
      </c>
    </row>
    <row r="7" spans="1:7" x14ac:dyDescent="0.2">
      <c r="A7" s="25" t="s">
        <v>38</v>
      </c>
      <c r="B7" s="24" t="s">
        <v>78</v>
      </c>
      <c r="C7" s="24">
        <v>3</v>
      </c>
      <c r="D7" s="24">
        <v>16</v>
      </c>
      <c r="E7" s="24"/>
      <c r="F7" s="24">
        <f>IF(ISBLANK(Table1[[#This Row],[Ability]]),0,1)</f>
        <v>0</v>
      </c>
      <c r="G7" s="24" t="str" cm="1">
        <f t="array" aca="1" ref="G7" ca="1">_xlfn.CONCAT(INDEX(Table2[Name],LARGE(IF(Table2[Type]=Table1[[#This Row],[Type]],ROW(Table2[Type])-1),INT(RAND()*COUNTIF(Table2[Type],Table1[[#This Row],[Type]])+1))),UPPER(Table1[[#This Row],[Name]]))</f>
        <v>KleptoFEL</v>
      </c>
    </row>
    <row r="8" spans="1:7" x14ac:dyDescent="0.2">
      <c r="A8" s="25" t="s">
        <v>160</v>
      </c>
      <c r="B8" s="24" t="s">
        <v>78</v>
      </c>
      <c r="C8" s="24">
        <v>1</v>
      </c>
      <c r="D8" s="24">
        <v>6</v>
      </c>
      <c r="E8" s="24" t="s">
        <v>100</v>
      </c>
      <c r="F8" s="24">
        <f>IF(ISBLANK(Table1[[#This Row],[Ability]]),0,1)</f>
        <v>1</v>
      </c>
      <c r="G8" s="24" t="str" cm="1">
        <f t="array" aca="1" ref="G8" ca="1">_xlfn.CONCAT(INDEX(Table2[Name],LARGE(IF(Table2[Type]=Table1[[#This Row],[Type]],ROW(Table2[Type])-1),INT(RAND()*COUNTIF(Table2[Type],Table1[[#This Row],[Type]])+1))),UPPER(Table1[[#This Row],[Name]]))</f>
        <v>UmbraMYTH</v>
      </c>
    </row>
    <row r="9" spans="1:7" x14ac:dyDescent="0.2">
      <c r="A9" s="25" t="s">
        <v>169</v>
      </c>
      <c r="B9" s="24" t="s">
        <v>78</v>
      </c>
      <c r="C9" s="24">
        <v>2</v>
      </c>
      <c r="D9" s="24">
        <v>10</v>
      </c>
      <c r="E9" s="24" t="s">
        <v>100</v>
      </c>
      <c r="F9" s="24">
        <f>IF(ISBLANK(Table1[[#This Row],[Ability]]),0,1)</f>
        <v>1</v>
      </c>
      <c r="G9" s="24" t="str" cm="1">
        <f t="array" aca="1" ref="G9" ca="1">_xlfn.CONCAT(INDEX(Table2[Name],LARGE(IF(Table2[Type]=Table1[[#This Row],[Type]],ROW(Table2[Type])-1),INT(RAND()*COUNTIF(Table2[Type],Table1[[#This Row],[Type]])+1))),UPPER(Table1[[#This Row],[Name]]))</f>
        <v>KleptoMORE</v>
      </c>
    </row>
    <row r="10" spans="1:7" x14ac:dyDescent="0.2">
      <c r="A10" s="25" t="s">
        <v>33</v>
      </c>
      <c r="B10" s="25" t="s">
        <v>4</v>
      </c>
      <c r="C10" s="25">
        <v>1</v>
      </c>
      <c r="D10" s="25">
        <v>8</v>
      </c>
      <c r="E10" s="24"/>
      <c r="F10" s="24">
        <f>IF(ISBLANK(Table1[[#This Row],[Ability]]),0,1)</f>
        <v>0</v>
      </c>
      <c r="G10" s="24" t="str" cm="1">
        <f t="array" aca="1" ref="G10" ca="1">_xlfn.CONCAT(INDEX(Table2[Name],LARGE(IF(Table2[Type]=Table1[[#This Row],[Type]],ROW(Table2[Type])-1),INT(RAND()*COUNTIF(Table2[Type],Table1[[#This Row],[Type]])+1))),UPPER(Table1[[#This Row],[Name]]))</f>
        <v>PlutoNEON</v>
      </c>
    </row>
    <row r="11" spans="1:7" x14ac:dyDescent="0.2">
      <c r="A11" s="24" t="s">
        <v>48</v>
      </c>
      <c r="B11" s="24" t="s">
        <v>4</v>
      </c>
      <c r="C11" s="24">
        <v>1</v>
      </c>
      <c r="D11" s="24">
        <v>6</v>
      </c>
      <c r="E11" s="24" t="s">
        <v>95</v>
      </c>
      <c r="F11" s="24">
        <f>IF(ISBLANK(Table1[[#This Row],[Ability]]),0,1)</f>
        <v>1</v>
      </c>
      <c r="G11" s="24" t="str" cm="1">
        <f t="array" aca="1" ref="G11" ca="1">_xlfn.CONCAT(INDEX(Table2[Name],LARGE(IF(Table2[Type]=Table1[[#This Row],[Type]],ROW(Table2[Type])-1),INT(RAND()*COUNTIF(Table2[Type],Table1[[#This Row],[Type]])+1))),UPPER(Table1[[#This Row],[Name]]))</f>
        <v>ColaBIUM</v>
      </c>
    </row>
    <row r="12" spans="1:7" x14ac:dyDescent="0.2">
      <c r="A12" s="24" t="s">
        <v>50</v>
      </c>
      <c r="B12" s="24" t="s">
        <v>4</v>
      </c>
      <c r="C12" s="24">
        <v>1</v>
      </c>
      <c r="D12" s="24">
        <v>6</v>
      </c>
      <c r="E12" s="24" t="s">
        <v>43</v>
      </c>
      <c r="F12" s="24">
        <f>IF(ISBLANK(Table1[[#This Row],[Ability]]),0,1)</f>
        <v>1</v>
      </c>
      <c r="G12" s="24" t="str" cm="1">
        <f t="array" aca="1" ref="G12" ca="1">_xlfn.CONCAT(INDEX(Table2[Name],LARGE(IF(Table2[Type]=Table1[[#This Row],[Type]],ROW(Table2[Type])-1),INT(RAND()*COUNTIF(Table2[Type],Table1[[#This Row],[Type]])+1))),UPPER(Table1[[#This Row],[Name]]))</f>
        <v>ProtoZINE</v>
      </c>
    </row>
    <row r="13" spans="1:7" x14ac:dyDescent="0.2">
      <c r="A13" s="25" t="s">
        <v>34</v>
      </c>
      <c r="B13" s="25" t="s">
        <v>4</v>
      </c>
      <c r="C13" s="25">
        <v>2</v>
      </c>
      <c r="D13" s="25">
        <v>10</v>
      </c>
      <c r="E13" s="24" t="s">
        <v>95</v>
      </c>
      <c r="F13" s="24">
        <f>IF(ISBLANK(Table1[[#This Row],[Ability]]),0,1)</f>
        <v>1</v>
      </c>
      <c r="G13" s="24" t="str" cm="1">
        <f t="array" aca="1" ref="G13" ca="1">_xlfn.CONCAT(INDEX(Table2[Name],LARGE(IF(Table2[Type]=Table1[[#This Row],[Type]],ROW(Table2[Type])-1),INT(RAND()*COUNTIF(Table2[Type],Table1[[#This Row],[Type]])+1))),UPPER(Table1[[#This Row],[Name]]))</f>
        <v>NucleLIUM</v>
      </c>
    </row>
    <row r="14" spans="1:7" x14ac:dyDescent="0.2">
      <c r="A14" s="24" t="s">
        <v>49</v>
      </c>
      <c r="B14" s="24" t="s">
        <v>4</v>
      </c>
      <c r="C14" s="24">
        <v>2</v>
      </c>
      <c r="D14" s="24">
        <v>12</v>
      </c>
      <c r="E14" s="24"/>
      <c r="F14" s="24">
        <f>IF(ISBLANK(Table1[[#This Row],[Ability]]),0,1)</f>
        <v>0</v>
      </c>
      <c r="G14" s="24" t="str" cm="1">
        <f t="array" aca="1" ref="G14" ca="1">_xlfn.CONCAT(INDEX(Table2[Name],LARGE(IF(Table2[Type]=Table1[[#This Row],[Type]],ROW(Table2[Type])-1),INT(RAND()*COUNTIF(Table2[Type],Table1[[#This Row],[Type]])+1))),UPPER(Table1[[#This Row],[Name]]))</f>
        <v>FerruNITE</v>
      </c>
    </row>
    <row r="15" spans="1:7" x14ac:dyDescent="0.2">
      <c r="A15" s="24" t="s">
        <v>74</v>
      </c>
      <c r="B15" s="24" t="s">
        <v>4</v>
      </c>
      <c r="C15" s="24">
        <v>2</v>
      </c>
      <c r="D15" s="24">
        <v>10</v>
      </c>
      <c r="E15" s="24" t="s">
        <v>43</v>
      </c>
      <c r="F15" s="24">
        <f>IF(ISBLANK(Table1[[#This Row],[Ability]]),0,1)</f>
        <v>1</v>
      </c>
      <c r="G15" s="24" t="str" cm="1">
        <f t="array" aca="1" ref="G15" ca="1">_xlfn.CONCAT(INDEX(Table2[Name],LARGE(IF(Table2[Type]=Table1[[#This Row],[Type]],ROW(Table2[Type])-1),INT(RAND()*COUNTIF(Table2[Type],Table1[[#This Row],[Type]])+1))),UPPER(Table1[[#This Row],[Name]]))</f>
        <v>NucleTHEUM</v>
      </c>
    </row>
    <row r="16" spans="1:7" x14ac:dyDescent="0.2">
      <c r="A16" s="25" t="s">
        <v>163</v>
      </c>
      <c r="B16" s="24" t="s">
        <v>4</v>
      </c>
      <c r="C16" s="24">
        <v>3</v>
      </c>
      <c r="D16" s="24">
        <v>16</v>
      </c>
      <c r="E16" s="24"/>
      <c r="F16" s="24">
        <f>IF(ISBLANK(Table1[[#This Row],[Ability]]),0,1)</f>
        <v>0</v>
      </c>
      <c r="G16" s="24" t="str" cm="1">
        <f t="array" aca="1" ref="G16" ca="1">_xlfn.CONCAT(INDEX(Table2[Name],LARGE(IF(Table2[Type]=Table1[[#This Row],[Type]],ROW(Table2[Type])-1),INT(RAND()*COUNTIF(Table2[Type],Table1[[#This Row],[Type]])+1))),UPPER(Table1[[#This Row],[Name]]))</f>
        <v>NucleZONE</v>
      </c>
    </row>
    <row r="17" spans="1:7" x14ac:dyDescent="0.2">
      <c r="A17" s="25" t="s">
        <v>164</v>
      </c>
      <c r="B17" s="24" t="s">
        <v>4</v>
      </c>
      <c r="C17" s="24">
        <v>0</v>
      </c>
      <c r="D17" s="24">
        <v>4</v>
      </c>
      <c r="E17" s="24"/>
      <c r="F17" s="24">
        <f>IF(ISBLANK(Table1[[#This Row],[Ability]]),0,1)</f>
        <v>0</v>
      </c>
      <c r="G17" s="24" t="str" cm="1">
        <f t="array" aca="1" ref="G17" ca="1">_xlfn.CONCAT(INDEX(Table2[Name],LARGE(IF(Table2[Type]=Table1[[#This Row],[Type]],ROW(Table2[Type])-1),INT(RAND()*COUNTIF(Table2[Type],Table1[[#This Row],[Type]])+1))),UPPER(Table1[[#This Row],[Name]]))</f>
        <v>NucleLINE</v>
      </c>
    </row>
    <row r="18" spans="1:7" x14ac:dyDescent="0.2">
      <c r="A18" s="25" t="s">
        <v>31</v>
      </c>
      <c r="B18" s="25" t="s">
        <v>9</v>
      </c>
      <c r="C18" s="25">
        <v>0</v>
      </c>
      <c r="D18" s="25">
        <v>2</v>
      </c>
      <c r="E18" s="24"/>
      <c r="F18" s="24">
        <f>IF(ISBLANK(Table1[[#This Row],[Ability]]),0,1)</f>
        <v>0</v>
      </c>
      <c r="G18" s="24" t="str" cm="1">
        <f t="array" aca="1" ref="G18" ca="1">_xlfn.CONCAT(INDEX(Table2[Name],LARGE(IF(Table2[Type]=Table1[[#This Row],[Type]],ROW(Table2[Type])-1),INT(RAND()*COUNTIF(Table2[Type],Table1[[#This Row],[Type]])+1))),UPPER(Table1[[#This Row],[Name]]))</f>
        <v>AnthraTON</v>
      </c>
    </row>
    <row r="19" spans="1:7" x14ac:dyDescent="0.2">
      <c r="A19" s="25" t="s">
        <v>32</v>
      </c>
      <c r="B19" s="25" t="s">
        <v>9</v>
      </c>
      <c r="C19" s="25">
        <v>1</v>
      </c>
      <c r="D19" s="25">
        <v>6</v>
      </c>
      <c r="E19" s="24"/>
      <c r="F19" s="24">
        <f>IF(ISBLANK(Table1[[#This Row],[Ability]]),0,1)</f>
        <v>0</v>
      </c>
      <c r="G19" s="24" t="str" cm="1">
        <f t="array" aca="1" ref="G19" ca="1">_xlfn.CONCAT(INDEX(Table2[Name],LARGE(IF(Table2[Type]=Table1[[#This Row],[Type]],ROW(Table2[Type])-1),INT(RAND()*COUNTIF(Table2[Type],Table1[[#This Row],[Type]])+1))),UPPER(Table1[[#This Row],[Name]]))</f>
        <v>PyroLUS</v>
      </c>
    </row>
    <row r="20" spans="1:7" x14ac:dyDescent="0.2">
      <c r="A20" s="24" t="s">
        <v>53</v>
      </c>
      <c r="B20" s="24" t="s">
        <v>9</v>
      </c>
      <c r="C20" s="24">
        <v>1</v>
      </c>
      <c r="D20" s="24">
        <v>2</v>
      </c>
      <c r="E20" s="24" t="s">
        <v>42</v>
      </c>
      <c r="F20" s="24">
        <f>IF(ISBLANK(Table1[[#This Row],[Ability]]),0,1)</f>
        <v>1</v>
      </c>
      <c r="G20" s="24" t="str" cm="1">
        <f t="array" aca="1" ref="G20" ca="1">_xlfn.CONCAT(INDEX(Table2[Name],LARGE(IF(Table2[Type]=Table1[[#This Row],[Type]],ROW(Table2[Type])-1),INT(RAND()*COUNTIF(Table2[Type],Table1[[#This Row],[Type]])+1))),UPPER(Table1[[#This Row],[Name]]))</f>
        <v>ExploDON</v>
      </c>
    </row>
    <row r="21" spans="1:7" x14ac:dyDescent="0.2">
      <c r="A21" s="24" t="s">
        <v>54</v>
      </c>
      <c r="B21" s="24" t="s">
        <v>9</v>
      </c>
      <c r="C21" s="24">
        <v>1</v>
      </c>
      <c r="D21" s="24">
        <v>2</v>
      </c>
      <c r="E21" s="24" t="s">
        <v>94</v>
      </c>
      <c r="F21" s="24">
        <f>IF(ISBLANK(Table1[[#This Row],[Ability]]),0,1)</f>
        <v>1</v>
      </c>
      <c r="G21" s="24" t="str" cm="1">
        <f t="array" aca="1" ref="G21" ca="1">_xlfn.CONCAT(INDEX(Table2[Name],LARGE(IF(Table2[Type]=Table1[[#This Row],[Type]],ROW(Table2[Type])-1),INT(RAND()*COUNTIF(Table2[Type],Table1[[#This Row],[Type]])+1))),UPPER(Table1[[#This Row],[Name]]))</f>
        <v>ChariKAR</v>
      </c>
    </row>
    <row r="22" spans="1:7" x14ac:dyDescent="0.2">
      <c r="A22" s="24" t="s">
        <v>55</v>
      </c>
      <c r="B22" s="24" t="s">
        <v>9</v>
      </c>
      <c r="C22" s="24">
        <v>2</v>
      </c>
      <c r="D22" s="24">
        <v>8</v>
      </c>
      <c r="E22" s="24" t="s">
        <v>42</v>
      </c>
      <c r="F22" s="24">
        <f>IF(ISBLANK(Table1[[#This Row],[Ability]]),0,1)</f>
        <v>1</v>
      </c>
      <c r="G22" s="24" t="str" cm="1">
        <f t="array" aca="1" ref="G22" ca="1">_xlfn.CONCAT(INDEX(Table2[Name],LARGE(IF(Table2[Type]=Table1[[#This Row],[Type]],ROW(Table2[Type])-1),INT(RAND()*COUNTIF(Table2[Type],Table1[[#This Row],[Type]])+1))),UPPER(Table1[[#This Row],[Name]]))</f>
        <v>PyroGON</v>
      </c>
    </row>
    <row r="23" spans="1:7" x14ac:dyDescent="0.2">
      <c r="A23" s="24" t="s">
        <v>56</v>
      </c>
      <c r="B23" s="24" t="s">
        <v>9</v>
      </c>
      <c r="C23" s="24">
        <v>2</v>
      </c>
      <c r="D23" s="24">
        <v>8</v>
      </c>
      <c r="E23" s="24" t="s">
        <v>94</v>
      </c>
      <c r="F23" s="24">
        <f>IF(ISBLANK(Table1[[#This Row],[Ability]]),0,1)</f>
        <v>1</v>
      </c>
      <c r="G23" s="24" t="str" cm="1">
        <f t="array" aca="1" ref="G23" ca="1">_xlfn.CONCAT(INDEX(Table2[Name],LARGE(IF(Table2[Type]=Table1[[#This Row],[Type]],ROW(Table2[Type])-1),INT(RAND()*COUNTIF(Table2[Type],Table1[[#This Row],[Type]])+1))),UPPER(Table1[[#This Row],[Name]]))</f>
        <v>AtmoTUS</v>
      </c>
    </row>
    <row r="24" spans="1:7" x14ac:dyDescent="0.2">
      <c r="A24" s="25" t="s">
        <v>158</v>
      </c>
      <c r="B24" s="24" t="s">
        <v>9</v>
      </c>
      <c r="C24" s="24">
        <v>2</v>
      </c>
      <c r="D24" s="24">
        <v>12</v>
      </c>
      <c r="E24" s="24"/>
      <c r="F24" s="24">
        <f>IF(ISBLANK(Table1[[#This Row],[Ability]]),0,1)</f>
        <v>0</v>
      </c>
      <c r="G24" s="24" t="str" cm="1">
        <f t="array" aca="1" ref="G24" ca="1">_xlfn.CONCAT(INDEX(Table2[Name],LARGE(IF(Table2[Type]=Table1[[#This Row],[Type]],ROW(Table2[Type])-1),INT(RAND()*COUNTIF(Table2[Type],Table1[[#This Row],[Type]])+1))),UPPER(Table1[[#This Row],[Name]]))</f>
        <v>ThurmaBAR</v>
      </c>
    </row>
    <row r="25" spans="1:7" x14ac:dyDescent="0.2">
      <c r="A25" s="25" t="s">
        <v>159</v>
      </c>
      <c r="B25" s="24" t="s">
        <v>9</v>
      </c>
      <c r="C25" s="24">
        <v>3</v>
      </c>
      <c r="D25" s="24">
        <v>14</v>
      </c>
      <c r="E25" s="24" t="s">
        <v>42</v>
      </c>
      <c r="F25" s="24">
        <f>IF(ISBLANK(Table1[[#This Row],[Ability]]),0,1)</f>
        <v>1</v>
      </c>
      <c r="G25" s="24" t="str" cm="1">
        <f t="array" aca="1" ref="G25" ca="1">_xlfn.CONCAT(INDEX(Table2[Name],LARGE(IF(Table2[Type]=Table1[[#This Row],[Type]],ROW(Table2[Type])-1),INT(RAND()*COUNTIF(Table2[Type],Table1[[#This Row],[Type]])+1))),UPPER(Table1[[#This Row],[Name]]))</f>
        <v>ThurmaGUL</v>
      </c>
    </row>
    <row r="26" spans="1:7" x14ac:dyDescent="0.2">
      <c r="A26" s="25" t="s">
        <v>35</v>
      </c>
      <c r="B26" s="25" t="s">
        <v>45</v>
      </c>
      <c r="C26" s="25">
        <v>0</v>
      </c>
      <c r="D26" s="25">
        <v>4</v>
      </c>
      <c r="E26" s="24"/>
      <c r="F26" s="24">
        <f>IF(ISBLANK(Table1[[#This Row],[Ability]]),0,1)</f>
        <v>0</v>
      </c>
      <c r="G26" s="24" t="str" cm="1">
        <f t="array" aca="1" ref="G26" ca="1">_xlfn.CONCAT(INDEX(Table2[Name],LARGE(IF(Table2[Type]=Table1[[#This Row],[Type]],ROW(Table2[Type])-1),INT(RAND()*COUNTIF(Table2[Type],Table1[[#This Row],[Type]])+1))),UPPER(Table1[[#This Row],[Name]]))</f>
        <v>VapoMANT</v>
      </c>
    </row>
    <row r="27" spans="1:7" x14ac:dyDescent="0.2">
      <c r="A27" s="25" t="s">
        <v>36</v>
      </c>
      <c r="B27" s="25" t="s">
        <v>45</v>
      </c>
      <c r="C27" s="25">
        <v>3</v>
      </c>
      <c r="D27" s="25">
        <v>16</v>
      </c>
      <c r="E27" s="24"/>
      <c r="F27" s="24">
        <f>IF(ISBLANK(Table1[[#This Row],[Ability]]),0,1)</f>
        <v>0</v>
      </c>
      <c r="G27" s="24" t="str" cm="1">
        <f t="array" aca="1" ref="G27" ca="1">_xlfn.CONCAT(INDEX(Table2[Name],LARGE(IF(Table2[Type]=Table1[[#This Row],[Type]],ROW(Table2[Type])-1),INT(RAND()*COUNTIF(Table2[Type],Table1[[#This Row],[Type]])+1))),UPPER(Table1[[#This Row],[Name]]))</f>
        <v>SolaTINE</v>
      </c>
    </row>
    <row r="28" spans="1:7" x14ac:dyDescent="0.2">
      <c r="A28" s="24" t="s">
        <v>58</v>
      </c>
      <c r="B28" s="24" t="s">
        <v>45</v>
      </c>
      <c r="C28" s="24">
        <v>1</v>
      </c>
      <c r="D28" s="24">
        <v>8</v>
      </c>
      <c r="E28" s="24"/>
      <c r="F28" s="24">
        <f>IF(ISBLANK(Table1[[#This Row],[Ability]]),0,1)</f>
        <v>0</v>
      </c>
      <c r="G28" s="24" t="str" cm="1">
        <f t="array" aca="1" ref="G28" ca="1">_xlfn.CONCAT(INDEX(Table2[Name],LARGE(IF(Table2[Type]=Table1[[#This Row],[Type]],ROW(Table2[Type])-1),INT(RAND()*COUNTIF(Table2[Type],Table1[[#This Row],[Type]])+1))),UPPER(Table1[[#This Row],[Name]]))</f>
        <v>HydroMORPH</v>
      </c>
    </row>
    <row r="29" spans="1:7" x14ac:dyDescent="0.2">
      <c r="A29" s="24" t="s">
        <v>59</v>
      </c>
      <c r="B29" s="24" t="s">
        <v>45</v>
      </c>
      <c r="C29" s="24">
        <v>1</v>
      </c>
      <c r="D29" s="24">
        <v>6</v>
      </c>
      <c r="E29" s="24" t="s">
        <v>92</v>
      </c>
      <c r="F29" s="24">
        <f>IF(ISBLANK(Table1[[#This Row],[Ability]]),0,1)</f>
        <v>1</v>
      </c>
      <c r="G29" s="24" t="str" cm="1">
        <f t="array" aca="1" ref="G29" ca="1">_xlfn.CONCAT(INDEX(Table2[Name],LARGE(IF(Table2[Type]=Table1[[#This Row],[Type]],ROW(Table2[Type])-1),INT(RAND()*COUNTIF(Table2[Type],Table1[[#This Row],[Type]])+1))),UPPER(Table1[[#This Row],[Name]]))</f>
        <v>HelioTALUS</v>
      </c>
    </row>
    <row r="30" spans="1:7" x14ac:dyDescent="0.2">
      <c r="A30" s="24" t="s">
        <v>60</v>
      </c>
      <c r="B30" s="24" t="s">
        <v>45</v>
      </c>
      <c r="C30" s="24">
        <v>1</v>
      </c>
      <c r="D30" s="24">
        <v>6</v>
      </c>
      <c r="E30" s="24" t="s">
        <v>109</v>
      </c>
      <c r="F30" s="24">
        <f>IF(ISBLANK(Table1[[#This Row],[Ability]]),0,1)</f>
        <v>1</v>
      </c>
      <c r="G30" s="24" t="str" cm="1">
        <f t="array" aca="1" ref="G30" ca="1">_xlfn.CONCAT(INDEX(Table2[Name],LARGE(IF(Table2[Type]=Table1[[#This Row],[Type]],ROW(Table2[Type])-1),INT(RAND()*COUNTIF(Table2[Type],Table1[[#This Row],[Type]])+1))),UPPER(Table1[[#This Row],[Name]]))</f>
        <v>GeoNAX</v>
      </c>
    </row>
    <row r="31" spans="1:7" x14ac:dyDescent="0.2">
      <c r="A31" s="24" t="s">
        <v>61</v>
      </c>
      <c r="B31" s="24" t="s">
        <v>45</v>
      </c>
      <c r="C31" s="24">
        <v>2</v>
      </c>
      <c r="D31" s="24">
        <v>12</v>
      </c>
      <c r="E31" s="24"/>
      <c r="F31" s="24">
        <f>IF(ISBLANK(Table1[[#This Row],[Ability]]),0,1)</f>
        <v>0</v>
      </c>
      <c r="G31" s="24" t="str" cm="1">
        <f t="array" aca="1" ref="G31" ca="1">_xlfn.CONCAT(INDEX(Table2[Name],LARGE(IF(Table2[Type]=Table1[[#This Row],[Type]],ROW(Table2[Type])-1),INT(RAND()*COUNTIF(Table2[Type],Table1[[#This Row],[Type]])+1))),UPPER(Table1[[#This Row],[Name]]))</f>
        <v>AquaFORM</v>
      </c>
    </row>
    <row r="32" spans="1:7" x14ac:dyDescent="0.2">
      <c r="A32" s="25" t="s">
        <v>161</v>
      </c>
      <c r="B32" s="24" t="s">
        <v>45</v>
      </c>
      <c r="C32" s="24">
        <v>2</v>
      </c>
      <c r="D32" s="24">
        <v>10</v>
      </c>
      <c r="E32" s="24" t="s">
        <v>92</v>
      </c>
      <c r="F32" s="24">
        <f>IF(ISBLANK(Table1[[#This Row],[Ability]]),0,1)</f>
        <v>1</v>
      </c>
      <c r="G32" s="24" t="str" cm="1">
        <f t="array" aca="1" ref="G32" ca="1">_xlfn.CONCAT(INDEX(Table2[Name],LARGE(IF(Table2[Type]=Table1[[#This Row],[Type]],ROW(Table2[Type])-1),INT(RAND()*COUNTIF(Table2[Type],Table1[[#This Row],[Type]])+1))),UPPER(Table1[[#This Row],[Name]]))</f>
        <v>AeroVIZ</v>
      </c>
    </row>
    <row r="33" spans="1:7" x14ac:dyDescent="0.2">
      <c r="A33" s="25" t="s">
        <v>162</v>
      </c>
      <c r="B33" s="24" t="s">
        <v>45</v>
      </c>
      <c r="C33" s="24">
        <v>2</v>
      </c>
      <c r="D33" s="24">
        <v>10</v>
      </c>
      <c r="E33" s="24" t="s">
        <v>109</v>
      </c>
      <c r="F33" s="24">
        <f>IF(ISBLANK(Table1[[#This Row],[Ability]]),0,1)</f>
        <v>1</v>
      </c>
      <c r="G33" s="24" t="str" cm="1">
        <f t="array" aca="1" ref="G33" ca="1">_xlfn.CONCAT(INDEX(Table2[Name],LARGE(IF(Table2[Type]=Table1[[#This Row],[Type]],ROW(Table2[Type])-1),INT(RAND()*COUNTIF(Table2[Type],Table1[[#This Row],[Type]])+1))),UPPER(Table1[[#This Row],[Name]]))</f>
        <v>SolaGAR</v>
      </c>
    </row>
    <row r="34" spans="1:7" x14ac:dyDescent="0.2">
      <c r="A34" s="25" t="s">
        <v>29</v>
      </c>
      <c r="B34" s="25" t="s">
        <v>16</v>
      </c>
      <c r="C34" s="25">
        <v>0</v>
      </c>
      <c r="D34" s="25">
        <v>4</v>
      </c>
      <c r="E34" s="24"/>
      <c r="F34" s="24">
        <f>IF(ISBLANK(Table1[[#This Row],[Ability]]),0,1)</f>
        <v>0</v>
      </c>
      <c r="G34" s="24" t="str" cm="1">
        <f t="array" aca="1" ref="G34" ca="1">_xlfn.CONCAT(INDEX(Table2[Name],LARGE(IF(Table2[Type]=Table1[[#This Row],[Type]],ROW(Table2[Type])-1),INT(RAND()*COUNTIF(Table2[Type],Table1[[#This Row],[Type]])+1))),UPPER(Table1[[#This Row],[Name]]))</f>
        <v>CarniLING</v>
      </c>
    </row>
    <row r="35" spans="1:7" x14ac:dyDescent="0.2">
      <c r="A35" s="25" t="s">
        <v>30</v>
      </c>
      <c r="B35" s="25" t="s">
        <v>16</v>
      </c>
      <c r="C35" s="25">
        <v>0</v>
      </c>
      <c r="D35" s="25">
        <v>2</v>
      </c>
      <c r="E35" s="24" t="s">
        <v>96</v>
      </c>
      <c r="F35" s="24">
        <f>IF(ISBLANK(Table1[[#This Row],[Ability]]),0,1)</f>
        <v>1</v>
      </c>
      <c r="G35" s="24" t="str" cm="1">
        <f t="array" aca="1" ref="G35" ca="1">_xlfn.CONCAT(INDEX(Table2[Name],LARGE(IF(Table2[Type]=Table1[[#This Row],[Type]],ROW(Table2[Type])-1),INT(RAND()*COUNTIF(Table2[Type],Table1[[#This Row],[Type]])+1))),UPPER(Table1[[#This Row],[Name]]))</f>
        <v>CarniVORE</v>
      </c>
    </row>
    <row r="36" spans="1:7" x14ac:dyDescent="0.2">
      <c r="A36" s="24" t="s">
        <v>64</v>
      </c>
      <c r="B36" s="24" t="s">
        <v>16</v>
      </c>
      <c r="C36" s="24">
        <v>0</v>
      </c>
      <c r="D36" s="24">
        <v>2</v>
      </c>
      <c r="E36" s="24" t="s">
        <v>90</v>
      </c>
      <c r="F36" s="24">
        <f>IF(ISBLANK(Table1[[#This Row],[Ability]]),0,1)</f>
        <v>1</v>
      </c>
      <c r="G36" s="24" t="str" cm="1">
        <f t="array" aca="1" ref="G36" ca="1">_xlfn.CONCAT(INDEX(Table2[Name],LARGE(IF(Table2[Type]=Table1[[#This Row],[Type]],ROW(Table2[Type])-1),INT(RAND()*COUNTIF(Table2[Type],Table1[[#This Row],[Type]])+1))),UPPER(Table1[[#This Row],[Name]]))</f>
        <v>CanoPHYTE</v>
      </c>
    </row>
    <row r="37" spans="1:7" x14ac:dyDescent="0.2">
      <c r="A37" s="24" t="s">
        <v>65</v>
      </c>
      <c r="B37" s="24" t="s">
        <v>16</v>
      </c>
      <c r="C37" s="24">
        <v>1</v>
      </c>
      <c r="D37" s="24">
        <v>6</v>
      </c>
      <c r="E37" s="24" t="s">
        <v>90</v>
      </c>
      <c r="F37" s="24">
        <f>IF(ISBLANK(Table1[[#This Row],[Ability]]),0,1)</f>
        <v>1</v>
      </c>
      <c r="G37" s="24" t="str" cm="1">
        <f t="array" aca="1" ref="G37" ca="1">_xlfn.CONCAT(INDEX(Table2[Name],LARGE(IF(Table2[Type]=Table1[[#This Row],[Type]],ROW(Table2[Type])-1),INT(RAND()*COUNTIF(Table2[Type],Table1[[#This Row],[Type]])+1))),UPPER(Table1[[#This Row],[Name]]))</f>
        <v>CarniPOD</v>
      </c>
    </row>
    <row r="38" spans="1:7" x14ac:dyDescent="0.2">
      <c r="A38" s="24" t="s">
        <v>66</v>
      </c>
      <c r="B38" s="24" t="s">
        <v>16</v>
      </c>
      <c r="C38" s="24">
        <v>1</v>
      </c>
      <c r="D38" s="24">
        <v>8</v>
      </c>
      <c r="E38" s="24"/>
      <c r="F38" s="24">
        <f>IF(ISBLANK(Table1[[#This Row],[Ability]]),0,1)</f>
        <v>0</v>
      </c>
      <c r="G38" s="24" t="str" cm="1">
        <f t="array" aca="1" ref="G38" ca="1">_xlfn.CONCAT(INDEX(Table2[Name],LARGE(IF(Table2[Type]=Table1[[#This Row],[Type]],ROW(Table2[Type])-1),INT(RAND()*COUNTIF(Table2[Type],Table1[[#This Row],[Type]])+1))),UPPER(Table1[[#This Row],[Name]]))</f>
        <v>PredaSUARUS</v>
      </c>
    </row>
    <row r="39" spans="1:7" x14ac:dyDescent="0.2">
      <c r="A39" s="24" t="s">
        <v>157</v>
      </c>
      <c r="B39" s="24" t="s">
        <v>16</v>
      </c>
      <c r="C39" s="24">
        <v>1</v>
      </c>
      <c r="D39" s="24">
        <v>6</v>
      </c>
      <c r="E39" s="24" t="s">
        <v>96</v>
      </c>
      <c r="F39" s="24">
        <f>IF(ISBLANK(Table1[[#This Row],[Ability]]),0,1)</f>
        <v>1</v>
      </c>
      <c r="G39" s="24" t="str" cm="1">
        <f t="array" aca="1" ref="G39" ca="1">_xlfn.CONCAT(INDEX(Table2[Name],LARGE(IF(Table2[Type]=Table1[[#This Row],[Type]],ROW(Table2[Type])-1),INT(RAND()*COUNTIF(Table2[Type],Table1[[#This Row],[Type]])+1))),UPPER(Table1[[#This Row],[Name]]))</f>
        <v>FaunaCTOS</v>
      </c>
    </row>
    <row r="40" spans="1:7" x14ac:dyDescent="0.2">
      <c r="A40" s="24" t="s">
        <v>63</v>
      </c>
      <c r="B40" s="24" t="s">
        <v>16</v>
      </c>
      <c r="C40" s="24">
        <v>2</v>
      </c>
      <c r="D40" s="24">
        <v>10</v>
      </c>
      <c r="E40" s="24" t="s">
        <v>96</v>
      </c>
      <c r="F40" s="24">
        <f>IF(ISBLANK(Table1[[#This Row],[Ability]]),0,1)</f>
        <v>1</v>
      </c>
      <c r="G40" s="24" t="str" cm="1">
        <f t="array" aca="1" ref="G40" ca="1">_xlfn.CONCAT(INDEX(Table2[Name],LARGE(IF(Table2[Type]=Table1[[#This Row],[Type]],ROW(Table2[Type])-1),INT(RAND()*COUNTIF(Table2[Type],Table1[[#This Row],[Type]])+1))),UPPER(Table1[[#This Row],[Name]]))</f>
        <v>FloraLOPHUS</v>
      </c>
    </row>
    <row r="41" spans="1:7" x14ac:dyDescent="0.2">
      <c r="A41" s="25" t="s">
        <v>168</v>
      </c>
      <c r="B41" s="24" t="s">
        <v>16</v>
      </c>
      <c r="C41" s="24">
        <v>2</v>
      </c>
      <c r="D41" s="24">
        <v>12</v>
      </c>
      <c r="E41" s="24"/>
      <c r="F41" s="24">
        <f>IF(ISBLANK(Table1[[#This Row],[Ability]]),0,1)</f>
        <v>0</v>
      </c>
      <c r="G41" s="24" t="str" cm="1">
        <f t="array" aca="1" ref="G41" ca="1">_xlfn.CONCAT(INDEX(Table2[Name],LARGE(IF(Table2[Type]=Table1[[#This Row],[Type]],ROW(Table2[Type])-1),INT(RAND()*COUNTIF(Table2[Type],Table1[[#This Row],[Type]])+1))),UPPER(Table1[[#This Row],[Name]]))</f>
        <v>PredaCLOR</v>
      </c>
    </row>
    <row r="42" spans="1:7" x14ac:dyDescent="0.2">
      <c r="A42" s="24" t="s">
        <v>70</v>
      </c>
      <c r="B42" s="24" t="s">
        <v>22</v>
      </c>
      <c r="C42" s="24">
        <v>0</v>
      </c>
      <c r="D42" s="24">
        <v>6</v>
      </c>
      <c r="E42" s="24"/>
      <c r="F42" s="24">
        <f>IF(ISBLANK(Table1[[#This Row],[Ability]]),0,1)</f>
        <v>0</v>
      </c>
      <c r="G42" s="24" t="str" cm="1">
        <f t="array" aca="1" ref="G42" ca="1">_xlfn.CONCAT(INDEX(Table2[Name],LARGE(IF(Table2[Type]=Table1[[#This Row],[Type]],ROW(Table2[Type])-1),INT(RAND()*COUNTIF(Table2[Type],Table1[[#This Row],[Type]])+1))),UPPER(Table1[[#This Row],[Name]]))</f>
        <v>CycloBIT</v>
      </c>
    </row>
    <row r="43" spans="1:7" x14ac:dyDescent="0.2">
      <c r="A43" s="24" t="s">
        <v>71</v>
      </c>
      <c r="B43" s="24" t="s">
        <v>22</v>
      </c>
      <c r="C43" s="24">
        <v>1</v>
      </c>
      <c r="D43" s="24">
        <v>10</v>
      </c>
      <c r="E43" s="24"/>
      <c r="F43" s="24">
        <f>IF(ISBLANK(Table1[[#This Row],[Ability]]),0,1)</f>
        <v>0</v>
      </c>
      <c r="G43" s="24" t="str" cm="1">
        <f t="array" aca="1" ref="G43" ca="1">_xlfn.CONCAT(INDEX(Table2[Name],LARGE(IF(Table2[Type]=Table1[[#This Row],[Type]],ROW(Table2[Type])-1),INT(RAND()*COUNTIF(Table2[Type],Table1[[#This Row],[Type]])+1))),UPPER(Table1[[#This Row],[Name]]))</f>
        <v>TeraBYTE</v>
      </c>
    </row>
    <row r="44" spans="1:7" x14ac:dyDescent="0.2">
      <c r="A44" s="24" t="s">
        <v>57</v>
      </c>
      <c r="B44" s="24" t="s">
        <v>22</v>
      </c>
      <c r="C44" s="24">
        <v>1</v>
      </c>
      <c r="D44" s="24">
        <v>8</v>
      </c>
      <c r="E44" s="24" t="s">
        <v>91</v>
      </c>
      <c r="F44" s="24">
        <f>IF(ISBLANK(Table1[[#This Row],[Ability]]),0,1)</f>
        <v>1</v>
      </c>
      <c r="G44" s="24" t="str" cm="1">
        <f t="array" aca="1" ref="G44" ca="1">_xlfn.CONCAT(INDEX(Table2[Name],LARGE(IF(Table2[Type]=Table1[[#This Row],[Type]],ROW(Table2[Type])-1),INT(RAND()*COUNTIF(Table2[Type],Table1[[#This Row],[Type]])+1))),UPPER(Table1[[#This Row],[Name]]))</f>
        <v>TeraSTEGA</v>
      </c>
    </row>
    <row r="45" spans="1:7" x14ac:dyDescent="0.2">
      <c r="A45" s="24" t="s">
        <v>72</v>
      </c>
      <c r="B45" s="24" t="s">
        <v>22</v>
      </c>
      <c r="C45" s="24">
        <v>2</v>
      </c>
      <c r="D45" s="24">
        <v>14</v>
      </c>
      <c r="E45" s="24"/>
      <c r="F45" s="24">
        <f>IF(ISBLANK(Table1[[#This Row],[Ability]]),0,1)</f>
        <v>0</v>
      </c>
      <c r="G45" s="24" t="str" cm="1">
        <f t="array" aca="1" ref="G45" ca="1">_xlfn.CONCAT(INDEX(Table2[Name],LARGE(IF(Table2[Type]=Table1[[#This Row],[Type]],ROW(Table2[Type])-1),INT(RAND()*COUNTIF(Table2[Type],Table1[[#This Row],[Type]])+1))),UPPER(Table1[[#This Row],[Name]]))</f>
        <v>CycloCELL</v>
      </c>
    </row>
    <row r="46" spans="1:7" x14ac:dyDescent="0.2">
      <c r="A46" s="24" t="s">
        <v>73</v>
      </c>
      <c r="B46" s="24" t="s">
        <v>22</v>
      </c>
      <c r="C46" s="24">
        <v>2</v>
      </c>
      <c r="D46" s="24">
        <v>12</v>
      </c>
      <c r="E46" s="24" t="s">
        <v>44</v>
      </c>
      <c r="F46" s="24">
        <f>IF(ISBLANK(Table1[[#This Row],[Ability]]),0,1)</f>
        <v>1</v>
      </c>
      <c r="G46" s="24" t="str" cm="1">
        <f t="array" aca="1" ref="G46" ca="1">_xlfn.CONCAT(INDEX(Table2[Name],LARGE(IF(Table2[Type]=Table1[[#This Row],[Type]],ROW(Table2[Type])-1),INT(RAND()*COUNTIF(Table2[Type],Table1[[#This Row],[Type]])+1))),UPPER(Table1[[#This Row],[Name]]))</f>
        <v>CycloLITE</v>
      </c>
    </row>
    <row r="47" spans="1:7" x14ac:dyDescent="0.2">
      <c r="A47" s="24" t="s">
        <v>165</v>
      </c>
      <c r="B47" s="24" t="s">
        <v>22</v>
      </c>
      <c r="C47" s="24">
        <v>3</v>
      </c>
      <c r="D47" s="24">
        <v>20</v>
      </c>
      <c r="E47" s="24"/>
      <c r="F47" s="24">
        <f>IF(ISBLANK(Table1[[#This Row],[Ability]]),0,1)</f>
        <v>0</v>
      </c>
      <c r="G47" s="24" t="str" cm="1">
        <f t="array" aca="1" ref="G47" ca="1">_xlfn.CONCAT(INDEX(Table2[Name],LARGE(IF(Table2[Type]=Table1[[#This Row],[Type]],ROW(Table2[Type])-1),INT(RAND()*COUNTIF(Table2[Type],Table1[[#This Row],[Type]])+1))),UPPER(Table1[[#This Row],[Name]]))</f>
        <v>DynaSHELL</v>
      </c>
    </row>
    <row r="48" spans="1:7" x14ac:dyDescent="0.2">
      <c r="A48" s="25" t="s">
        <v>166</v>
      </c>
      <c r="B48" s="24" t="s">
        <v>22</v>
      </c>
      <c r="C48" s="24">
        <v>2</v>
      </c>
      <c r="D48" s="24">
        <v>14</v>
      </c>
      <c r="E48" s="24" t="s">
        <v>91</v>
      </c>
      <c r="F48" s="24">
        <f>IF(ISBLANK(Table1[[#This Row],[Ability]]),0,1)</f>
        <v>1</v>
      </c>
      <c r="G48" s="24" t="str" cm="1">
        <f t="array" aca="1" ref="G48" ca="1">_xlfn.CONCAT(INDEX(Table2[Name],LARGE(IF(Table2[Type]=Table1[[#This Row],[Type]],ROW(Table2[Type])-1),INT(RAND()*COUNTIF(Table2[Type],Table1[[#This Row],[Type]])+1))),UPPER(Table1[[#This Row],[Name]]))</f>
        <v>UltraHULL</v>
      </c>
    </row>
    <row r="49" spans="1:7" x14ac:dyDescent="0.2">
      <c r="A49" s="25" t="s">
        <v>167</v>
      </c>
      <c r="B49" s="24" t="s">
        <v>22</v>
      </c>
      <c r="C49" s="24">
        <v>1</v>
      </c>
      <c r="D49" s="24">
        <v>8</v>
      </c>
      <c r="E49" s="24" t="s">
        <v>44</v>
      </c>
      <c r="F49" s="24">
        <f>IF(ISBLANK(Table1[[#This Row],[Ability]]),0,1)</f>
        <v>1</v>
      </c>
      <c r="G49" s="24" t="str" cm="1">
        <f t="array" aca="1" ref="G49" ca="1">_xlfn.CONCAT(INDEX(Table2[Name],LARGE(IF(Table2[Type]=Table1[[#This Row],[Type]],ROW(Table2[Type])-1),INT(RAND()*COUNTIF(Table2[Type],Table1[[#This Row],[Type]])+1))),UPPER(Table1[[#This Row],[Name]]))</f>
        <v>UltraDOME</v>
      </c>
    </row>
  </sheetData>
  <conditionalFormatting sqref="A2:G49">
    <cfRule type="cellIs" dxfId="105" priority="13" operator="equal">
      <formula>"Preserve"</formula>
    </cfRule>
    <cfRule type="cellIs" dxfId="104" priority="14" operator="equal">
      <formula>"Cultivate"</formula>
    </cfRule>
    <cfRule type="cellIs" dxfId="103" priority="15" operator="equal">
      <formula>"Convert"</formula>
    </cfRule>
    <cfRule type="cellIs" dxfId="102" priority="16" operator="equal">
      <formula>"Consume"</formula>
    </cfRule>
    <cfRule type="cellIs" dxfId="101" priority="17" operator="equal">
      <formula>"Augment"</formula>
    </cfRule>
    <cfRule type="cellIs" dxfId="100" priority="18" operator="equal">
      <formula>"Acquire"</formula>
    </cfRule>
    <cfRule type="expression" dxfId="99" priority="19">
      <formula>$B2="Acquire"</formula>
    </cfRule>
    <cfRule type="expression" dxfId="98" priority="20">
      <formula>$B2="Augment"</formula>
    </cfRule>
    <cfRule type="expression" dxfId="97" priority="21">
      <formula>$B2="Consume"</formula>
    </cfRule>
    <cfRule type="expression" dxfId="96" priority="22">
      <formula>$B2="Convert"</formula>
    </cfRule>
    <cfRule type="expression" dxfId="95" priority="23">
      <formula>$B2="Cultivate"</formula>
    </cfRule>
    <cfRule type="expression" dxfId="94" priority="24">
      <formula>$B2="Preserve"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8" bestFit="1" customWidth="1"/>
    <col min="2" max="12" width="15.7109375" style="8" customWidth="1"/>
    <col min="13" max="13" width="15.5703125" style="8" bestFit="1" customWidth="1"/>
    <col min="14" max="14" width="9.28515625" style="8" customWidth="1"/>
    <col min="15" max="16384" width="9.140625" style="8"/>
  </cols>
  <sheetData>
    <row r="1" spans="1:15" ht="15" thickBot="1" x14ac:dyDescent="0.25">
      <c r="B1" s="10"/>
      <c r="C1" s="9"/>
      <c r="D1" s="9"/>
      <c r="E1" s="9"/>
      <c r="H1" s="9"/>
      <c r="I1" s="9"/>
      <c r="J1" s="9"/>
    </row>
    <row r="2" spans="1:15" ht="18.75" thickBot="1" x14ac:dyDescent="0.3">
      <c r="B2" s="55" t="s">
        <v>152</v>
      </c>
      <c r="C2" s="56"/>
      <c r="D2" s="56"/>
      <c r="E2" s="56"/>
      <c r="F2" s="56"/>
      <c r="G2" s="57"/>
      <c r="H2" s="19"/>
      <c r="I2" s="55" t="s">
        <v>170</v>
      </c>
      <c r="J2" s="56"/>
      <c r="K2" s="56"/>
      <c r="L2" s="57"/>
      <c r="M2" s="19"/>
    </row>
    <row r="3" spans="1:15" ht="15" x14ac:dyDescent="0.25">
      <c r="B3" s="52" t="s">
        <v>134</v>
      </c>
      <c r="C3" s="53"/>
      <c r="D3" s="54"/>
      <c r="E3" s="52" t="s">
        <v>135</v>
      </c>
      <c r="F3" s="53"/>
      <c r="G3" s="54"/>
      <c r="H3" s="20"/>
      <c r="I3" s="46" t="s">
        <v>136</v>
      </c>
      <c r="J3" s="47" t="s">
        <v>171</v>
      </c>
      <c r="K3" s="47" t="s">
        <v>172</v>
      </c>
      <c r="L3" s="48" t="s">
        <v>173</v>
      </c>
      <c r="M3" s="45"/>
      <c r="N3" s="11"/>
    </row>
    <row r="4" spans="1:15" ht="15" thickBot="1" x14ac:dyDescent="0.25">
      <c r="A4" s="8" t="s">
        <v>1</v>
      </c>
      <c r="B4" s="12" t="s">
        <v>140</v>
      </c>
      <c r="C4" s="13" t="s">
        <v>141</v>
      </c>
      <c r="D4" s="14" t="s">
        <v>142</v>
      </c>
      <c r="E4" s="12" t="s">
        <v>143</v>
      </c>
      <c r="F4" s="13" t="s">
        <v>144</v>
      </c>
      <c r="G4" s="14" t="s">
        <v>145</v>
      </c>
      <c r="H4" s="13"/>
      <c r="I4" s="16">
        <f>SUM(Table3[Cost])/COUNT(Table3[Cost])</f>
        <v>1.2272727272727273</v>
      </c>
      <c r="J4" s="17">
        <f>SUM(Table3[HP])/COUNT(Table3[HP])</f>
        <v>3.1818181818181817</v>
      </c>
      <c r="K4" s="17">
        <f>SUM(Table3[PP])/COUNT(Table3[PP])</f>
        <v>1.4090909090909092</v>
      </c>
      <c r="L4" s="18">
        <f>SUM(Table3[Ability No])/COUNT(Table3[Ability No])</f>
        <v>0.86363636363636365</v>
      </c>
      <c r="M4" s="13"/>
    </row>
    <row r="5" spans="1:15" ht="15.75" x14ac:dyDescent="0.25">
      <c r="A5" s="24" t="s">
        <v>78</v>
      </c>
      <c r="B5" s="39">
        <v>8</v>
      </c>
      <c r="C5" s="40">
        <f>COUNTIF(Table1[Type],Variety[[#This Row],[Type]])</f>
        <v>8</v>
      </c>
      <c r="D5" s="41">
        <f t="shared" ref="D5:D10" si="0">C5-B5</f>
        <v>0</v>
      </c>
      <c r="E5" s="39">
        <v>8</v>
      </c>
      <c r="F5" s="40">
        <f>COUNTIF(Table2[Type],Variety[[#This Row],[Type]])</f>
        <v>8</v>
      </c>
      <c r="G5" s="41">
        <f t="shared" ref="G5:G10" si="1">F5-E5</f>
        <v>0</v>
      </c>
      <c r="H5" s="15"/>
      <c r="I5" s="15"/>
      <c r="J5" s="49" t="s">
        <v>137</v>
      </c>
      <c r="K5" s="50" t="s">
        <v>138</v>
      </c>
      <c r="L5" s="51" t="s">
        <v>111</v>
      </c>
      <c r="M5" s="15"/>
    </row>
    <row r="6" spans="1:15" ht="15.75" thickBot="1" x14ac:dyDescent="0.25">
      <c r="A6" s="24" t="s">
        <v>4</v>
      </c>
      <c r="B6" s="27">
        <v>8</v>
      </c>
      <c r="C6" s="28">
        <f>COUNTIF(Table1[Type],Variety[[#This Row],[Type]])</f>
        <v>8</v>
      </c>
      <c r="D6" s="29">
        <f t="shared" si="0"/>
        <v>0</v>
      </c>
      <c r="E6" s="27">
        <v>8</v>
      </c>
      <c r="F6" s="28">
        <f>COUNTIF(Table2[Type],Variety[[#This Row],[Type]])</f>
        <v>8</v>
      </c>
      <c r="G6" s="29">
        <f t="shared" si="1"/>
        <v>0</v>
      </c>
      <c r="H6" s="15"/>
      <c r="I6" s="15"/>
      <c r="J6" s="16">
        <f>SUM(Table3[HP])/SUM(Table3[Cost])</f>
        <v>2.5925925925925926</v>
      </c>
      <c r="K6" s="17">
        <f>SUM(Table3[PP])/SUM(Table3[Cost])</f>
        <v>1.1481481481481481</v>
      </c>
      <c r="L6" s="18">
        <f>SUM(Table3[Ability No])/SUM(Table3[Cost])</f>
        <v>0.70370370370370372</v>
      </c>
      <c r="M6" s="15"/>
    </row>
    <row r="7" spans="1:15" ht="15.75" x14ac:dyDescent="0.25">
      <c r="A7" s="24" t="s">
        <v>9</v>
      </c>
      <c r="B7" s="30">
        <v>8</v>
      </c>
      <c r="C7" s="31">
        <f>COUNTIF(Table1[Type],Variety[[#This Row],[Type]])</f>
        <v>8</v>
      </c>
      <c r="D7" s="32">
        <f t="shared" si="0"/>
        <v>0</v>
      </c>
      <c r="E7" s="30">
        <v>8</v>
      </c>
      <c r="F7" s="31">
        <f>COUNTIF(Table2[Type],Variety[[#This Row],[Type]])</f>
        <v>8</v>
      </c>
      <c r="G7" s="32">
        <f t="shared" si="1"/>
        <v>0</v>
      </c>
      <c r="H7" s="15"/>
      <c r="I7" s="15"/>
      <c r="K7" s="49" t="s">
        <v>174</v>
      </c>
      <c r="L7" s="51"/>
      <c r="M7" s="15"/>
    </row>
    <row r="8" spans="1:15" ht="15.75" thickBot="1" x14ac:dyDescent="0.25">
      <c r="A8" s="24" t="s">
        <v>45</v>
      </c>
      <c r="B8" s="33">
        <v>8</v>
      </c>
      <c r="C8" s="34">
        <f>COUNTIF(Table1[Type],Variety[[#This Row],[Type]])</f>
        <v>8</v>
      </c>
      <c r="D8" s="35">
        <f t="shared" si="0"/>
        <v>0</v>
      </c>
      <c r="E8" s="33">
        <v>8</v>
      </c>
      <c r="F8" s="34">
        <f>COUNTIF(Table2[Type],Variety[[#This Row],[Type]])</f>
        <v>8</v>
      </c>
      <c r="G8" s="35">
        <f t="shared" si="1"/>
        <v>0</v>
      </c>
      <c r="H8" s="15"/>
      <c r="I8" s="15"/>
      <c r="K8" s="16">
        <f>SUM(Table3[HP])/SUM(Table3[PP])</f>
        <v>2.2580645161290325</v>
      </c>
      <c r="L8" s="18"/>
      <c r="M8" s="15"/>
    </row>
    <row r="9" spans="1:15" ht="15" x14ac:dyDescent="0.2">
      <c r="A9" s="24" t="s">
        <v>16</v>
      </c>
      <c r="B9" s="36">
        <v>8</v>
      </c>
      <c r="C9" s="37">
        <f>COUNTIF(Table1[Type],Variety[[#This Row],[Type]])</f>
        <v>8</v>
      </c>
      <c r="D9" s="38">
        <f t="shared" si="0"/>
        <v>0</v>
      </c>
      <c r="E9" s="36">
        <v>8</v>
      </c>
      <c r="F9" s="37">
        <f>COUNTIF(Table2[Type],Variety[[#This Row],[Type]])</f>
        <v>8</v>
      </c>
      <c r="G9" s="38">
        <f t="shared" si="1"/>
        <v>0</v>
      </c>
      <c r="H9" s="15"/>
      <c r="I9" s="15"/>
      <c r="J9" s="15"/>
      <c r="K9" s="15"/>
      <c r="L9" s="15"/>
      <c r="M9" s="15"/>
    </row>
    <row r="10" spans="1:15" ht="15.75" thickBot="1" x14ac:dyDescent="0.25">
      <c r="A10" s="24" t="s">
        <v>22</v>
      </c>
      <c r="B10" s="42">
        <v>8</v>
      </c>
      <c r="C10" s="43">
        <f>COUNTIF(Table1[Type],Variety[[#This Row],[Type]])</f>
        <v>8</v>
      </c>
      <c r="D10" s="44">
        <f t="shared" si="0"/>
        <v>0</v>
      </c>
      <c r="E10" s="42">
        <v>8</v>
      </c>
      <c r="F10" s="43">
        <f>COUNTIF(Table2[Type],Variety[[#This Row],[Type]])</f>
        <v>8</v>
      </c>
      <c r="G10" s="44">
        <f t="shared" si="1"/>
        <v>0</v>
      </c>
      <c r="H10" s="15"/>
      <c r="I10" s="15"/>
      <c r="J10" s="15"/>
      <c r="K10" s="15"/>
      <c r="L10" s="15"/>
      <c r="M10" s="15"/>
    </row>
    <row r="11" spans="1:15" ht="15" thickBot="1" x14ac:dyDescent="0.25"/>
    <row r="12" spans="1:15" ht="18.75" thickBot="1" x14ac:dyDescent="0.3">
      <c r="B12" s="55" t="s">
        <v>153</v>
      </c>
      <c r="C12" s="56"/>
      <c r="D12" s="56"/>
      <c r="E12" s="56"/>
      <c r="F12" s="56"/>
      <c r="G12" s="56"/>
      <c r="H12" s="56"/>
      <c r="I12" s="56"/>
      <c r="J12" s="57"/>
      <c r="K12" s="19"/>
      <c r="L12" s="19"/>
      <c r="M12" s="19"/>
    </row>
    <row r="13" spans="1:15" x14ac:dyDescent="0.2">
      <c r="B13" s="52" t="s">
        <v>2</v>
      </c>
      <c r="C13" s="53"/>
      <c r="D13" s="54"/>
      <c r="E13" s="52" t="s">
        <v>46</v>
      </c>
      <c r="F13" s="53"/>
      <c r="G13" s="54"/>
      <c r="H13" s="52" t="s">
        <v>139</v>
      </c>
      <c r="I13" s="53"/>
      <c r="J13" s="54"/>
      <c r="K13" s="45"/>
      <c r="M13" s="58"/>
      <c r="N13" s="58"/>
    </row>
    <row r="14" spans="1:15" x14ac:dyDescent="0.2">
      <c r="A14" s="8" t="s">
        <v>1</v>
      </c>
      <c r="B14" s="12" t="s">
        <v>140</v>
      </c>
      <c r="C14" s="13" t="s">
        <v>141</v>
      </c>
      <c r="D14" s="14" t="s">
        <v>142</v>
      </c>
      <c r="E14" s="12" t="s">
        <v>143</v>
      </c>
      <c r="F14" s="13" t="s">
        <v>144</v>
      </c>
      <c r="G14" s="14" t="s">
        <v>145</v>
      </c>
      <c r="H14" s="12" t="s">
        <v>146</v>
      </c>
      <c r="I14" s="13" t="s">
        <v>147</v>
      </c>
      <c r="J14" s="14" t="s">
        <v>148</v>
      </c>
      <c r="K14" s="13"/>
      <c r="L14" s="13" t="s">
        <v>1</v>
      </c>
      <c r="M14" s="8" t="s">
        <v>37</v>
      </c>
      <c r="N14" s="13" t="s">
        <v>2</v>
      </c>
      <c r="O14" s="13" t="s">
        <v>46</v>
      </c>
    </row>
    <row r="15" spans="1:15" ht="15" x14ac:dyDescent="0.2">
      <c r="A15" s="24" t="s">
        <v>78</v>
      </c>
      <c r="B15" s="39">
        <v>8</v>
      </c>
      <c r="C15" s="40">
        <f>SUMIF(Table1[Type],Stats[[#This Row],[Type]],Table1[HP])/COUNTIF(Table1[Type],Stats[[#This Row],[Type]])</f>
        <v>9</v>
      </c>
      <c r="D15" s="41">
        <f t="shared" ref="D15:D20" si="2">C15-B15</f>
        <v>1</v>
      </c>
      <c r="E15" s="39">
        <v>4</v>
      </c>
      <c r="F15" s="40">
        <f t="array" ref="F15">SUMIF(Table2[Type],Stats[[#This Row],[Type]],Table2[PP])/COUNTIF(Table2[Type],Stats[[#This Row],[Type]])</f>
        <v>3.75</v>
      </c>
      <c r="G15" s="41">
        <f t="shared" ref="G15:G20" si="3">F15-E15</f>
        <v>-0.25</v>
      </c>
      <c r="H15" s="39">
        <v>0.5</v>
      </c>
      <c r="I15" s="40">
        <f>(SUMIF(Table1[Type],Stats[[#This Row],[Type]],Table1[Ability No])+SUMIF(Table2[Type],Stats[[#This Row],[Type]],Table2[Ability no]))/(COUNTIF(Table1[Type],Stats[[#This Row],[Type]])+COUNTIF(Table2[Type],Stats[[#This Row],[Type]]))</f>
        <v>0.625</v>
      </c>
      <c r="J15" s="41">
        <f t="shared" ref="J15:J20" si="4">I15-H15</f>
        <v>0.125</v>
      </c>
      <c r="K15" s="15"/>
      <c r="L15" s="25" t="s">
        <v>78</v>
      </c>
      <c r="M15" s="40">
        <f>ROUND(2*SUMIF(Cost_Stat[Type],Table15[[#This Row],[Type]],Cost_Stat[Actual9]),0)</f>
        <v>3</v>
      </c>
      <c r="N15" s="40">
        <f>Table15[[#This Row],[Cost]]*SUMIF(Cost_Stat[Type],Table15[[#This Row],[Type]],Cost_Stat[Actual])/2</f>
        <v>9</v>
      </c>
      <c r="O15" s="40">
        <f>Table15[[#This Row],[Cost]]*SUMIF(Cost_Stat[Type],Table15[[#This Row],[Type]],Cost_Stat[Actual3])/2</f>
        <v>3.4615384615384612</v>
      </c>
    </row>
    <row r="16" spans="1:15" ht="15" x14ac:dyDescent="0.2">
      <c r="A16" s="24" t="s">
        <v>4</v>
      </c>
      <c r="B16" s="27">
        <v>8</v>
      </c>
      <c r="C16" s="28">
        <f>SUMIF(Table1[Type],Stats[[#This Row],[Type]],Table1[HP])/COUNTIF(Table1[Type],Stats[[#This Row],[Type]])</f>
        <v>9</v>
      </c>
      <c r="D16" s="29">
        <f t="shared" si="2"/>
        <v>1</v>
      </c>
      <c r="E16" s="27">
        <v>4</v>
      </c>
      <c r="F16" s="28">
        <f t="array" ref="F16">SUMIF(Table2[Type],Stats[[#This Row],[Type]],Table2[PP])/COUNTIF(Table2[Type],Stats[[#This Row],[Type]])</f>
        <v>3.5</v>
      </c>
      <c r="G16" s="29">
        <f t="shared" si="3"/>
        <v>-0.5</v>
      </c>
      <c r="H16" s="27">
        <v>0.5</v>
      </c>
      <c r="I16" s="28">
        <f>(SUMIF(Table1[Type],Stats[[#This Row],[Type]],Table1[Ability No])+SUMIF(Table2[Type],Stats[[#This Row],[Type]],Table2[Ability no]))/(COUNTIF(Table1[Type],Stats[[#This Row],[Type]])+COUNTIF(Table2[Type],Stats[[#This Row],[Type]]))</f>
        <v>0.625</v>
      </c>
      <c r="J16" s="29">
        <f t="shared" si="4"/>
        <v>0.125</v>
      </c>
      <c r="K16" s="15"/>
      <c r="L16" s="25" t="s">
        <v>4</v>
      </c>
      <c r="M16" s="28">
        <f>ROUND(2*SUMIF(Cost_Stat[Type],Table15[[#This Row],[Type]],Cost_Stat[Actual9]),0)</f>
        <v>3</v>
      </c>
      <c r="N16" s="28">
        <f>Table15[[#This Row],[Cost]]*SUMIF(Cost_Stat[Type],Table15[[#This Row],[Type]],Cost_Stat[Actual])/2</f>
        <v>9</v>
      </c>
      <c r="O16" s="28">
        <f>Table15[[#This Row],[Cost]]*SUMIF(Cost_Stat[Type],Table15[[#This Row],[Type]],Cost_Stat[Actual3])/2</f>
        <v>3.5</v>
      </c>
    </row>
    <row r="17" spans="1:15" ht="15" x14ac:dyDescent="0.2">
      <c r="A17" s="24" t="s">
        <v>9</v>
      </c>
      <c r="B17" s="30">
        <v>6</v>
      </c>
      <c r="C17" s="31">
        <f>SUMIF(Table1[Type],Stats[[#This Row],[Type]],Table1[HP])/COUNTIF(Table1[Type],Stats[[#This Row],[Type]])</f>
        <v>6.75</v>
      </c>
      <c r="D17" s="32">
        <f t="shared" si="2"/>
        <v>0.75</v>
      </c>
      <c r="E17" s="30">
        <v>6</v>
      </c>
      <c r="F17" s="31">
        <f t="array" ref="F17">SUMIF(Table2[Type],Stats[[#This Row],[Type]],Table2[PP])/COUNTIF(Table2[Type],Stats[[#This Row],[Type]])</f>
        <v>5.75</v>
      </c>
      <c r="G17" s="32">
        <f t="shared" si="3"/>
        <v>-0.25</v>
      </c>
      <c r="H17" s="30">
        <v>0.5</v>
      </c>
      <c r="I17" s="31">
        <f>(SUMIF(Table1[Type],Stats[[#This Row],[Type]],Table1[Ability No])+SUMIF(Table2[Type],Stats[[#This Row],[Type]],Table2[Ability no]))/(COUNTIF(Table1[Type],Stats[[#This Row],[Type]])+COUNTIF(Table2[Type],Stats[[#This Row],[Type]]))</f>
        <v>0.5625</v>
      </c>
      <c r="J17" s="32">
        <f t="shared" si="4"/>
        <v>6.25E-2</v>
      </c>
      <c r="K17" s="15"/>
      <c r="L17" s="25" t="s">
        <v>9</v>
      </c>
      <c r="M17" s="31">
        <f>ROUND(2*SUMIF(Cost_Stat[Type],Table15[[#This Row],[Type]],Cost_Stat[Actual9]),0)</f>
        <v>3</v>
      </c>
      <c r="N17" s="31">
        <f>Table15[[#This Row],[Cost]]*SUMIF(Cost_Stat[Type],Table15[[#This Row],[Type]],Cost_Stat[Actual])/2</f>
        <v>6.75</v>
      </c>
      <c r="O17" s="31">
        <f>Table15[[#This Row],[Cost]]*SUMIF(Cost_Stat[Type],Table15[[#This Row],[Type]],Cost_Stat[Actual3])/2</f>
        <v>5.75</v>
      </c>
    </row>
    <row r="18" spans="1:15" ht="15" x14ac:dyDescent="0.2">
      <c r="A18" s="24" t="s">
        <v>45</v>
      </c>
      <c r="B18" s="33">
        <v>8</v>
      </c>
      <c r="C18" s="34">
        <f>SUMIF(Table1[Type],Stats[[#This Row],[Type]],Table1[HP])/COUNTIF(Table1[Type],Stats[[#This Row],[Type]])</f>
        <v>9</v>
      </c>
      <c r="D18" s="35">
        <f t="shared" si="2"/>
        <v>1</v>
      </c>
      <c r="E18" s="33">
        <v>4</v>
      </c>
      <c r="F18" s="34">
        <f t="array" ref="F18">SUMIF(Table2[Type],Stats[[#This Row],[Type]],Table2[PP])/COUNTIF(Table2[Type],Stats[[#This Row],[Type]])</f>
        <v>4</v>
      </c>
      <c r="G18" s="35">
        <f t="shared" si="3"/>
        <v>0</v>
      </c>
      <c r="H18" s="33">
        <v>0.5</v>
      </c>
      <c r="I18" s="34">
        <f>(SUMIF(Table1[Type],Stats[[#This Row],[Type]],Table1[Ability No])+SUMIF(Table2[Type],Stats[[#This Row],[Type]],Table2[Ability no]))/(COUNTIF(Table1[Type],Stats[[#This Row],[Type]])+COUNTIF(Table2[Type],Stats[[#This Row],[Type]]))</f>
        <v>0.5</v>
      </c>
      <c r="J18" s="35">
        <f t="shared" si="4"/>
        <v>0</v>
      </c>
      <c r="K18" s="15"/>
      <c r="L18" s="25" t="s">
        <v>45</v>
      </c>
      <c r="M18" s="34">
        <f>ROUND(2*SUMIF(Cost_Stat[Type],Table15[[#This Row],[Type]],Cost_Stat[Actual9]),0)</f>
        <v>3</v>
      </c>
      <c r="N18" s="34">
        <f>Table15[[#This Row],[Cost]]*SUMIF(Cost_Stat[Type],Table15[[#This Row],[Type]],Cost_Stat[Actual])/2</f>
        <v>9</v>
      </c>
      <c r="O18" s="34">
        <f>Table15[[#This Row],[Cost]]*SUMIF(Cost_Stat[Type],Table15[[#This Row],[Type]],Cost_Stat[Actual3])/2</f>
        <v>4</v>
      </c>
    </row>
    <row r="19" spans="1:15" ht="15" x14ac:dyDescent="0.2">
      <c r="A19" s="24" t="s">
        <v>16</v>
      </c>
      <c r="B19" s="36">
        <v>6</v>
      </c>
      <c r="C19" s="37">
        <f>SUMIF(Table1[Type],Stats[[#This Row],[Type]],Table1[HP])/COUNTIF(Table1[Type],Stats[[#This Row],[Type]])</f>
        <v>6.25</v>
      </c>
      <c r="D19" s="38">
        <f t="shared" si="2"/>
        <v>0.25</v>
      </c>
      <c r="E19" s="36">
        <v>2</v>
      </c>
      <c r="F19" s="37">
        <f t="array" ref="F19">SUMIF(Table2[Type],Stats[[#This Row],[Type]],Table2[PP])/COUNTIF(Table2[Type],Stats[[#This Row],[Type]])</f>
        <v>2.25</v>
      </c>
      <c r="G19" s="38">
        <f t="shared" si="3"/>
        <v>0.25</v>
      </c>
      <c r="H19" s="36">
        <v>0.5</v>
      </c>
      <c r="I19" s="37">
        <f>(SUMIF(Table1[Type],Stats[[#This Row],[Type]],Table1[Ability No])+SUMIF(Table2[Type],Stats[[#This Row],[Type]],Table2[Ability no]))/(COUNTIF(Table1[Type],Stats[[#This Row],[Type]])+COUNTIF(Table2[Type],Stats[[#This Row],[Type]]))</f>
        <v>0.6875</v>
      </c>
      <c r="J19" s="38">
        <f t="shared" si="4"/>
        <v>0.1875</v>
      </c>
      <c r="K19" s="15"/>
      <c r="L19" s="25" t="s">
        <v>16</v>
      </c>
      <c r="M19" s="37">
        <f>ROUND(2*SUMIF(Cost_Stat[Type],Table15[[#This Row],[Type]],Cost_Stat[Actual9]),0)</f>
        <v>2</v>
      </c>
      <c r="N19" s="37">
        <f>Table15[[#This Row],[Cost]]*SUMIF(Cost_Stat[Type],Table15[[#This Row],[Type]],Cost_Stat[Actual])/2</f>
        <v>7.1428571428571432</v>
      </c>
      <c r="O19" s="37">
        <f>Table15[[#This Row],[Cost]]*SUMIF(Cost_Stat[Type],Table15[[#This Row],[Type]],Cost_Stat[Actual3])/2</f>
        <v>2.5714285714285716</v>
      </c>
    </row>
    <row r="20" spans="1:15" ht="15.75" thickBot="1" x14ac:dyDescent="0.25">
      <c r="A20" s="24" t="s">
        <v>22</v>
      </c>
      <c r="B20" s="42">
        <v>12</v>
      </c>
      <c r="C20" s="43">
        <f>SUMIF(Table1[Type],Stats[[#This Row],[Type]],Table1[HP])/COUNTIF(Table1[Type],Stats[[#This Row],[Type]])</f>
        <v>11.5</v>
      </c>
      <c r="D20" s="44">
        <f t="shared" si="2"/>
        <v>-0.5</v>
      </c>
      <c r="E20" s="42">
        <v>6</v>
      </c>
      <c r="F20" s="43">
        <f t="array" ref="F20">SUMIF(Table2[Type],Stats[[#This Row],[Type]],Table2[PP])/COUNTIF(Table2[Type],Stats[[#This Row],[Type]])</f>
        <v>6.25</v>
      </c>
      <c r="G20" s="44">
        <f t="shared" si="3"/>
        <v>0.25</v>
      </c>
      <c r="H20" s="42">
        <v>0.5</v>
      </c>
      <c r="I20" s="43">
        <f>(SUMIF(Table1[Type],Stats[[#This Row],[Type]],Table1[Ability No])+SUMIF(Table2[Type],Stats[[#This Row],[Type]],Table2[Ability no]))/(COUNTIF(Table1[Type],Stats[[#This Row],[Type]])+COUNTIF(Table2[Type],Stats[[#This Row],[Type]]))</f>
        <v>0.5</v>
      </c>
      <c r="J20" s="44">
        <f t="shared" si="4"/>
        <v>0</v>
      </c>
      <c r="K20" s="15"/>
      <c r="L20" s="25" t="s">
        <v>22</v>
      </c>
      <c r="M20" s="26">
        <f>ROUND(2*SUMIF(Cost_Stat[Type],Table15[[#This Row],[Type]],Cost_Stat[Actual9]),0)</f>
        <v>3</v>
      </c>
      <c r="N20" s="26">
        <f>Table15[[#This Row],[Cost]]*SUMIF(Cost_Stat[Type],Table15[[#This Row],[Type]],Cost_Stat[Actual])/2</f>
        <v>11.5</v>
      </c>
      <c r="O20" s="26">
        <f>Table15[[#This Row],[Cost]]*SUMIF(Cost_Stat[Type],Table15[[#This Row],[Type]],Cost_Stat[Actual3])/2</f>
        <v>5.7692307692307692</v>
      </c>
    </row>
    <row r="21" spans="1:15" ht="15" thickBot="1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1:15" ht="18.75" thickBot="1" x14ac:dyDescent="0.3">
      <c r="B22" s="55" t="s">
        <v>154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</row>
    <row r="23" spans="1:15" x14ac:dyDescent="0.2">
      <c r="B23" s="52" t="s">
        <v>2</v>
      </c>
      <c r="C23" s="53"/>
      <c r="D23" s="54"/>
      <c r="E23" s="52" t="s">
        <v>46</v>
      </c>
      <c r="F23" s="53"/>
      <c r="G23" s="54"/>
      <c r="H23" s="52" t="s">
        <v>139</v>
      </c>
      <c r="I23" s="53"/>
      <c r="J23" s="54"/>
      <c r="K23" s="52" t="s">
        <v>155</v>
      </c>
      <c r="L23" s="53"/>
      <c r="M23" s="54"/>
    </row>
    <row r="24" spans="1:15" x14ac:dyDescent="0.2">
      <c r="A24" s="8" t="s">
        <v>1</v>
      </c>
      <c r="B24" s="12" t="s">
        <v>140</v>
      </c>
      <c r="C24" s="13" t="s">
        <v>141</v>
      </c>
      <c r="D24" s="14" t="s">
        <v>142</v>
      </c>
      <c r="E24" s="12" t="s">
        <v>143</v>
      </c>
      <c r="F24" s="13" t="s">
        <v>144</v>
      </c>
      <c r="G24" s="14" t="s">
        <v>145</v>
      </c>
      <c r="H24" s="12" t="s">
        <v>146</v>
      </c>
      <c r="I24" s="13" t="s">
        <v>147</v>
      </c>
      <c r="J24" s="14" t="s">
        <v>148</v>
      </c>
      <c r="K24" s="12" t="s">
        <v>149</v>
      </c>
      <c r="L24" s="13" t="s">
        <v>150</v>
      </c>
      <c r="M24" s="14" t="s">
        <v>151</v>
      </c>
    </row>
    <row r="25" spans="1:15" ht="15" x14ac:dyDescent="0.2">
      <c r="A25" s="24" t="s">
        <v>78</v>
      </c>
      <c r="B25" s="39">
        <v>6</v>
      </c>
      <c r="C25" s="40">
        <f>SUMIF(Table1[Type],Cost_Stat[[#This Row],[Type]],Table1[HP])/SUMIF(Table1[Type],Cost_Stat[[#This Row],[Type]],Table1[Cost])</f>
        <v>6</v>
      </c>
      <c r="D25" s="41">
        <f t="shared" ref="D25:D30" si="5">C25-B25</f>
        <v>0</v>
      </c>
      <c r="E25" s="39">
        <v>2</v>
      </c>
      <c r="F25" s="40">
        <f>SUMIF(Table2[Type],Cost_Stat[[#This Row],[Type]],Table2[PP])/SUMIF(Table2[Type],Cost_Stat[[#This Row],[Type]],Table2[Cost])</f>
        <v>2.3076923076923075</v>
      </c>
      <c r="G25" s="41">
        <f t="shared" ref="G25:G30" si="6">F25-E25</f>
        <v>0.30769230769230749</v>
      </c>
      <c r="H25" s="39">
        <v>1</v>
      </c>
      <c r="I25" s="40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0.55555555555555558</v>
      </c>
      <c r="J25" s="41">
        <f t="shared" ref="J25:J30" si="7">I25-H25</f>
        <v>-0.44444444444444442</v>
      </c>
      <c r="K25" s="39">
        <v>1.5</v>
      </c>
      <c r="L25" s="40">
        <f>(SUMIF(Table1[Type],Cost_Stat[[#This Row],[Type]],Table1[Cost])+SUMIF(Table2[Type],Cost_Stat[[#This Row],[Type]],Table2[Cost]))/(COUNTIF(Table1[Type],Cost_Stat[[#This Row],[Type]])+COUNTIF(Table2[Type],Cost_Stat[[#This Row],[Type]]))</f>
        <v>1.5625</v>
      </c>
      <c r="M25" s="41">
        <f t="shared" ref="M25:M30" si="8">L25-K25</f>
        <v>6.25E-2</v>
      </c>
    </row>
    <row r="26" spans="1:15" ht="15" x14ac:dyDescent="0.2">
      <c r="A26" s="24" t="s">
        <v>4</v>
      </c>
      <c r="B26" s="27">
        <v>6</v>
      </c>
      <c r="C26" s="28">
        <f>SUMIF(Table1[Type],Cost_Stat[[#This Row],[Type]],Table1[HP])/SUMIF(Table1[Type],Cost_Stat[[#This Row],[Type]],Table1[Cost])</f>
        <v>6</v>
      </c>
      <c r="D26" s="29">
        <f t="shared" si="5"/>
        <v>0</v>
      </c>
      <c r="E26" s="27">
        <v>2</v>
      </c>
      <c r="F26" s="28">
        <f>SUMIF(Table2[Type],Cost_Stat[[#This Row],[Type]],Table2[PP])/SUMIF(Table2[Type],Cost_Stat[[#This Row],[Type]],Table2[Cost])</f>
        <v>2.3333333333333335</v>
      </c>
      <c r="G26" s="29">
        <f t="shared" si="6"/>
        <v>0.33333333333333348</v>
      </c>
      <c r="H26" s="27">
        <v>1</v>
      </c>
      <c r="I26" s="28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0.66666666666666663</v>
      </c>
      <c r="J26" s="29">
        <f t="shared" si="7"/>
        <v>-0.33333333333333337</v>
      </c>
      <c r="K26" s="27">
        <v>1.5</v>
      </c>
      <c r="L26" s="28">
        <f>(SUMIF(Table1[Type],Cost_Stat[[#This Row],[Type]],Table1[Cost])+SUMIF(Table2[Type],Cost_Stat[[#This Row],[Type]],Table2[Cost]))/(COUNTIF(Table1[Type],Cost_Stat[[#This Row],[Type]])+COUNTIF(Table2[Type],Cost_Stat[[#This Row],[Type]]))</f>
        <v>1.5</v>
      </c>
      <c r="M26" s="29">
        <f t="shared" si="8"/>
        <v>0</v>
      </c>
    </row>
    <row r="27" spans="1:15" ht="15" x14ac:dyDescent="0.2">
      <c r="A27" s="24" t="s">
        <v>9</v>
      </c>
      <c r="B27" s="30">
        <v>4</v>
      </c>
      <c r="C27" s="31">
        <f>SUMIF(Table1[Type],Cost_Stat[[#This Row],[Type]],Table1[HP])/SUMIF(Table1[Type],Cost_Stat[[#This Row],[Type]],Table1[Cost])</f>
        <v>4.5</v>
      </c>
      <c r="D27" s="32">
        <f t="shared" si="5"/>
        <v>0.5</v>
      </c>
      <c r="E27" s="30">
        <v>4</v>
      </c>
      <c r="F27" s="31">
        <f>SUMIF(Table2[Type],Cost_Stat[[#This Row],[Type]],Table2[PP])/SUMIF(Table2[Type],Cost_Stat[[#This Row],[Type]],Table2[Cost])</f>
        <v>3.8333333333333335</v>
      </c>
      <c r="G27" s="32">
        <f t="shared" si="6"/>
        <v>-0.16666666666666652</v>
      </c>
      <c r="H27" s="30">
        <v>1</v>
      </c>
      <c r="I27" s="31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</v>
      </c>
      <c r="J27" s="32">
        <f t="shared" si="7"/>
        <v>-0.4</v>
      </c>
      <c r="K27" s="30">
        <v>1.5</v>
      </c>
      <c r="L27" s="31">
        <f>(SUMIF(Table1[Type],Cost_Stat[[#This Row],[Type]],Table1[Cost])+SUMIF(Table2[Type],Cost_Stat[[#This Row],[Type]],Table2[Cost]))/(COUNTIF(Table1[Type],Cost_Stat[[#This Row],[Type]])+COUNTIF(Table2[Type],Cost_Stat[[#This Row],[Type]]))</f>
        <v>1.5</v>
      </c>
      <c r="M27" s="32">
        <f t="shared" si="8"/>
        <v>0</v>
      </c>
    </row>
    <row r="28" spans="1:15" ht="15" x14ac:dyDescent="0.2">
      <c r="A28" s="24" t="s">
        <v>45</v>
      </c>
      <c r="B28" s="33">
        <v>6</v>
      </c>
      <c r="C28" s="34">
        <f>SUMIF(Table1[Type],Cost_Stat[[#This Row],[Type]],Table1[HP])/SUMIF(Table1[Type],Cost_Stat[[#This Row],[Type]],Table1[Cost])</f>
        <v>6</v>
      </c>
      <c r="D28" s="35">
        <f t="shared" si="5"/>
        <v>0</v>
      </c>
      <c r="E28" s="33">
        <v>2</v>
      </c>
      <c r="F28" s="34">
        <f>SUMIF(Table2[Type],Cost_Stat[[#This Row],[Type]],Table2[PP])/SUMIF(Table2[Type],Cost_Stat[[#This Row],[Type]],Table2[Cost])</f>
        <v>2.6666666666666665</v>
      </c>
      <c r="G28" s="35">
        <f t="shared" si="6"/>
        <v>0.66666666666666652</v>
      </c>
      <c r="H28" s="33">
        <v>1</v>
      </c>
      <c r="I28" s="34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0.66666666666666663</v>
      </c>
      <c r="J28" s="35">
        <f t="shared" si="7"/>
        <v>-0.33333333333333337</v>
      </c>
      <c r="K28" s="33">
        <v>1.5</v>
      </c>
      <c r="L28" s="34">
        <f>(SUMIF(Table1[Type],Cost_Stat[[#This Row],[Type]],Table1[Cost])+SUMIF(Table2[Type],Cost_Stat[[#This Row],[Type]],Table2[Cost]))/(COUNTIF(Table1[Type],Cost_Stat[[#This Row],[Type]])+COUNTIF(Table2[Type],Cost_Stat[[#This Row],[Type]]))</f>
        <v>1.5</v>
      </c>
      <c r="M28" s="35">
        <f t="shared" si="8"/>
        <v>0</v>
      </c>
    </row>
    <row r="29" spans="1:15" ht="15" x14ac:dyDescent="0.2">
      <c r="A29" s="24" t="s">
        <v>16</v>
      </c>
      <c r="B29" s="36">
        <v>6</v>
      </c>
      <c r="C29" s="37">
        <f>SUMIF(Table1[Type],Cost_Stat[[#This Row],[Type]],Table1[HP])/SUMIF(Table1[Type],Cost_Stat[[#This Row],[Type]],Table1[Cost])</f>
        <v>7.1428571428571432</v>
      </c>
      <c r="D29" s="38">
        <f t="shared" si="5"/>
        <v>1.1428571428571432</v>
      </c>
      <c r="E29" s="36">
        <v>2</v>
      </c>
      <c r="F29" s="37">
        <f>SUMIF(Table2[Type],Cost_Stat[[#This Row],[Type]],Table2[PP])/SUMIF(Table2[Type],Cost_Stat[[#This Row],[Type]],Table2[Cost])</f>
        <v>2.5714285714285716</v>
      </c>
      <c r="G29" s="38">
        <f t="shared" si="6"/>
        <v>0.57142857142857162</v>
      </c>
      <c r="H29" s="36">
        <v>1</v>
      </c>
      <c r="I29" s="37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1.1000000000000001</v>
      </c>
      <c r="J29" s="38">
        <f t="shared" si="7"/>
        <v>0.10000000000000009</v>
      </c>
      <c r="K29" s="36">
        <v>1</v>
      </c>
      <c r="L29" s="37">
        <f>(SUMIF(Table1[Type],Cost_Stat[[#This Row],[Type]],Table1[Cost])+SUMIF(Table2[Type],Cost_Stat[[#This Row],[Type]],Table2[Cost]))/(COUNTIF(Table1[Type],Cost_Stat[[#This Row],[Type]])+COUNTIF(Table2[Type],Cost_Stat[[#This Row],[Type]]))</f>
        <v>0.875</v>
      </c>
      <c r="M29" s="38">
        <f t="shared" si="8"/>
        <v>-0.125</v>
      </c>
    </row>
    <row r="30" spans="1:15" ht="15.75" thickBot="1" x14ac:dyDescent="0.25">
      <c r="A30" s="24" t="s">
        <v>22</v>
      </c>
      <c r="B30" s="42">
        <v>8</v>
      </c>
      <c r="C30" s="43">
        <f>SUMIF(Table1[Type],Cost_Stat[[#This Row],[Type]],Table1[HP])/SUMIF(Table1[Type],Cost_Stat[[#This Row],[Type]],Table1[Cost])</f>
        <v>7.666666666666667</v>
      </c>
      <c r="D30" s="44">
        <f t="shared" si="5"/>
        <v>-0.33333333333333304</v>
      </c>
      <c r="E30" s="42">
        <v>4</v>
      </c>
      <c r="F30" s="43">
        <f>SUMIF(Table2[Type],Cost_Stat[[#This Row],[Type]],Table2[PP])/SUMIF(Table2[Type],Cost_Stat[[#This Row],[Type]],Table2[Cost])</f>
        <v>3.8461538461538463</v>
      </c>
      <c r="G30" s="44">
        <f t="shared" si="6"/>
        <v>-0.15384615384615374</v>
      </c>
      <c r="H30" s="42">
        <v>1</v>
      </c>
      <c r="I30" s="43">
        <f>(SUMIF(Table1[Type],Cost_Stat[[#This Row],[Type]],Table1[Ability No])+SUMIF(Table2[Type],Cost_Stat[[#This Row],[Type]],Table2[Ability no]))/(SUMIFS(Table1[Cost],Table1[Type],Cost_Stat[[#This Row],[Type]],Table1[Ability No],1)+SUMIFS(Table2[Cost],Table2[Type],Cost_Stat[[#This Row],[Type]],Table2[Ability no],1))</f>
        <v>0.61538461538461542</v>
      </c>
      <c r="J30" s="44">
        <f t="shared" si="7"/>
        <v>-0.38461538461538458</v>
      </c>
      <c r="K30" s="42">
        <v>1.5</v>
      </c>
      <c r="L30" s="43">
        <f>(SUMIF(Table1[Type],Cost_Stat[[#This Row],[Type]],Table1[Cost])+SUMIF(Table2[Type],Cost_Stat[[#This Row],[Type]],Table2[Cost]))/(COUNTIF(Table1[Type],Cost_Stat[[#This Row],[Type]])+COUNTIF(Table2[Type],Cost_Stat[[#This Row],[Type]]))</f>
        <v>1.5625</v>
      </c>
      <c r="M30" s="44">
        <f t="shared" si="8"/>
        <v>6.25E-2</v>
      </c>
    </row>
  </sheetData>
  <mergeCells count="14">
    <mergeCell ref="B2:G2"/>
    <mergeCell ref="I2:L2"/>
    <mergeCell ref="M13:N13"/>
    <mergeCell ref="B13:D13"/>
    <mergeCell ref="E13:G13"/>
    <mergeCell ref="H13:J13"/>
    <mergeCell ref="B3:D3"/>
    <mergeCell ref="E3:G3"/>
    <mergeCell ref="B23:D23"/>
    <mergeCell ref="E23:G23"/>
    <mergeCell ref="H23:J23"/>
    <mergeCell ref="K23:M23"/>
    <mergeCell ref="B12:J12"/>
    <mergeCell ref="B22:M22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84" priority="36" operator="equal">
      <formula>"Preserve"</formula>
    </cfRule>
    <cfRule type="cellIs" dxfId="83" priority="37" operator="equal">
      <formula>"Cultivate"</formula>
    </cfRule>
    <cfRule type="cellIs" dxfId="82" priority="38" operator="equal">
      <formula>"Convert"</formula>
    </cfRule>
    <cfRule type="cellIs" dxfId="81" priority="39" operator="equal">
      <formula>"Consume"</formula>
    </cfRule>
    <cfRule type="cellIs" dxfId="80" priority="40" operator="equal">
      <formula>"Augment"</formula>
    </cfRule>
    <cfRule type="cellIs" dxfId="79" priority="41" operator="equal">
      <formula>"Acquire"</formula>
    </cfRule>
  </conditionalFormatting>
  <conditionalFormatting sqref="A15:A20">
    <cfRule type="cellIs" dxfId="78" priority="30" operator="equal">
      <formula>"Preserve"</formula>
    </cfRule>
    <cfRule type="cellIs" dxfId="77" priority="31" operator="equal">
      <formula>"Cultivate"</formula>
    </cfRule>
    <cfRule type="cellIs" dxfId="76" priority="32" operator="equal">
      <formula>"Convert"</formula>
    </cfRule>
    <cfRule type="cellIs" dxfId="75" priority="33" operator="equal">
      <formula>"Consume"</formula>
    </cfRule>
    <cfRule type="cellIs" dxfId="74" priority="34" operator="equal">
      <formula>"Augment"</formula>
    </cfRule>
    <cfRule type="cellIs" dxfId="73" priority="35" operator="equal">
      <formula>"Acquire"</formula>
    </cfRule>
  </conditionalFormatting>
  <conditionalFormatting sqref="A25:A30">
    <cfRule type="cellIs" dxfId="72" priority="18" operator="equal">
      <formula>"Preserve"</formula>
    </cfRule>
    <cfRule type="cellIs" dxfId="71" priority="19" operator="equal">
      <formula>"Cultivate"</formula>
    </cfRule>
    <cfRule type="cellIs" dxfId="70" priority="20" operator="equal">
      <formula>"Convert"</formula>
    </cfRule>
    <cfRule type="cellIs" dxfId="69" priority="21" operator="equal">
      <formula>"Consume"</formula>
    </cfRule>
    <cfRule type="cellIs" dxfId="68" priority="22" operator="equal">
      <formula>"Augment"</formula>
    </cfRule>
    <cfRule type="cellIs" dxfId="67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66" priority="5" operator="equal">
      <formula>"Preserve"</formula>
    </cfRule>
    <cfRule type="cellIs" dxfId="65" priority="6" operator="equal">
      <formula>"Cultivate"</formula>
    </cfRule>
    <cfRule type="cellIs" dxfId="64" priority="7" operator="equal">
      <formula>"Convert"</formula>
    </cfRule>
    <cfRule type="cellIs" dxfId="63" priority="8" operator="equal">
      <formula>"Consume"</formula>
    </cfRule>
    <cfRule type="cellIs" dxfId="62" priority="9" operator="equal">
      <formula>"Augment"</formula>
    </cfRule>
    <cfRule type="cellIs" dxfId="61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F23"/>
  <sheetViews>
    <sheetView workbookViewId="0">
      <selection activeCell="F10" sqref="F10"/>
    </sheetView>
  </sheetViews>
  <sheetFormatPr defaultRowHeight="15" x14ac:dyDescent="0.25"/>
  <cols>
    <col min="1" max="2" width="9.5703125" customWidth="1"/>
    <col min="5" max="5" width="10.85546875" bestFit="1" customWidth="1"/>
  </cols>
  <sheetData>
    <row r="1" spans="1:6" x14ac:dyDescent="0.25">
      <c r="A1" s="2" t="s">
        <v>0</v>
      </c>
      <c r="B1" s="2" t="s">
        <v>37</v>
      </c>
      <c r="C1" s="2" t="s">
        <v>2</v>
      </c>
      <c r="D1" s="2" t="s">
        <v>46</v>
      </c>
      <c r="E1" s="1" t="s">
        <v>39</v>
      </c>
      <c r="F1" s="1" t="s">
        <v>110</v>
      </c>
    </row>
    <row r="2" spans="1:6" x14ac:dyDescent="0.25">
      <c r="A2" s="5" t="s">
        <v>175</v>
      </c>
      <c r="B2" s="5">
        <v>1</v>
      </c>
      <c r="C2" s="5">
        <v>4</v>
      </c>
      <c r="D2" s="5">
        <v>0</v>
      </c>
      <c r="E2" s="6" t="s">
        <v>109</v>
      </c>
      <c r="F2" s="6">
        <v>1</v>
      </c>
    </row>
    <row r="3" spans="1:6" x14ac:dyDescent="0.25">
      <c r="A3" s="5" t="s">
        <v>177</v>
      </c>
      <c r="B3" s="5">
        <v>1</v>
      </c>
      <c r="C3" s="5">
        <v>4</v>
      </c>
      <c r="D3" s="5">
        <v>0</v>
      </c>
      <c r="E3" s="6" t="s">
        <v>44</v>
      </c>
      <c r="F3" s="6">
        <v>1</v>
      </c>
    </row>
    <row r="4" spans="1:6" x14ac:dyDescent="0.25">
      <c r="A4" s="5" t="s">
        <v>176</v>
      </c>
      <c r="B4" s="5">
        <v>1</v>
      </c>
      <c r="C4" s="5">
        <v>0</v>
      </c>
      <c r="D4" s="5">
        <v>2</v>
      </c>
      <c r="E4" s="6" t="s">
        <v>44</v>
      </c>
      <c r="F4" s="6">
        <v>1</v>
      </c>
    </row>
    <row r="5" spans="1:6" x14ac:dyDescent="0.25">
      <c r="A5" s="5" t="s">
        <v>178</v>
      </c>
      <c r="B5" s="5">
        <v>2</v>
      </c>
      <c r="C5" s="5">
        <v>4</v>
      </c>
      <c r="D5" s="5">
        <v>2</v>
      </c>
      <c r="E5" s="6" t="s">
        <v>42</v>
      </c>
      <c r="F5" s="6">
        <v>1</v>
      </c>
    </row>
    <row r="6" spans="1:6" x14ac:dyDescent="0.25">
      <c r="A6" s="5" t="s">
        <v>179</v>
      </c>
      <c r="B6" s="5">
        <v>1</v>
      </c>
      <c r="C6" s="5">
        <v>0</v>
      </c>
      <c r="D6" s="5">
        <v>2</v>
      </c>
      <c r="E6" s="6" t="s">
        <v>42</v>
      </c>
      <c r="F6" s="6">
        <v>1</v>
      </c>
    </row>
    <row r="7" spans="1:6" x14ac:dyDescent="0.25">
      <c r="A7" s="5" t="s">
        <v>180</v>
      </c>
      <c r="B7" s="5">
        <v>1</v>
      </c>
      <c r="C7" s="5">
        <v>2</v>
      </c>
      <c r="D7" s="5">
        <v>1</v>
      </c>
      <c r="E7" s="6" t="s">
        <v>88</v>
      </c>
      <c r="F7" s="6">
        <v>1</v>
      </c>
    </row>
    <row r="8" spans="1:6" x14ac:dyDescent="0.25">
      <c r="A8" s="5" t="s">
        <v>181</v>
      </c>
      <c r="B8" s="5">
        <v>1</v>
      </c>
      <c r="C8" s="5">
        <v>4</v>
      </c>
      <c r="D8" s="5">
        <v>0</v>
      </c>
      <c r="E8" s="6" t="s">
        <v>88</v>
      </c>
      <c r="F8" s="6">
        <v>1</v>
      </c>
    </row>
    <row r="9" spans="1:6" x14ac:dyDescent="0.25">
      <c r="A9" s="5" t="s">
        <v>182</v>
      </c>
      <c r="B9" s="5">
        <v>1</v>
      </c>
      <c r="C9" s="5">
        <v>2</v>
      </c>
      <c r="D9" s="5">
        <v>1</v>
      </c>
      <c r="E9" s="6" t="s">
        <v>90</v>
      </c>
      <c r="F9" s="6">
        <v>1</v>
      </c>
    </row>
    <row r="10" spans="1:6" x14ac:dyDescent="0.25">
      <c r="A10" s="5" t="s">
        <v>183</v>
      </c>
      <c r="B10" s="5">
        <v>1</v>
      </c>
      <c r="C10" s="5">
        <v>4</v>
      </c>
      <c r="D10" s="5">
        <v>0</v>
      </c>
      <c r="E10" s="6" t="s">
        <v>90</v>
      </c>
      <c r="F10" s="6">
        <v>1</v>
      </c>
    </row>
    <row r="11" spans="1:6" x14ac:dyDescent="0.25">
      <c r="A11" s="5" t="s">
        <v>180</v>
      </c>
      <c r="B11" s="5">
        <v>1</v>
      </c>
      <c r="C11" s="5">
        <v>4</v>
      </c>
      <c r="D11" s="5">
        <v>0</v>
      </c>
      <c r="E11" s="6" t="s">
        <v>96</v>
      </c>
      <c r="F11" s="6">
        <v>1</v>
      </c>
    </row>
    <row r="12" spans="1:6" x14ac:dyDescent="0.25">
      <c r="A12" s="5" t="s">
        <v>184</v>
      </c>
      <c r="B12" s="5">
        <v>1</v>
      </c>
      <c r="C12" s="5">
        <v>0</v>
      </c>
      <c r="D12" s="5">
        <v>2</v>
      </c>
      <c r="E12" s="6" t="s">
        <v>96</v>
      </c>
      <c r="F12" s="6">
        <v>1</v>
      </c>
    </row>
    <row r="13" spans="1:6" x14ac:dyDescent="0.25">
      <c r="A13" s="5" t="s">
        <v>185</v>
      </c>
      <c r="B13" s="5">
        <v>1</v>
      </c>
      <c r="C13" s="5">
        <v>4</v>
      </c>
      <c r="D13" s="5">
        <v>2</v>
      </c>
      <c r="E13" s="6" t="s">
        <v>40</v>
      </c>
      <c r="F13" s="6">
        <v>0</v>
      </c>
    </row>
    <row r="14" spans="1:6" x14ac:dyDescent="0.25">
      <c r="A14" s="5" t="s">
        <v>186</v>
      </c>
      <c r="B14" s="5">
        <v>3</v>
      </c>
      <c r="C14" s="5">
        <v>12</v>
      </c>
      <c r="D14" s="5">
        <v>6</v>
      </c>
      <c r="E14" s="6" t="s">
        <v>40</v>
      </c>
      <c r="F14" s="6">
        <v>0</v>
      </c>
    </row>
    <row r="15" spans="1:6" x14ac:dyDescent="0.25">
      <c r="A15" s="5" t="s">
        <v>187</v>
      </c>
      <c r="B15" s="5">
        <v>2</v>
      </c>
      <c r="C15" s="5">
        <v>8</v>
      </c>
      <c r="D15" s="5">
        <v>4</v>
      </c>
      <c r="E15" s="6" t="s">
        <v>40</v>
      </c>
      <c r="F15" s="6">
        <v>0</v>
      </c>
    </row>
    <row r="16" spans="1:6" x14ac:dyDescent="0.25">
      <c r="A16" s="5" t="s">
        <v>188</v>
      </c>
      <c r="B16" s="5">
        <v>1</v>
      </c>
      <c r="C16" s="5">
        <v>2</v>
      </c>
      <c r="D16" s="5">
        <v>1</v>
      </c>
      <c r="E16" s="6" t="s">
        <v>43</v>
      </c>
      <c r="F16" s="6">
        <v>1</v>
      </c>
    </row>
    <row r="17" spans="1:6" x14ac:dyDescent="0.25">
      <c r="A17" s="5" t="s">
        <v>189</v>
      </c>
      <c r="B17" s="5">
        <v>2</v>
      </c>
      <c r="C17" s="5">
        <v>4</v>
      </c>
      <c r="D17" s="5">
        <v>2</v>
      </c>
      <c r="E17" s="6" t="s">
        <v>43</v>
      </c>
      <c r="F17" s="6">
        <v>1</v>
      </c>
    </row>
    <row r="18" spans="1:6" x14ac:dyDescent="0.25">
      <c r="A18" s="5" t="s">
        <v>190</v>
      </c>
      <c r="B18" s="5">
        <v>1</v>
      </c>
      <c r="C18" s="5">
        <v>2</v>
      </c>
      <c r="D18" s="5">
        <v>1</v>
      </c>
      <c r="E18" s="6" t="s">
        <v>92</v>
      </c>
      <c r="F18" s="6">
        <v>1</v>
      </c>
    </row>
    <row r="19" spans="1:6" x14ac:dyDescent="0.25">
      <c r="A19" s="5" t="s">
        <v>191</v>
      </c>
      <c r="B19" s="5">
        <v>1</v>
      </c>
      <c r="C19" s="5">
        <v>2</v>
      </c>
      <c r="D19" s="5">
        <v>1</v>
      </c>
      <c r="E19" s="6" t="s">
        <v>92</v>
      </c>
      <c r="F19" s="6">
        <v>1</v>
      </c>
    </row>
    <row r="20" spans="1:6" x14ac:dyDescent="0.25">
      <c r="A20" s="5" t="s">
        <v>192</v>
      </c>
      <c r="B20" s="5">
        <v>1</v>
      </c>
      <c r="C20" s="5">
        <v>2</v>
      </c>
      <c r="D20" s="5">
        <v>1</v>
      </c>
      <c r="E20" s="6" t="s">
        <v>100</v>
      </c>
      <c r="F20" s="6">
        <v>1</v>
      </c>
    </row>
    <row r="21" spans="1:6" x14ac:dyDescent="0.25">
      <c r="A21" s="5" t="s">
        <v>193</v>
      </c>
      <c r="B21" s="5">
        <v>1</v>
      </c>
      <c r="C21" s="5">
        <v>4</v>
      </c>
      <c r="D21" s="5">
        <v>0</v>
      </c>
      <c r="E21" s="6" t="s">
        <v>94</v>
      </c>
      <c r="F21" s="6">
        <v>1</v>
      </c>
    </row>
    <row r="22" spans="1:6" x14ac:dyDescent="0.25">
      <c r="A22" s="5" t="s">
        <v>194</v>
      </c>
      <c r="B22" s="5">
        <v>1</v>
      </c>
      <c r="C22" s="5">
        <v>0</v>
      </c>
      <c r="D22" s="5">
        <v>2</v>
      </c>
      <c r="E22" s="6" t="s">
        <v>94</v>
      </c>
      <c r="F22" s="6">
        <v>1</v>
      </c>
    </row>
    <row r="23" spans="1:6" x14ac:dyDescent="0.25">
      <c r="A23" s="5" t="s">
        <v>195</v>
      </c>
      <c r="B23" s="5">
        <v>1</v>
      </c>
      <c r="C23" s="5">
        <v>2</v>
      </c>
      <c r="D23" s="5">
        <v>1</v>
      </c>
      <c r="E23" s="6" t="s">
        <v>91</v>
      </c>
      <c r="F23" s="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112</v>
      </c>
      <c r="C1" t="s">
        <v>113</v>
      </c>
      <c r="D1" t="s">
        <v>0</v>
      </c>
      <c r="E1" t="s">
        <v>37</v>
      </c>
      <c r="F1" t="s">
        <v>46</v>
      </c>
      <c r="G1" t="s">
        <v>2</v>
      </c>
      <c r="H1" t="s">
        <v>114</v>
      </c>
      <c r="I1" t="s">
        <v>115</v>
      </c>
      <c r="J1" t="s">
        <v>132</v>
      </c>
      <c r="K1" t="s">
        <v>116</v>
      </c>
      <c r="L1" t="s">
        <v>117</v>
      </c>
      <c r="M1" t="s">
        <v>118</v>
      </c>
      <c r="N1" t="s">
        <v>68</v>
      </c>
      <c r="O1" t="s">
        <v>119</v>
      </c>
      <c r="P1" t="s">
        <v>39</v>
      </c>
      <c r="Q1" t="s">
        <v>133</v>
      </c>
    </row>
    <row r="2" spans="1:17" x14ac:dyDescent="0.25">
      <c r="A2" t="s">
        <v>78</v>
      </c>
      <c r="B2" t="str" cm="1">
        <f t="array" aca="1" ref="B2" ca="1">INDEX(Table2[Name],LARGE(IF(Table2[Type]=Table8[[#This Row],[Type]],ROW(Table2[Type])-1),INT(RAND()*COUNTIF(Table2[Type],Table8[[#This Row],[Type]])+1)))</f>
        <v>Klepto</v>
      </c>
      <c r="C2" t="str" cm="1">
        <f t="array" aca="1" ref="C2" ca="1">INDEX(Table1[Name],LARGE(IF(Table1[Type]=Table8[[#This Row],[Type]],ROW(Table1[Type])-1),INT(RAND()*COUNTIF(Table1[Type],Table8[[#This Row],[Type]])+1)))</f>
        <v>klum</v>
      </c>
      <c r="D2" t="str">
        <f t="shared" ref="D2:D7" ca="1" si="0">_xlfn.CONCAT(B2,C2)</f>
        <v>Kleptoklum</v>
      </c>
      <c r="E2">
        <f ca="1">SUM(_xlfn.XLOOKUP(Table8[[#This Row],[Generator]],Table2[Name],Table2[Cost]),_xlfn.XLOOKUP(Table8[[#This Row],[Frame]],Table1[Name],Table1[Cost]))</f>
        <v>4</v>
      </c>
      <c r="F2">
        <f ca="1">_xlfn.XLOOKUP(B2,Table2[Name],Table2[PP])</f>
        <v>4</v>
      </c>
      <c r="G2">
        <f ca="1">_xlfn.XLOOKUP(C2,Table1[Name],Table1[HP])</f>
        <v>12</v>
      </c>
      <c r="H2" t="str">
        <f ca="1">_xlfn.XLOOKUP(B2,Table2[Name],Table2[Abiliity])</f>
        <v>Reallocate</v>
      </c>
      <c r="I2">
        <f ca="1">_xlfn.XLOOKUP(C2,Table1[Name],Table1[Ability])</f>
        <v>0</v>
      </c>
      <c r="J2">
        <f ca="1">(Table8[[#This Row],[PP]]+(Table8[[#This Row],[HP]]/2)+IF(Table8[[#This Row],[Ability 1]]=0,0,1)+IF(Table8[[#This Row],[Ability 2]]=0,0,1))/(Table8[[#This Row],[Cost]]+1)</f>
        <v>2.2000000000000002</v>
      </c>
      <c r="K2" t="str" cm="1">
        <f t="array" aca="1" ref="K2" ca="1">INDEX(Table3[Name],INT(RAND()*COUNTA(Table3[Name])+1))</f>
        <v>be</v>
      </c>
      <c r="L2" t="str">
        <f ca="1">_xlfn.CONCAT(Table8[[#This Row],[Generator]],Table8[[#This Row],[Part 1]],Table8[[#This Row],[Frame]])</f>
        <v>Kleptobeklum</v>
      </c>
      <c r="M2">
        <f ca="1">SUM(Table8[[#This Row],[Cost]],_xlfn.XLOOKUP(Table8[[#This Row],[Part 1]],Table3[Name],Table3[Cost]))</f>
        <v>5</v>
      </c>
      <c r="N2">
        <f ca="1">SUM(Table8[[#This Row],[PP]],_xlfn.XLOOKUP(Table8[[#This Row],[Part 1]],Table3[Name],Table3[PP]))</f>
        <v>6</v>
      </c>
      <c r="O2">
        <f ca="1">SUM(Table8[[#This Row],[HP]],_xlfn.XLOOKUP(Table8[[#This Row],[Part 1]],Table3[Name],Table3[HP]))</f>
        <v>12</v>
      </c>
      <c r="P2" t="str">
        <f ca="1">_xlfn.XLOOKUP(Table8[[#This Row],[Part 1]],Table3[Name],Table3[Ability])</f>
        <v>Scorch</v>
      </c>
      <c r="Q2" s="7">
        <f ca="1">(Table8[[#This Row],[PP2]]+(Table8[[#This Row],[HP2]]/2)+IF(Table8[[#This Row],[Ability 1]]=0,0,1)+IF(Table8[[#This Row],[Ability 2]]=0,0,1))/(Table8[[#This Row],[Cost]]+1)</f>
        <v>2.6</v>
      </c>
    </row>
    <row r="3" spans="1:17" x14ac:dyDescent="0.25">
      <c r="A3" t="s">
        <v>4</v>
      </c>
      <c r="B3" t="str" cm="1">
        <f t="array" aca="1" ref="B3" ca="1">INDEX(Table2[Name],LARGE(IF(Table2[Type]=Table8[[#This Row],[Type]],ROW(Table2[Type])-1),INT(RAND()*COUNTIF(Table2[Type],Table8[[#This Row],[Type]])+1)))</f>
        <v>Radi</v>
      </c>
      <c r="C3" t="str" cm="1">
        <f t="array" aca="1" ref="C3" ca="1">INDEX(Table1[Name],LARGE(IF(Table1[Type]=Table8[[#This Row],[Type]],ROW(Table1[Type])-1),INT(RAND()*COUNTIF(Table1[Type],Table8[[#This Row],[Type]])+1)))</f>
        <v>theum</v>
      </c>
      <c r="D3" t="str">
        <f t="shared" ca="1" si="0"/>
        <v>Raditheum</v>
      </c>
      <c r="E3">
        <f ca="1">SUM(_xlfn.XLOOKUP(Table8[[#This Row],[Generator]],Table2[Name],Table2[Cost]),_xlfn.XLOOKUP(Table8[[#This Row],[Frame]],Table1[Name],Table1[Cost]))</f>
        <v>3</v>
      </c>
      <c r="F3">
        <f ca="1">_xlfn.XLOOKUP(B3,Table2[Name],Table2[PP])</f>
        <v>2</v>
      </c>
      <c r="G3">
        <f ca="1">_xlfn.XLOOKUP(C3,Table1[Name],Table1[HP])</f>
        <v>10</v>
      </c>
      <c r="H3" t="str">
        <f ca="1">_xlfn.XLOOKUP(B3,Table2[Name],Table2[Abiliity])</f>
        <v>Mutate</v>
      </c>
      <c r="I3" t="str">
        <f ca="1">_xlfn.XLOOKUP(C3,Table1[Name],Table1[Ability])</f>
        <v>Mutate</v>
      </c>
      <c r="J3">
        <f ca="1">(Table8[[#This Row],[PP]]+(Table8[[#This Row],[HP]]/2)+IF(Table8[[#This Row],[Ability 1]]=0,0,1)+IF(Table8[[#This Row],[Ability 2]]=0,0,1))/(Table8[[#This Row],[Cost]]+1)</f>
        <v>2.25</v>
      </c>
      <c r="K3" t="str" cm="1">
        <f t="array" aca="1" ref="K3" ca="1">INDEX(Table3[Name],INT(RAND()*COUNTA(Table3[Name])+1))</f>
        <v>xi</v>
      </c>
      <c r="L3" t="str">
        <f ca="1">_xlfn.CONCAT(Table8[[#This Row],[Generator]],Table8[[#This Row],[Part 1]],Table8[[#This Row],[Frame]])</f>
        <v>Radixitheum</v>
      </c>
      <c r="M3">
        <f ca="1">SUM(Table8[[#This Row],[Cost]],_xlfn.XLOOKUP(Table8[[#This Row],[Part 1]],Table3[Name],Table3[Cost]))</f>
        <v>4</v>
      </c>
      <c r="N3">
        <f ca="1">SUM(Table8[[#This Row],[PP]],_xlfn.XLOOKUP(Table8[[#This Row],[Part 1]],Table3[Name],Table3[PP]))</f>
        <v>4</v>
      </c>
      <c r="O3">
        <f ca="1">SUM(Table8[[#This Row],[HP]],_xlfn.XLOOKUP(Table8[[#This Row],[Part 1]],Table3[Name],Table3[HP]))</f>
        <v>10</v>
      </c>
      <c r="P3" t="str">
        <f ca="1">_xlfn.XLOOKUP(Table8[[#This Row],[Part 1]],Table3[Name],Table3[Ability])</f>
        <v>Burn</v>
      </c>
      <c r="Q3" s="7">
        <f ca="1">(Table8[[#This Row],[PP2]]+(Table8[[#This Row],[HP2]]/2)+IF(Table8[[#This Row],[Ability 1]]=0,0,1)+IF(Table8[[#This Row],[Ability 2]]=0,0,1))/(Table8[[#This Row],[Cost]]+1)</f>
        <v>2.75</v>
      </c>
    </row>
    <row r="4" spans="1:17" x14ac:dyDescent="0.25">
      <c r="A4" t="s">
        <v>45</v>
      </c>
      <c r="B4" t="str" cm="1">
        <f t="array" aca="1" ref="B4" ca="1">INDEX(Table2[Name],LARGE(IF(Table2[Type]=Table8[[#This Row],[Type]],ROW(Table2[Type])-1),INT(RAND()*COUNTIF(Table2[Type],Table8[[#This Row],[Type]])+1)))</f>
        <v>Ventra</v>
      </c>
      <c r="C4" t="str" cm="1">
        <f t="array" aca="1" ref="C4" ca="1">INDEX(Table1[Name],LARGE(IF(Table1[Type]=Table8[[#This Row],[Type]],ROW(Table1[Type])-1),INT(RAND()*COUNTIF(Table1[Type],Table8[[#This Row],[Type]])+1)))</f>
        <v>morph</v>
      </c>
      <c r="D4" t="str">
        <f t="shared" ca="1" si="0"/>
        <v>Ventramorph</v>
      </c>
      <c r="E4">
        <f ca="1">SUM(_xlfn.XLOOKUP(Table8[[#This Row],[Generator]],Table2[Name],Table2[Cost]),_xlfn.XLOOKUP(Table8[[#This Row],[Frame]],Table1[Name],Table1[Cost]))</f>
        <v>3</v>
      </c>
      <c r="F4">
        <f ca="1">_xlfn.XLOOKUP(B4,Table2[Name],Table2[PP])</f>
        <v>4</v>
      </c>
      <c r="G4">
        <f ca="1">_xlfn.XLOOKUP(C4,Table1[Name],Table1[HP])</f>
        <v>8</v>
      </c>
      <c r="H4" t="str">
        <f ca="1">_xlfn.XLOOKUP(B4,Table2[Name],Table2[Abiliity])</f>
        <v>Hurricane</v>
      </c>
      <c r="I4">
        <f ca="1">_xlfn.XLOOKUP(C4,Table1[Name],Table1[Ability])</f>
        <v>0</v>
      </c>
      <c r="J4">
        <f ca="1">(Table8[[#This Row],[PP]]+(Table8[[#This Row],[HP]]/2)+IF(Table8[[#This Row],[Ability 1]]=0,0,1)+IF(Table8[[#This Row],[Ability 2]]=0,0,1))/(Table8[[#This Row],[Cost]]+1)</f>
        <v>2.25</v>
      </c>
      <c r="K4" t="str" cm="1">
        <f t="array" aca="1" ref="K4" ca="1">INDEX(Table3[Name],INT(RAND()*COUNTA(Table3[Name])+1))</f>
        <v>ro</v>
      </c>
      <c r="L4" t="str" cm="1">
        <f t="array" aca="1" ref="L4" ca="1">INDEX(Table3[Name],INT(RAND()*COUNTA(Table3[Name])+1))</f>
        <v>be</v>
      </c>
      <c r="M4">
        <f ca="1">SUM(Table8[[#This Row],[Cost]],_xlfn.XLOOKUP(Table8[[#This Row],[Part 1]],Table3[Name],Table3[Cost]))</f>
        <v>4</v>
      </c>
      <c r="N4">
        <f ca="1">SUM(Table8[[#This Row],[PP]],_xlfn.XLOOKUP(Table8[[#This Row],[Part 1]],Table3[Name],Table3[PP]))</f>
        <v>5</v>
      </c>
      <c r="O4">
        <f ca="1">SUM(Table8[[#This Row],[HP]],_xlfn.XLOOKUP(Table8[[#This Row],[Part 1]],Table3[Name],Table3[HP]))</f>
        <v>10</v>
      </c>
      <c r="P4" t="str">
        <f ca="1">_xlfn.XLOOKUP(Table8[[#This Row],[Part 1]],Table3[Name],Table3[Ability])</f>
        <v>Mutate</v>
      </c>
      <c r="Q4" s="7">
        <f ca="1">(Table8[[#This Row],[PP2]]+(Table8[[#This Row],[HP2]]/2)+IF(Table8[[#This Row],[Ability 1]]=0,0,1)+IF(Table8[[#This Row],[Ability 2]]=0,0,1))/(Table8[[#This Row],[Cost]]+1)</f>
        <v>2.75</v>
      </c>
    </row>
    <row r="5" spans="1:17" x14ac:dyDescent="0.25">
      <c r="A5" t="s">
        <v>9</v>
      </c>
      <c r="B5" t="str" cm="1">
        <f t="array" aca="1" ref="B5" ca="1">INDEX(Table2[Name],LARGE(IF(Table2[Type]=Table8[[#This Row],[Type]],ROW(Table2[Type])-1),INT(RAND()*COUNTIF(Table2[Type],Table8[[#This Row],[Type]])+1)))</f>
        <v>Explo</v>
      </c>
      <c r="C5" t="str" cm="1">
        <f t="array" aca="1" ref="C5" ca="1">INDEX(Table1[Name],LARGE(IF(Table1[Type]=Table8[[#This Row],[Type]],ROW(Table1[Type])-1),INT(RAND()*COUNTIF(Table1[Type],Table8[[#This Row],[Type]])+1)))</f>
        <v>gul</v>
      </c>
      <c r="D5" t="str">
        <f t="shared" ca="1" si="0"/>
        <v>Explogul</v>
      </c>
      <c r="E5">
        <f ca="1">SUM(_xlfn.XLOOKUP(Table8[[#This Row],[Generator]],Table2[Name],Table2[Cost]),_xlfn.XLOOKUP(Table8[[#This Row],[Frame]],Table1[Name],Table1[Cost]))</f>
        <v>4</v>
      </c>
      <c r="F5">
        <f ca="1">_xlfn.XLOOKUP(B5,Table2[Name],Table2[PP])</f>
        <v>4</v>
      </c>
      <c r="G5">
        <f ca="1">_xlfn.XLOOKUP(C5,Table1[Name],Table1[HP])</f>
        <v>14</v>
      </c>
      <c r="H5" t="str">
        <f ca="1">_xlfn.XLOOKUP(B5,Table2[Name],Table2[Abiliity])</f>
        <v>Scorch</v>
      </c>
      <c r="I5" t="str">
        <f ca="1">_xlfn.XLOOKUP(C5,Table1[Name],Table1[Ability])</f>
        <v>Scorch</v>
      </c>
      <c r="J5">
        <f ca="1">(Table8[[#This Row],[PP]]+(Table8[[#This Row],[HP]]/2)+IF(Table8[[#This Row],[Ability 1]]=0,0,1)+IF(Table8[[#This Row],[Ability 2]]=0,0,1))/(Table8[[#This Row],[Cost]]+1)</f>
        <v>2.6</v>
      </c>
      <c r="K5" t="str" cm="1">
        <f t="array" aca="1" ref="K5" ca="1">INDEX(Table3[Name],INT(RAND()*COUNTA(Table3[Name])+1))</f>
        <v>pi</v>
      </c>
      <c r="L5" t="str">
        <f ca="1">_xlfn.CONCAT(Table8[[#This Row],[Generator]],Table8[[#This Row],[Part 1]],Table8[[#This Row],[Frame]])</f>
        <v>Explopigul</v>
      </c>
      <c r="M5">
        <f ca="1">SUM(Table8[[#This Row],[Cost]],_xlfn.XLOOKUP(Table8[[#This Row],[Part 1]],Table3[Name],Table3[Cost]))</f>
        <v>5</v>
      </c>
      <c r="N5">
        <f ca="1">SUM(Table8[[#This Row],[PP]],_xlfn.XLOOKUP(Table8[[#This Row],[Part 1]],Table3[Name],Table3[PP]))</f>
        <v>4</v>
      </c>
      <c r="O5">
        <f ca="1">SUM(Table8[[#This Row],[HP]],_xlfn.XLOOKUP(Table8[[#This Row],[Part 1]],Table3[Name],Table3[HP]))</f>
        <v>18</v>
      </c>
      <c r="P5" t="str">
        <f ca="1">_xlfn.XLOOKUP(Table8[[#This Row],[Part 1]],Table3[Name],Table3[Ability])</f>
        <v>Burn</v>
      </c>
      <c r="Q5" s="7">
        <f ca="1">(Table8[[#This Row],[PP2]]+(Table8[[#This Row],[HP2]]/2)+IF(Table8[[#This Row],[Ability 1]]=0,0,1)+IF(Table8[[#This Row],[Ability 2]]=0,0,1))/(Table8[[#This Row],[Cost]]+1)</f>
        <v>3</v>
      </c>
    </row>
    <row r="6" spans="1:17" x14ac:dyDescent="0.25">
      <c r="A6" t="s">
        <v>16</v>
      </c>
      <c r="B6" t="str" cm="1">
        <f t="array" aca="1" ref="B6" ca="1">INDEX(Table2[Name],LARGE(IF(Table2[Type]=Table8[[#This Row],[Type]],ROW(Table2[Type])-1),INT(RAND()*COUNTIF(Table2[Type],Table8[[#This Row],[Type]])+1)))</f>
        <v>Carni</v>
      </c>
      <c r="C6" t="str" cm="1">
        <f t="array" aca="1" ref="C6" ca="1">INDEX(Table1[Name],LARGE(IF(Table1[Type]=Table8[[#This Row],[Type]],ROW(Table1[Type])-1),INT(RAND()*COUNTIF(Table1[Type],Table8[[#This Row],[Type]])+1)))</f>
        <v>ctos</v>
      </c>
      <c r="D6" t="str">
        <f t="shared" ca="1" si="0"/>
        <v>Carnictos</v>
      </c>
      <c r="E6">
        <f ca="1">SUM(_xlfn.XLOOKUP(Table8[[#This Row],[Generator]],Table2[Name],Table2[Cost]),_xlfn.XLOOKUP(Table8[[#This Row],[Frame]],Table1[Name],Table1[Cost]))</f>
        <v>1</v>
      </c>
      <c r="F6">
        <f ca="1">_xlfn.XLOOKUP(B6,Table2[Name],Table2[PP])</f>
        <v>0</v>
      </c>
      <c r="G6">
        <f ca="1">_xlfn.XLOOKUP(C6,Table1[Name],Table1[HP])</f>
        <v>6</v>
      </c>
      <c r="H6" t="str">
        <f ca="1">_xlfn.XLOOKUP(B6,Table2[Name],Table2[Abiliity])</f>
        <v>Pack</v>
      </c>
      <c r="I6" t="str">
        <f ca="1">_xlfn.XLOOKUP(C6,Table1[Name],Table1[Ability])</f>
        <v>Pack</v>
      </c>
      <c r="J6">
        <f ca="1">(Table8[[#This Row],[PP]]+(Table8[[#This Row],[HP]]/2)+IF(Table8[[#This Row],[Ability 1]]=0,0,1)+IF(Table8[[#This Row],[Ability 2]]=0,0,1))/(Table8[[#This Row],[Cost]]+1)</f>
        <v>2.5</v>
      </c>
      <c r="K6" t="str" cm="1">
        <f t="array" aca="1" ref="K6" ca="1">INDEX(Table3[Name],INT(RAND()*COUNTA(Table3[Name])+1))</f>
        <v>mu</v>
      </c>
      <c r="L6" t="str">
        <f ca="1">_xlfn.CONCAT(Table8[[#This Row],[Generator]],Table8[[#This Row],[Part 1]],Table8[[#This Row],[Frame]])</f>
        <v>Carnimuctos</v>
      </c>
      <c r="M6">
        <f ca="1">SUM(Table8[[#This Row],[Cost]],_xlfn.XLOOKUP(Table8[[#This Row],[Part 1]],Table3[Name],Table3[Cost]))</f>
        <v>3</v>
      </c>
      <c r="N6">
        <f ca="1">SUM(Table8[[#This Row],[PP]],_xlfn.XLOOKUP(Table8[[#This Row],[Part 1]],Table3[Name],Table3[PP]))</f>
        <v>2</v>
      </c>
      <c r="O6">
        <f ca="1">SUM(Table8[[#This Row],[HP]],_xlfn.XLOOKUP(Table8[[#This Row],[Part 1]],Table3[Name],Table3[HP]))</f>
        <v>10</v>
      </c>
      <c r="P6" t="str">
        <f ca="1">_xlfn.XLOOKUP(Table8[[#This Row],[Part 1]],Table3[Name],Table3[Ability])</f>
        <v>Mutate</v>
      </c>
      <c r="Q6" s="7">
        <f ca="1">(Table8[[#This Row],[PP2]]+(Table8[[#This Row],[HP2]]/2)+IF(Table8[[#This Row],[Ability 1]]=0,0,1)+IF(Table8[[#This Row],[Ability 2]]=0,0,1))/(Table8[[#This Row],[Cost]]+1)</f>
        <v>4.5</v>
      </c>
    </row>
    <row r="7" spans="1:17" x14ac:dyDescent="0.25">
      <c r="A7" t="s">
        <v>22</v>
      </c>
      <c r="B7" t="str" cm="1">
        <f t="array" aca="1" ref="B7" ca="1">INDEX(Table2[Name],LARGE(IF(Table2[Type]=Table8[[#This Row],[Type]],ROW(Table2[Type])-1),INT(RAND()*COUNTIF(Table2[Type],Table8[[#This Row],[Type]])+1)))</f>
        <v>Mega</v>
      </c>
      <c r="C7" t="str" cm="1">
        <f t="array" aca="1" ref="C7" ca="1">INDEX(Table1[Name],LARGE(IF(Table1[Type]=Table8[[#This Row],[Type]],ROW(Table1[Type])-1),INT(RAND()*COUNTIF(Table1[Type],Table8[[#This Row],[Type]])+1)))</f>
        <v>cell</v>
      </c>
      <c r="D7" t="str">
        <f t="shared" ca="1" si="0"/>
        <v>Megacell</v>
      </c>
      <c r="E7">
        <f ca="1">SUM(_xlfn.XLOOKUP(Table8[[#This Row],[Generator]],Table2[Name],Table2[Cost]),_xlfn.XLOOKUP(Table8[[#This Row],[Frame]],Table1[Name],Table1[Cost]))</f>
        <v>2</v>
      </c>
      <c r="F7">
        <f ca="1">_xlfn.XLOOKUP(B7,Table2[Name],Table2[PP])</f>
        <v>4</v>
      </c>
      <c r="G7">
        <f ca="1">_xlfn.XLOOKUP(C7,Table1[Name],Table1[HP])</f>
        <v>14</v>
      </c>
      <c r="H7">
        <f ca="1">_xlfn.XLOOKUP(B7,Table2[Name],Table2[Abiliity])</f>
        <v>0</v>
      </c>
      <c r="I7">
        <f ca="1">_xlfn.XLOOKUP(C7,Table1[Name],Table1[Ability])</f>
        <v>0</v>
      </c>
      <c r="J7">
        <f ca="1">(Table8[[#This Row],[PP]]+(Table8[[#This Row],[HP]]/2)+IF(Table8[[#This Row],[Ability 1]]=0,0,1)+IF(Table8[[#This Row],[Ability 2]]=0,0,1))/(Table8[[#This Row],[Cost]]+1)</f>
        <v>3.6666666666666665</v>
      </c>
      <c r="K7" t="str" cm="1">
        <f t="array" aca="1" ref="K7" ca="1">INDEX(Table3[Name],INT(RAND()*COUNTA(Table3[Name])+1))</f>
        <v>xi</v>
      </c>
      <c r="L7" t="str">
        <f ca="1">_xlfn.CONCAT(Table8[[#This Row],[Generator]],Table8[[#This Row],[Part 1]],Table8[[#This Row],[Frame]])</f>
        <v>Megaxicell</v>
      </c>
      <c r="M7">
        <f ca="1">SUM(Table8[[#This Row],[Cost]],_xlfn.XLOOKUP(Table8[[#This Row],[Part 1]],Table3[Name],Table3[Cost]))</f>
        <v>3</v>
      </c>
      <c r="N7">
        <f ca="1">SUM(Table8[[#This Row],[PP]],_xlfn.XLOOKUP(Table8[[#This Row],[Part 1]],Table3[Name],Table3[PP]))</f>
        <v>6</v>
      </c>
      <c r="O7">
        <f ca="1">SUM(Table8[[#This Row],[HP]],_xlfn.XLOOKUP(Table8[[#This Row],[Part 1]],Table3[Name],Table3[HP]))</f>
        <v>14</v>
      </c>
      <c r="P7" t="str">
        <f ca="1">_xlfn.XLOOKUP(Table8[[#This Row],[Part 1]],Table3[Name],Table3[Ability])</f>
        <v>Burn</v>
      </c>
      <c r="Q7" s="7">
        <f ca="1">(Table8[[#This Row],[PP2]]+(Table8[[#This Row],[HP2]]/2)+IF(Table8[[#This Row],[Ability 1]]=0,0,1)+IF(Table8[[#This Row],[Ability 2]]=0,0,1))/(Table8[[#This Row],[Cost]]+1)</f>
        <v>4.333333333333333</v>
      </c>
    </row>
  </sheetData>
  <phoneticPr fontId="3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101</v>
      </c>
      <c r="B1" t="s">
        <v>41</v>
      </c>
    </row>
    <row r="2" spans="1:2" x14ac:dyDescent="0.25">
      <c r="A2" t="s">
        <v>94</v>
      </c>
      <c r="B2" t="s">
        <v>103</v>
      </c>
    </row>
    <row r="3" spans="1:2" x14ac:dyDescent="0.25">
      <c r="A3" t="s">
        <v>102</v>
      </c>
      <c r="B3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Passive abilities</vt:lpstr>
      <vt:lpstr>Active abilities</vt:lpstr>
      <vt:lpstr>Generators</vt:lpstr>
      <vt:lpstr>Frames</vt:lpstr>
      <vt:lpstr>Power Configuration</vt:lpstr>
      <vt:lpstr>Parts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2022-08-17T22:50:02Z</dcterms:modified>
</cp:coreProperties>
</file>